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b685cbe9346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48104ddf00f94846"/>
    <x:sheet xmlns:r="http://schemas.openxmlformats.org/officeDocument/2006/relationships" name="Year 1" sheetId="2" r:id="Re5f11e71484b48cb"/>
    <x:sheet xmlns:r="http://schemas.openxmlformats.org/officeDocument/2006/relationships" name="Inputs" sheetId="3" r:id="Rf1af47421dfd43e3"/>
  </x:sheets>
</x:workbook>
</file>

<file path=xl/comments1.xml><?xml version="1.0" encoding="utf-8"?>
<x:comments xmlns:x="http://schemas.openxmlformats.org/spreadsheetml/2006/main">
  <x:authors>
    <x:author/>
  </x:authors>
  <x:commentList>
    <x:comment ref="D5" authorId="0">
      <x:text>
        <x:r>
          <x:t>All example amounts and property/unit names are invented. Definitions: Fannie Mae Form4254.DEF, https://multifamily.fanniemae.com/media/35991/display. Refundable deposit distinction: IRS Topic414, https://www.irs.gov/taxtopics/tc414. Original models do not calculate tax or certify lender underwriting.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&quot;$&quot;#,##0.00;(&quot;$&quot;#,##0.00);&quot;-&quot;"/>
    <x:numFmt numFmtId="201" formatCode="mmm d, yyyy"/>
    <x:numFmt numFmtId="202" formatCode="0.0%;(0.0%);&quot;-&quot;"/>
    <x:numFmt numFmtId="203" formatCode="0"/>
    <x:numFmt numFmtId="204" formatCode="mmm-yy"/>
    <x:numFmt numFmtId="205" formatCode="0.00;(0.00);0.00"/>
    <x:numFmt numFmtId="206" formatCode="0.00x"/>
  </x:numFmts>
  <x:fonts count="13">
    <x:font>
      <x:sz val="11"/>
      <x:name val="Carlito"/>
    </x:font>
    <x:font>
      <x:sz val="10"/>
      <x:color rgb="FF17364D"/>
      <x:name val="Arial"/>
    </x:font>
    <x:font>
      <x:b/>
      <x:sz val="15"/>
      <x:color rgb="FF17364D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sz val="10"/>
      <x:color rgb="FF000000"/>
      <x:name val="Arial"/>
    </x:font>
    <x:font>
      <x:sz val="10"/>
      <x:color rgb="FF008000"/>
      <x:name val="Arial"/>
    </x:font>
    <x:font>
      <x:b/>
      <x:sz val="10"/>
      <x:color rgb="FF17364D"/>
      <x:name val="Arial"/>
    </x:font>
    <x:font>
      <x:b/>
      <x:sz val="10"/>
      <x:color rgb="FF000000"/>
      <x:name val="Arial"/>
    </x:font>
    <x:font>
      <x:b/>
      <x:sz val="10"/>
      <x:color rgb="FF008000"/>
      <x:name val="Arial"/>
    </x:font>
    <x:font>
      <x:i/>
      <x:sz val="10"/>
      <x:color rgb="FF17364D"/>
      <x:name val="Arial"/>
    </x:font>
    <x:font>
      <x:i/>
      <x:sz val="10"/>
      <x:color rgb="FF000000"/>
      <x:name val="Arial"/>
    </x:font>
    <x:font>
      <x:i/>
      <x:sz val="10"/>
      <x:color rgb="FF008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64D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9BB2BF"/>
      </x:top>
      <x:bottom/>
      <x:diagonal/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3" fillId="2" borderId="0" xfId="0" applyNumberFormat="1" applyFont="1" applyFill="1" applyBorder="1" applyAlignment="1">
      <x:alignment horizontal="right" vertical="center"/>
    </x:xf>
    <x:xf numFmtId="201" fontId="3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horizontal="right"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horizontal="right"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4" fillId="3" borderId="0" xfId="0" applyNumberFormat="1" applyFont="1" applyFill="1" applyBorder="1" applyAlignment="1">
      <x:alignment horizontal="center" vertical="center" wrapText="1"/>
    </x:xf>
    <x:xf numFmtId="202" fontId="3" fillId="2" borderId="0" xfId="0" applyNumberFormat="1" applyFont="1" applyFill="1" applyBorder="1" applyAlignment="1">
      <x:alignment horizontal="right" vertical="center"/>
    </x:xf>
    <x:xf numFmtId="203" fontId="3" fillId="2" borderId="0" xfId="0" applyNumberFormat="1" applyFont="1" applyFill="1" applyBorder="1" applyAlignment="1">
      <x:alignment horizontal="right" vertical="center"/>
    </x:xf>
    <x:xf numFmtId="200" fontId="5" fillId="0" borderId="0" xfId="0" applyNumberFormat="1" applyFont="1" applyFill="1" applyBorder="1" applyAlignment="1">
      <x:alignment horizontal="right" vertical="center"/>
    </x:xf>
    <x:xf numFmtId="200" fontId="6" fillId="0" borderId="0" xfId="0" applyNumberFormat="1" applyFont="1" applyFill="1" applyBorder="1" applyAlignment="1">
      <x:alignment horizontal="right" vertical="center"/>
    </x:xf>
    <x:xf numFmtId="204" fontId="6" fillId="0" borderId="0" xfId="0" applyNumberFormat="1" applyFont="1" applyFill="1" applyBorder="1" applyAlignment="1">
      <x:alignment horizontal="right" vertical="center"/>
    </x:xf>
    <x:xf numFmtId="204" fontId="6" fillId="3" borderId="0" xfId="0" applyNumberFormat="1" applyFont="1" applyFill="1" applyBorder="1" applyAlignment="1">
      <x:alignment horizontal="right" vertical="center"/>
    </x:xf>
    <x:xf numFmtId="204" fontId="4" fillId="3" borderId="0" xfId="0" applyNumberFormat="1" applyFont="1" applyFill="1" applyBorder="1" applyAlignment="1">
      <x:alignment horizontal="right" vertical="center"/>
    </x:xf>
    <x:xf numFmtId="204" fontId="4" fillId="3" borderId="0" xfId="0" applyNumberFormat="1" applyFont="1" applyFill="1" applyBorder="1" applyAlignment="1">
      <x:alignment horizontal="right" vertical="center" wrapText="1"/>
    </x:xf>
    <x:xf numFmtId="204" fontId="4" fillId="3" borderId="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horizontal="right" vertical="center"/>
    </x:xf>
    <x:xf numFmtId="0" fontId="7" fillId="0" borderId="1" xfId="0" applyNumberFormat="1" applyFont="1" applyFill="1" applyBorder="1" applyAlignment="1">
      <x:alignment vertical="center"/>
    </x:xf>
    <x:xf numFmtId="200" fontId="8" fillId="0" borderId="1" xfId="0" applyNumberFormat="1" applyFont="1" applyFill="1" applyBorder="1" applyAlignment="1">
      <x:alignment horizontal="right" vertical="center"/>
    </x:xf>
    <x:xf numFmtId="200" fontId="9" fillId="0" borderId="0" xfId="0" applyNumberFormat="1" applyFont="1" applyFill="1" applyBorder="1" applyAlignment="1">
      <x:alignment horizontal="right" vertical="center"/>
    </x:xf>
    <x:xf numFmtId="200" fontId="9" fillId="0" borderId="1" xfId="0" applyNumberFormat="1" applyFont="1" applyFill="1" applyBorder="1" applyAlignment="1">
      <x:alignment horizontal="right" vertical="center"/>
    </x:xf>
    <x:xf numFmtId="205" fontId="8" fillId="0" borderId="1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10" fillId="0" borderId="0" xfId="0" applyNumberFormat="1" applyFont="1" applyFill="1" applyBorder="1" applyAlignment="1">
      <x:alignment vertical="center"/>
    </x:xf>
    <x:xf numFmtId="202" fontId="10" fillId="0" borderId="0" xfId="0" applyNumberFormat="1" applyFont="1" applyFill="1" applyBorder="1" applyAlignment="1">
      <x:alignment horizontal="right" vertical="center"/>
    </x:xf>
    <x:xf numFmtId="200" fontId="10" fillId="0" borderId="0" xfId="0" applyNumberFormat="1" applyFont="1" applyFill="1" applyBorder="1" applyAlignment="1">
      <x:alignment horizontal="right" vertical="center"/>
    </x:xf>
    <x:xf numFmtId="206" fontId="10" fillId="0" borderId="0" xfId="0" applyNumberFormat="1" applyFont="1" applyFill="1" applyBorder="1" applyAlignment="1">
      <x:alignment horizontal="right" vertical="center"/>
    </x:xf>
    <x:xf numFmtId="205" fontId="1" fillId="0" borderId="0" xfId="0" applyNumberFormat="1" applyFont="1" applyFill="1" applyBorder="1" applyAlignment="1">
      <x:alignment horizontal="right" vertical="center"/>
    </x:xf>
    <x:xf numFmtId="200" fontId="11" fillId="0" borderId="0" xfId="0" applyNumberFormat="1" applyFont="1" applyFill="1" applyBorder="1" applyAlignment="1">
      <x:alignment horizontal="right" vertical="center"/>
    </x:xf>
    <x:xf numFmtId="200" fontId="12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2b6352de104535" /><Relationship Type="http://schemas.openxmlformats.org/officeDocument/2006/relationships/theme" Target="/xl/theme/theme1.xml" Id="R4093b310226e4f1c" /><Relationship Type="http://schemas.openxmlformats.org/officeDocument/2006/relationships/sharedStrings" Target="/xl/sharedStrings.xml" Id="R70b3b9279c6e4469" /><Relationship Type="http://schemas.openxmlformats.org/officeDocument/2006/relationships/worksheet" Target="/xl/worksheets/sheet1.xml" Id="R48104ddf00f94846" /><Relationship Type="http://schemas.openxmlformats.org/officeDocument/2006/relationships/worksheet" Target="/xl/worksheets/sheet2.xml" Id="Re5f11e71484b48cb" /><Relationship Type="http://schemas.openxmlformats.org/officeDocument/2006/relationships/worksheet" Target="/xl/worksheets/sheet3.xml" Id="Rf1af47421dfd43e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88c09c2ebcf467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First-year NOI and available cash (USD)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NOI</c:v>
          </c:tx>
          <c:spPr>
            <a:solidFill xmlns:a="http://schemas.openxmlformats.org/drawingml/2006/main">
              <a:srgbClr val="1F4E78"/>
            </a:solidFill>
          </c:spPr>
          <c:invertIfNegative val="0"/>
          <c:cat>
            <c:strRef>
              <c:f>'Comparison'!$H$6:$H$7</c:f>
              <c:strCache>
                <c:ptCount val="0"/>
              </c:strCache>
            </c:strRef>
          </c:cat>
          <c:val>
            <c:numRef>
              <c:f>'Comparison'!$I$6:$I$7</c:f>
              <c:numCache>
                <c:formatCode>"$"#,##0.00;("$"#,##0.00);"-"</c:formatCode>
                <c:ptCount val="0"/>
              </c:numCache>
            </c:numRef>
          </c:val>
        </c:ser>
        <c:ser>
          <c:idx val="1"/>
          <c:order val="1"/>
          <c:tx>
            <c:v>Available cash</c:v>
          </c:tx>
          <c:spPr>
            <a:solidFill xmlns:a="http://schemas.openxmlformats.org/drawingml/2006/main">
              <a:srgbClr val="B57824"/>
            </a:solidFill>
          </c:spPr>
          <c:invertIfNegative val="0"/>
          <c:cat>
            <c:strRef>
              <c:f>'Comparison'!$H$6:$H$7</c:f>
              <c:strCache>
                <c:ptCount val="0"/>
              </c:strCache>
            </c:strRef>
          </c:cat>
          <c:val>
            <c:numRef>
              <c:f>'Comparison'!$J$6:$J$7</c:f>
              <c:numCache>
                <c:formatCode>"$"#,##0.00;("$"#,##0.00);"-"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88c09c2ebcf467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05f0ba332694ed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1.xml" Id="R8183cbb621f14aef" /><Relationship Type="http://schemas.openxmlformats.org/officeDocument/2006/relationships/vmlDrawing" Target="/xl/drawings/vmldrawing.vml" Id="R655029af5a9f4e2f" /></Relationships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2" customHeight="1">
      <x:c r="A1" s="2"/>
      <x:c r="B1" s="2"/>
      <x:c r="C1" s="2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2" customHeight="1">
      <x:c r="A2" s="2"/>
      <x:c r="B2" s="2"/>
      <x:c r="C2" s="5" t="str">
        <x:v>Rental property comparison</x:v>
      </x:c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2" customHeight="1">
      <x:c r="A3" s="2"/>
      <x:c r="B3" s="2"/>
      <x:c r="C3" s="2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35" customHeight="1">
      <x:c r="A4" s="2"/>
      <x:c r="B4" s="2"/>
      <x:c r="C4" s="15"/>
      <x:c r="D4" s="16" t="str">
        <x:v>Property A</x:v>
      </x:c>
      <x:c r="E4" s="16" t="str">
        <x:v>Property B</x:v>
      </x:c>
      <x:c r="F4" s="4"/>
      <x:c r="G4" s="4"/>
      <x:c r="H4" s="4"/>
      <x:c r="I4" s="4"/>
      <x:c r="J4" s="4"/>
      <x:c r="K4" s="4"/>
      <x:c r="L4" s="4"/>
      <x:c r="M4" s="4"/>
      <x:c r="N4" s="4"/>
    </x:row>
    <x:row r="5" ht="22" customHeight="1">
      <x:c r="A5" s="2"/>
      <x:c r="B5" s="2"/>
      <x:c r="C5" s="2"/>
      <x:c r="D5" s="4"/>
      <x:c r="E5" s="4"/>
      <x:c r="F5" s="4"/>
      <x:c r="G5" s="4"/>
      <x:c r="H5" s="4" t="str">
        <x:v>Property</x:v>
      </x:c>
      <x:c r="I5" s="4" t="str">
        <x:v>NOI</x:v>
      </x:c>
      <x:c r="J5" s="4" t="str">
        <x:v>Available cash</x:v>
      </x:c>
      <x:c r="K5" s="4"/>
      <x:c r="L5" s="4"/>
      <x:c r="M5" s="4"/>
      <x:c r="N5" s="4"/>
    </x:row>
    <x:row r="6" ht="22" customHeight="1">
      <x:c r="A6" s="2"/>
      <x:c r="B6" s="2"/>
      <x:c r="C6" s="2" t="str">
        <x:v>Acquisition price</x:v>
      </x:c>
      <x:c r="D6" s="4" t="n">
        <x:f>IF(ISNUMBER('Inputs'!D5),'Inputs'!D5,"n.a.")</x:f>
        <x:v>250000</x:v>
      </x:c>
      <x:c r="E6" s="4" t="n">
        <x:f>IF(ISNUMBER('Inputs'!E5),'Inputs'!E5,"n.a.")</x:f>
        <x:v>190000</x:v>
      </x:c>
      <x:c r="F6" s="4"/>
      <x:c r="G6" s="4"/>
      <x:c r="H6" s="4" t="str">
        <x:v>A</x:v>
      </x:c>
      <x:c r="I6" s="19" t="n">
        <x:f>IF(ISNUMBER(D11),D11,NA())</x:f>
        <x:v>17419.8</x:v>
      </x:c>
      <x:c r="J6" s="19" t="n">
        <x:f>IF(ISNUMBER(D16),D16,NA())</x:f>
        <x:v>-347.3999999999978</x:v>
      </x:c>
      <x:c r="K6" s="4"/>
      <x:c r="L6" s="4"/>
      <x:c r="M6" s="4"/>
      <x:c r="N6" s="4"/>
    </x:row>
    <x:row r="7" ht="22" customHeight="1">
      <x:c r="A7" s="2"/>
      <x:c r="B7" s="2"/>
      <x:c r="C7" s="2" t="str">
        <x:v>Initial cash invested</x:v>
      </x:c>
      <x:c r="D7" s="4" t="n">
        <x:f>IF('Inputs'!D27="Ready",SUM('Inputs'!D5:D7)-'Inputs'!D8,"n.a.")</x:f>
        <x:v>60000</x:v>
      </x:c>
      <x:c r="E7" s="4" t="n">
        <x:f>IF('Inputs'!E27="Ready",SUM('Inputs'!E5:E7)-'Inputs'!E8,"n.a.")</x:f>
        <x:v>70000</x:v>
      </x:c>
      <x:c r="F7" s="4"/>
      <x:c r="G7" s="4"/>
      <x:c r="H7" s="4" t="str">
        <x:v>B</x:v>
      </x:c>
      <x:c r="I7" s="19" t="n">
        <x:f>IF(ISNUMBER(E11),E11,NA())</x:f>
        <x:v>13474.560000000005</x:v>
      </x:c>
      <x:c r="J7" s="19" t="n">
        <x:f>IF(ISNUMBER(E16),E16,NA())</x:f>
        <x:v>343.56000000000154</x:v>
      </x:c>
      <x:c r="K7" s="4"/>
      <x:c r="L7" s="4"/>
      <x:c r="M7" s="4"/>
      <x:c r="N7" s="4"/>
    </x:row>
    <x:row r="8" ht="22" customHeight="1">
      <x:c r="A8" s="2"/>
      <x:c r="B8" s="2"/>
      <x:c r="C8" s="2" t="str">
        <x:v>Potential annual rent</x:v>
      </x:c>
      <x:c r="D8" s="4" t="n">
        <x:f>'Year 1'!D6</x:f>
        <x:v>28800</x:v>
      </x:c>
      <x:c r="E8" s="4" t="n">
        <x:f>'Year 1'!D38</x:f>
        <x:v>24000</x:v>
      </x:c>
      <x:c r="F8" s="4"/>
      <x:c r="G8" s="4"/>
      <x:c r="H8" s="4"/>
      <x:c r="I8" s="4"/>
      <x:c r="J8" s="4"/>
      <x:c r="K8" s="4"/>
      <x:c r="L8" s="4"/>
      <x:c r="M8" s="4"/>
      <x:c r="N8" s="4"/>
    </x:row>
    <x:row r="9" ht="22" customHeight="1">
      <x:c r="A9" s="2"/>
      <x:c r="B9" s="2"/>
      <x:c r="C9" s="2" t="str">
        <x:v>Effective gross income</x:v>
      </x:c>
      <x:c r="D9" s="4" t="n">
        <x:f>'Year 1'!D10</x:f>
        <x:v>27412.800000000007</x:v>
      </x:c>
      <x:c r="E9" s="4" t="n">
        <x:f>'Year 1'!D42</x:f>
        <x:v>21638.400000000005</x:v>
      </x:c>
      <x:c r="F9" s="4"/>
      <x:c r="G9" s="4"/>
      <x:c r="H9" s="4"/>
      <x:c r="I9" s="4"/>
      <x:c r="J9" s="4"/>
      <x:c r="K9" s="4"/>
      <x:c r="L9" s="4"/>
      <x:c r="M9" s="4"/>
      <x:c r="N9" s="4"/>
    </x:row>
    <x:row r="10" ht="22" customHeight="1">
      <x:c r="A10" s="2"/>
      <x:c r="B10" s="2"/>
      <x:c r="C10" s="2" t="str">
        <x:v>Operating costs</x:v>
      </x:c>
      <x:c r="D10" s="4" t="n">
        <x:f>'Year 1'!D14</x:f>
        <x:v>9993</x:v>
      </x:c>
      <x:c r="E10" s="4" t="n">
        <x:f>'Year 1'!D46</x:f>
        <x:v>8163.839999999997</x:v>
      </x:c>
      <x:c r="F10" s="4"/>
      <x:c r="G10" s="4"/>
      <x:c r="H10" s="4"/>
      <x:c r="I10" s="4"/>
      <x:c r="J10" s="4"/>
      <x:c r="K10" s="4"/>
      <x:c r="L10" s="4"/>
      <x:c r="M10" s="4"/>
      <x:c r="N10" s="4"/>
    </x:row>
    <x:row r="11" ht="22" customHeight="1">
      <x:c r="A11" s="2"/>
      <x:c r="B11" s="2"/>
      <x:c r="C11" s="2" t="str">
        <x:v>NOI before financing</x:v>
      </x:c>
      <x:c r="D11" s="4" t="n">
        <x:f>'Year 1'!D16</x:f>
        <x:v>17419.8</x:v>
      </x:c>
      <x:c r="E11" s="4" t="n">
        <x:f>'Year 1'!D48</x:f>
        <x:v>13474.560000000005</x:v>
      </x:c>
      <x:c r="F11" s="4"/>
      <x:c r="G11" s="4"/>
      <x:c r="H11" s="4"/>
      <x:c r="I11" s="4"/>
      <x:c r="J11" s="4"/>
      <x:c r="K11" s="4"/>
      <x:c r="L11" s="4"/>
      <x:c r="M11" s="4"/>
      <x:c r="N11" s="4"/>
    </x:row>
    <x:row r="12" ht="22" customHeight="1">
      <x:c r="A12" s="2"/>
      <x:c r="B12" s="2"/>
      <x:c r="C12" s="2" t="str">
        <x:v>Annual debt payments</x:v>
      </x:c>
      <x:c r="D12" s="4" t="n">
        <x:f>'Year 1'!D20</x:f>
        <x:v>15967.200000000003</x:v>
      </x:c>
      <x:c r="E12" s="4" t="n">
        <x:f>'Year 1'!D52</x:f>
        <x:v>11631</x:v>
      </x:c>
      <x:c r="F12" s="4"/>
      <x:c r="G12" s="4"/>
      <x:c r="H12" s="4"/>
      <x:c r="I12" s="4"/>
      <x:c r="J12" s="4"/>
      <x:c r="K12" s="4"/>
      <x:c r="L12" s="4"/>
      <x:c r="M12" s="4"/>
      <x:c r="N12" s="4"/>
    </x:row>
    <x:row r="13" ht="22" customHeight="1">
      <x:c r="A13" s="2"/>
      <x:c r="B13" s="2"/>
      <x:c r="C13" s="2" t="str">
        <x:v>Interest paid</x:v>
      </x:c>
      <x:c r="D13" s="4" t="n">
        <x:f>'Year 1'!D19</x:f>
        <x:v>13935.650000000001</x:v>
      </x:c>
      <x:c r="E13" s="4" t="n">
        <x:f>'Year 1'!D51</x:f>
        <x:v>8353.51</x:v>
      </x:c>
      <x:c r="F13" s="4"/>
      <x:c r="G13" s="4"/>
      <x:c r="H13" s="4"/>
      <x:c r="I13" s="4"/>
      <x:c r="J13" s="4"/>
      <x:c r="K13" s="4"/>
      <x:c r="L13" s="4"/>
      <x:c r="M13" s="4"/>
      <x:c r="N13" s="4"/>
    </x:row>
    <x:row r="14" ht="22" customHeight="1">
      <x:c r="A14" s="2"/>
      <x:c r="B14" s="2"/>
      <x:c r="C14" s="2" t="str">
        <x:v>Principal repaid</x:v>
      </x:c>
      <x:c r="D14" s="4" t="n">
        <x:f>'Year 1'!D21</x:f>
        <x:v>2031.5499999999995</x:v>
      </x:c>
      <x:c r="E14" s="4" t="n">
        <x:f>'Year 1'!D53</x:f>
        <x:v>3277.4900000000002</x:v>
      </x:c>
      <x:c r="F14" s="4"/>
      <x:c r="G14" s="4"/>
      <x:c r="H14" s="4"/>
      <x:c r="I14" s="4"/>
      <x:c r="J14" s="4"/>
      <x:c r="K14" s="4"/>
      <x:c r="L14" s="4"/>
      <x:c r="M14" s="4"/>
      <x:c r="N14" s="4"/>
    </x:row>
    <x:row r="15" ht="22" customHeight="1">
      <x:c r="A15" s="2"/>
      <x:c r="B15" s="2"/>
      <x:c r="C15" s="2" t="str">
        <x:v>Year-end loan balance</x:v>
      </x:c>
      <x:c r="D15" s="4" t="n">
        <x:f>'Year 1'!D22</x:f>
        <x:v>197968.45</x:v>
      </x:c>
      <x:c r="E15" s="4" t="n">
        <x:f>'Year 1'!D54</x:f>
        <x:v>126722.51</x:v>
      </x:c>
      <x:c r="F15" s="4"/>
      <x:c r="G15" s="4"/>
      <x:c r="H15" s="4"/>
      <x:c r="I15" s="4"/>
      <x:c r="J15" s="4"/>
      <x:c r="K15" s="4"/>
      <x:c r="L15" s="4"/>
      <x:c r="M15" s="4"/>
      <x:c r="N15" s="4"/>
    </x:row>
    <x:row r="16" ht="22" customHeight="1">
      <x:c r="A16" s="2"/>
      <x:c r="B16" s="2"/>
      <x:c r="C16" s="2" t="str">
        <x:v>Available after capex and reserves</x:v>
      </x:c>
      <x:c r="D16" s="4" t="n">
        <x:f>'Year 1'!D28</x:f>
        <x:v>-347.3999999999978</x:v>
      </x:c>
      <x:c r="E16" s="4" t="n">
        <x:f>'Year 1'!D60</x:f>
        <x:v>343.56000000000154</x:v>
      </x:c>
      <x:c r="F16" s="4"/>
      <x:c r="G16" s="4"/>
      <x:c r="H16" s="4"/>
      <x:c r="I16" s="4"/>
      <x:c r="J16" s="4"/>
      <x:c r="K16" s="4"/>
      <x:c r="L16" s="4"/>
      <x:c r="M16" s="4"/>
      <x:c r="N16" s="4"/>
    </x:row>
    <x:row r="17" ht="22" customHeight="1">
      <x:c r="A17" s="2"/>
      <x:c r="B17" s="2"/>
      <x:c r="C17" s="2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</x:row>
    <x:row r="18" ht="22" customHeight="1">
      <x:c r="A18" s="2"/>
      <x:c r="B18" s="2"/>
      <x:c r="C18" s="34" t="str">
        <x:v>Cap rate: NOI / purchase price</x:v>
      </x:c>
      <x:c r="D18" s="35" t="n">
        <x:f>IF(AND(ISNUMBER(D11),ISNUMBER(D6),D6&gt;0),D11/D6,"n.a.")</x:f>
        <x:v>0.0696792</x:v>
      </x:c>
      <x:c r="E18" s="35" t="n">
        <x:f>IF(AND(ISNUMBER(E11),ISNUMBER(E6),E6&gt;0),E11/E6,"n.a.")</x:f>
        <x:v>0.07091873684210528</x:v>
      </x:c>
      <x:c r="F18" s="4"/>
      <x:c r="G18" s="4"/>
      <x:c r="H18" s="4"/>
      <x:c r="I18" s="4"/>
      <x:c r="J18" s="4"/>
      <x:c r="K18" s="4"/>
      <x:c r="L18" s="4"/>
      <x:c r="M18" s="4"/>
      <x:c r="N18" s="4"/>
    </x:row>
    <x:row r="19" ht="22" customHeight="1">
      <x:c r="A19" s="2"/>
      <x:c r="B19" s="2"/>
      <x:c r="C19" s="34" t="str">
        <x:v>Cash-on-cash after allocations</x:v>
      </x:c>
      <x:c r="D19" s="35" t="n">
        <x:f>IF(AND(ISNUMBER(D16),ISNUMBER(D7),D7&gt;0),D16/D7,"n.a.")</x:f>
        <x:v>-0.005789999999999964</x:v>
      </x:c>
      <x:c r="E19" s="35" t="n">
        <x:f>IF(AND(ISNUMBER(E16),ISNUMBER(E7),E7&gt;0),E16/E7,"n.a.")</x:f>
        <x:v>0.004908000000000022</x:v>
      </x:c>
      <x:c r="F19" s="4"/>
      <x:c r="G19" s="4"/>
      <x:c r="H19" s="4"/>
      <x:c r="I19" s="4"/>
      <x:c r="J19" s="4"/>
      <x:c r="K19" s="4"/>
      <x:c r="L19" s="4"/>
      <x:c r="M19" s="4"/>
      <x:c r="N19" s="4"/>
    </x:row>
    <x:row r="20" ht="22" customHeight="1">
      <x:c r="A20" s="2"/>
      <x:c r="B20" s="2"/>
      <x:c r="C20" s="34" t="str">
        <x:v>NOI / annual debt service</x:v>
      </x:c>
      <x:c r="D20" s="37" t="n">
        <x:f>IF(AND(ISNUMBER(D11),ISNUMBER(D12),D12&gt;0),D11/D12,"n.a.")</x:f>
        <x:v>1.0909739966932208</x:v>
      </x:c>
      <x:c r="E20" s="37" t="n">
        <x:f>IF(AND(ISNUMBER(E11),ISNUMBER(E12),E12&gt;0),E11/E12,"n.a.")</x:f>
        <x:v>1.1585039979365492</x:v>
      </x:c>
      <x:c r="F20" s="4"/>
      <x:c r="G20" s="4"/>
      <x:c r="H20" s="4"/>
      <x:c r="I20" s="4"/>
      <x:c r="J20" s="4"/>
      <x:c r="K20" s="4"/>
      <x:c r="L20" s="4"/>
      <x:c r="M20" s="4"/>
      <x:c r="N20" s="4"/>
    </x:row>
    <x:row r="21" ht="22" customHeight="1">
      <x:c r="A21" s="2"/>
      <x:c r="B21" s="2"/>
      <x:c r="C21" s="34" t="str">
        <x:v>(NOI less reserve) / debt service</x:v>
      </x:c>
      <x:c r="D21" s="37" t="n">
        <x:f>IF(AND(ISNUMBER(D11),ISNUMBER(D12),D12&gt;0),(D11-'Inputs'!D23)/D12,"n.a.")</x:f>
        <x:v>1.0158199308582592</x:v>
      </x:c>
      <x:c r="E21" s="37" t="n">
        <x:f>IF(AND(ISNUMBER(E11),ISNUMBER(E12),E12&gt;0),(E11-'Inputs'!E23)/E12,"n.a.")</x:f>
        <x:v>1.0725268678531514</x:v>
      </x:c>
      <x:c r="F21" s="4"/>
      <x:c r="G21" s="4"/>
      <x:c r="H21" s="4"/>
      <x:c r="I21" s="4"/>
      <x:c r="J21" s="4"/>
      <x:c r="K21" s="4"/>
      <x:c r="L21" s="4"/>
      <x:c r="M21" s="4"/>
      <x:c r="N21" s="4"/>
    </x:row>
    <x:row r="22" ht="22" customHeight="1">
      <x:c r="A22" s="2"/>
      <x:c r="B22" s="2"/>
      <x:c r="C22" s="2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</x:row>
    <x:row r="23" ht="22" customHeight="1">
      <x:c r="A23" s="2"/>
      <x:c r="B23" s="2"/>
      <x:c r="C23" s="2" t="str">
        <x:v>Debt roll-forward difference</x:v>
      </x:c>
      <x:c r="D23" s="38" t="n">
        <x:f>'Year 1'!D30</x:f>
        <x:v>0</x:v>
      </x:c>
      <x:c r="E23" s="38" t="n">
        <x:f>'Year 1'!D62</x:f>
        <x:v>0</x:v>
      </x:c>
      <x:c r="F23" s="4"/>
      <x:c r="G23" s="4"/>
      <x:c r="H23" s="4"/>
      <x:c r="I23" s="4"/>
      <x:c r="J23" s="4"/>
      <x:c r="K23" s="4"/>
      <x:c r="L23" s="4"/>
      <x:c r="M23" s="4"/>
      <x:c r="N23" s="4"/>
    </x:row>
    <x:row r="24" ht="22" customHeight="1">
      <x:c r="A24" s="2"/>
      <x:c r="B24" s="2"/>
      <x:c r="C24" s="2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</x:row>
    <x:row r="25" ht="22" customHeight="1">
      <x:c r="A25" s="2"/>
      <x:c r="B25" s="2"/>
      <x:c r="C25" s="2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</x:row>
    <x:row r="26" ht="22" customHeight="1">
      <x:c r="A26" s="2"/>
      <x:c r="B26" s="2"/>
      <x:c r="C26" s="2" t="str">
        <x:v>Cash flow and coverage are model measures, not lender approval or tax profit.</x:v>
      </x:c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</x:row>
    <x:row r="27" ht="22" customHeight="1">
      <x:c r="A27" s="2"/>
      <x:c r="B27" s="2"/>
      <x:c r="C27" s="2" t="str">
        <x:v>No-loan coverage and zero-cash-invested returns are unavailable, not infinite.</x:v>
      </x:c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</x:row>
    <x:row r="28" ht="22" customHeight="1">
      <x:c r="A28" s="2"/>
      <x:c r="B28" s="2"/>
      <x:c r="C28" s="2" t="str">
        <x:v>Both properties use the same 12-month forecast calendar.</x:v>
      </x:c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</x:row>
    <x:row r="29" ht="22" customHeight="1">
      <x:c r="A29" s="2"/>
      <x:c r="B29" s="2"/>
      <x:c r="C29" s="2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 ht="22" customHeight="1">
      <x:c r="A30" s="2"/>
      <x:c r="B30" s="2"/>
      <x:c r="C30" s="2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 ht="22" customHeight="1">
      <x:c r="A31" s="2"/>
      <x:c r="B31" s="2"/>
      <x:c r="C31" s="2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</x:row>
  </x:sheetData>
  <x:pageMargins left="0.7" right="0.7" top="0.75" bottom="0.75" header="0.3" footer="0.3"/>
  <x:drawing xmlns:r="http://schemas.openxmlformats.org/officeDocument/2006/relationships" r:id="R205f0ba332694ed8"/>
</x:worksheet>
</file>

<file path=xl/worksheets/sheet2.xml><?xml version="1.0" encoding="utf-8"?>
<x:worksheet xmlns:x="http://schemas.openxmlformats.org/spreadsheetml/2006/main">
  <x:sheetPr>
    <x:tabColor rgb="FF17364D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</x:cols>
  <x:sheetData>
    <x:row r="1" ht="22" customHeight="1">
      <x:c r="A1" s="2"/>
      <x:c r="B1" s="2"/>
      <x:c r="C1" s="2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22" customHeight="1">
      <x:c r="A2" s="2"/>
      <x:c r="B2" s="2"/>
      <x:c r="C2" s="5" t="str">
        <x:v>First-year rental and loan forecast</x:v>
      </x:c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</x:row>
    <x:row r="3" ht="22" customHeight="1">
      <x:c r="A3" s="2"/>
      <x:c r="B3" s="2"/>
      <x:c r="C3" s="2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2" customHeight="1">
      <x:c r="A4" s="2"/>
      <x:c r="B4" s="2"/>
      <x:c r="C4" s="2"/>
      <x:c r="D4" s="4"/>
      <x:c r="E4" s="20" t="str">
        <x:f>'Inputs'!D27</x:f>
        <x:v>Ready</x:v>
      </x:c>
      <x:c r="F4" s="20" t="str">
        <x:f>'Inputs'!D27</x:f>
        <x:v>Ready</x:v>
      </x:c>
      <x:c r="G4" s="20" t="str">
        <x:f>'Inputs'!D27</x:f>
        <x:v>Ready</x:v>
      </x:c>
      <x:c r="H4" s="20" t="str">
        <x:f>'Inputs'!D27</x:f>
        <x:v>Ready</x:v>
      </x:c>
      <x:c r="I4" s="20" t="str">
        <x:f>'Inputs'!D27</x:f>
        <x:v>Ready</x:v>
      </x:c>
      <x:c r="J4" s="20" t="str">
        <x:f>'Inputs'!D27</x:f>
        <x:v>Ready</x:v>
      </x:c>
      <x:c r="K4" s="20" t="str">
        <x:f>'Inputs'!D27</x:f>
        <x:v>Ready</x:v>
      </x:c>
      <x:c r="L4" s="20" t="str">
        <x:f>'Inputs'!D27</x:f>
        <x:v>Ready</x:v>
      </x:c>
      <x:c r="M4" s="20" t="str">
        <x:f>'Inputs'!D27</x:f>
        <x:v>Ready</x:v>
      </x:c>
      <x:c r="N4" s="20" t="str">
        <x:f>'Inputs'!D27</x:f>
        <x:v>Ready</x:v>
      </x:c>
      <x:c r="O4" s="20" t="str">
        <x:f>'Inputs'!D27</x:f>
        <x:v>Ready</x:v>
      </x:c>
      <x:c r="P4" s="20" t="str">
        <x:f>'Inputs'!D27</x:f>
        <x:v>Ready</x:v>
      </x:c>
    </x:row>
    <x:row r="5" ht="35" customHeight="1">
      <x:c r="A5" s="2"/>
      <x:c r="B5" s="2"/>
      <x:c r="C5" s="15" t="str">
        <x:v>Property A</x:v>
      </x:c>
      <x:c r="D5" s="16" t="str">
        <x:v>Year 1</x:v>
      </x:c>
      <x:c r="E5" s="25" t="n">
        <x:f>IF(IF(ISNUMBER('Inputs'!$J$5),IF(AND('Inputs'!$J$5&gt;=DATE(1900,1,1),'Inputs'!$J$5&lt;=DATE(2200,12,31)),DAY('Inputs'!$J$5)=1,FALSE),FALSE),EDATE('Inputs'!$J$5,0),"n.a.")</x:f>
        <x:v>46327</x:v>
      </x:c>
      <x:c r="F5" s="25" t="n">
        <x:f>IF(IF(ISNUMBER('Inputs'!$J$5),IF(AND('Inputs'!$J$5&gt;=DATE(1900,1,1),'Inputs'!$J$5&lt;=DATE(2200,12,31)),DAY('Inputs'!$J$5)=1,FALSE),FALSE),EDATE('Inputs'!$J$5,1),"n.a.")</x:f>
        <x:v>46357</x:v>
      </x:c>
      <x:c r="G5" s="25" t="n">
        <x:f>IF(IF(ISNUMBER('Inputs'!$J$5),IF(AND('Inputs'!$J$5&gt;=DATE(1900,1,1),'Inputs'!$J$5&lt;=DATE(2200,12,31)),DAY('Inputs'!$J$5)=1,FALSE),FALSE),EDATE('Inputs'!$J$5,2),"n.a.")</x:f>
        <x:v>46388</x:v>
      </x:c>
      <x:c r="H5" s="25" t="n">
        <x:f>IF(IF(ISNUMBER('Inputs'!$J$5),IF(AND('Inputs'!$J$5&gt;=DATE(1900,1,1),'Inputs'!$J$5&lt;=DATE(2200,12,31)),DAY('Inputs'!$J$5)=1,FALSE),FALSE),EDATE('Inputs'!$J$5,3),"n.a.")</x:f>
        <x:v>46419</x:v>
      </x:c>
      <x:c r="I5" s="25" t="n">
        <x:f>IF(IF(ISNUMBER('Inputs'!$J$5),IF(AND('Inputs'!$J$5&gt;=DATE(1900,1,1),'Inputs'!$J$5&lt;=DATE(2200,12,31)),DAY('Inputs'!$J$5)=1,FALSE),FALSE),EDATE('Inputs'!$J$5,4),"n.a.")</x:f>
        <x:v>46447</x:v>
      </x:c>
      <x:c r="J5" s="25" t="n">
        <x:f>IF(IF(ISNUMBER('Inputs'!$J$5),IF(AND('Inputs'!$J$5&gt;=DATE(1900,1,1),'Inputs'!$J$5&lt;=DATE(2200,12,31)),DAY('Inputs'!$J$5)=1,FALSE),FALSE),EDATE('Inputs'!$J$5,5),"n.a.")</x:f>
        <x:v>46478</x:v>
      </x:c>
      <x:c r="K5" s="25" t="n">
        <x:f>IF(IF(ISNUMBER('Inputs'!$J$5),IF(AND('Inputs'!$J$5&gt;=DATE(1900,1,1),'Inputs'!$J$5&lt;=DATE(2200,12,31)),DAY('Inputs'!$J$5)=1,FALSE),FALSE),EDATE('Inputs'!$J$5,6),"n.a.")</x:f>
        <x:v>46508</x:v>
      </x:c>
      <x:c r="L5" s="25" t="n">
        <x:f>IF(IF(ISNUMBER('Inputs'!$J$5),IF(AND('Inputs'!$J$5&gt;=DATE(1900,1,1),'Inputs'!$J$5&lt;=DATE(2200,12,31)),DAY('Inputs'!$J$5)=1,FALSE),FALSE),EDATE('Inputs'!$J$5,7),"n.a.")</x:f>
        <x:v>46539</x:v>
      </x:c>
      <x:c r="M5" s="25" t="n">
        <x:f>IF(IF(ISNUMBER('Inputs'!$J$5),IF(AND('Inputs'!$J$5&gt;=DATE(1900,1,1),'Inputs'!$J$5&lt;=DATE(2200,12,31)),DAY('Inputs'!$J$5)=1,FALSE),FALSE),EDATE('Inputs'!$J$5,8),"n.a.")</x:f>
        <x:v>46569</x:v>
      </x:c>
      <x:c r="N5" s="25" t="n">
        <x:f>IF(IF(ISNUMBER('Inputs'!$J$5),IF(AND('Inputs'!$J$5&gt;=DATE(1900,1,1),'Inputs'!$J$5&lt;=DATE(2200,12,31)),DAY('Inputs'!$J$5)=1,FALSE),FALSE),EDATE('Inputs'!$J$5,9),"n.a.")</x:f>
        <x:v>46600</x:v>
      </x:c>
      <x:c r="O5" s="25" t="n">
        <x:f>IF(IF(ISNUMBER('Inputs'!$J$5),IF(AND('Inputs'!$J$5&gt;=DATE(1900,1,1),'Inputs'!$J$5&lt;=DATE(2200,12,31)),DAY('Inputs'!$J$5)=1,FALSE),FALSE),EDATE('Inputs'!$J$5,10),"n.a.")</x:f>
        <x:v>46631</x:v>
      </x:c>
      <x:c r="P5" s="25" t="n">
        <x:f>IF(IF(ISNUMBER('Inputs'!$J$5),IF(AND('Inputs'!$J$5&gt;=DATE(1900,1,1),'Inputs'!$J$5&lt;=DATE(2200,12,31)),DAY('Inputs'!$J$5)=1,FALSE),FALSE),EDATE('Inputs'!$J$5,11),"n.a.")</x:f>
        <x:v>46661</x:v>
      </x:c>
    </x:row>
    <x:row r="6" ht="22" customHeight="1">
      <x:c r="A6" s="2"/>
      <x:c r="B6" s="2"/>
      <x:c r="C6" s="2" t="str">
        <x:v>Potential rental income</x:v>
      </x:c>
      <x:c r="D6" s="19" t="n">
        <x:f>IF(COUNT(E6:P6)=12,SUM(E6:P6),"n.a.")</x:f>
        <x:v>28800</x:v>
      </x:c>
      <x:c r="E6" s="20" t="n">
        <x:f>IF(E4="Ready",'Inputs'!$D$11,"n.a.")</x:f>
        <x:v>2400</x:v>
      </x:c>
      <x:c r="F6" s="20" t="n">
        <x:f>IF(F4="Ready",'Inputs'!$D$11,"n.a.")</x:f>
        <x:v>2400</x:v>
      </x:c>
      <x:c r="G6" s="20" t="n">
        <x:f>IF(G4="Ready",'Inputs'!$D$11,"n.a.")</x:f>
        <x:v>2400</x:v>
      </x:c>
      <x:c r="H6" s="20" t="n">
        <x:f>IF(H4="Ready",'Inputs'!$D$11,"n.a.")</x:f>
        <x:v>2400</x:v>
      </x:c>
      <x:c r="I6" s="20" t="n">
        <x:f>IF(I4="Ready",'Inputs'!$D$11,"n.a.")</x:f>
        <x:v>2400</x:v>
      </x:c>
      <x:c r="J6" s="20" t="n">
        <x:f>IF(J4="Ready",'Inputs'!$D$11,"n.a.")</x:f>
        <x:v>2400</x:v>
      </x:c>
      <x:c r="K6" s="20" t="n">
        <x:f>IF(K4="Ready",'Inputs'!$D$11,"n.a.")</x:f>
        <x:v>2400</x:v>
      </x:c>
      <x:c r="L6" s="20" t="n">
        <x:f>IF(L4="Ready",'Inputs'!$D$11,"n.a.")</x:f>
        <x:v>2400</x:v>
      </x:c>
      <x:c r="M6" s="20" t="n">
        <x:f>IF(M4="Ready",'Inputs'!$D$11,"n.a.")</x:f>
        <x:v>2400</x:v>
      </x:c>
      <x:c r="N6" s="20" t="n">
        <x:f>IF(N4="Ready",'Inputs'!$D$11,"n.a.")</x:f>
        <x:v>2400</x:v>
      </x:c>
      <x:c r="O6" s="20" t="n">
        <x:f>IF(O4="Ready",'Inputs'!$D$11,"n.a.")</x:f>
        <x:v>2400</x:v>
      </x:c>
      <x:c r="P6" s="20" t="n">
        <x:f>IF(P4="Ready",'Inputs'!$D$11,"n.a.")</x:f>
        <x:v>2400</x:v>
      </x:c>
    </x:row>
    <x:row r="7" ht="22" customHeight="1">
      <x:c r="A7" s="2"/>
      <x:c r="B7" s="2"/>
      <x:c r="C7" s="2" t="str">
        <x:v>Vacancy loss</x:v>
      </x:c>
      <x:c r="D7" s="19" t="n">
        <x:f>IF(COUNT(E7:P7)=12,SUM(E7:P7),"n.a.")</x:f>
        <x:v>1440</x:v>
      </x:c>
      <x:c r="E7" s="20" t="n">
        <x:f>IF(E4="Ready",ROUND(E6*'Inputs'!$D$12,2),"n.a.")</x:f>
        <x:v>120</x:v>
      </x:c>
      <x:c r="F7" s="20" t="n">
        <x:f>IF(F4="Ready",ROUND(F6*'Inputs'!$D$12,2),"n.a.")</x:f>
        <x:v>120</x:v>
      </x:c>
      <x:c r="G7" s="20" t="n">
        <x:f>IF(G4="Ready",ROUND(G6*'Inputs'!$D$12,2),"n.a.")</x:f>
        <x:v>120</x:v>
      </x:c>
      <x:c r="H7" s="20" t="n">
        <x:f>IF(H4="Ready",ROUND(H6*'Inputs'!$D$12,2),"n.a.")</x:f>
        <x:v>120</x:v>
      </x:c>
      <x:c r="I7" s="20" t="n">
        <x:f>IF(I4="Ready",ROUND(I6*'Inputs'!$D$12,2),"n.a.")</x:f>
        <x:v>120</x:v>
      </x:c>
      <x:c r="J7" s="20" t="n">
        <x:f>IF(J4="Ready",ROUND(J6*'Inputs'!$D$12,2),"n.a.")</x:f>
        <x:v>120</x:v>
      </x:c>
      <x:c r="K7" s="20" t="n">
        <x:f>IF(K4="Ready",ROUND(K6*'Inputs'!$D$12,2),"n.a.")</x:f>
        <x:v>120</x:v>
      </x:c>
      <x:c r="L7" s="20" t="n">
        <x:f>IF(L4="Ready",ROUND(L6*'Inputs'!$D$12,2),"n.a.")</x:f>
        <x:v>120</x:v>
      </x:c>
      <x:c r="M7" s="20" t="n">
        <x:f>IF(M4="Ready",ROUND(M6*'Inputs'!$D$12,2),"n.a.")</x:f>
        <x:v>120</x:v>
      </x:c>
      <x:c r="N7" s="20" t="n">
        <x:f>IF(N4="Ready",ROUND(N6*'Inputs'!$D$12,2),"n.a.")</x:f>
        <x:v>120</x:v>
      </x:c>
      <x:c r="O7" s="20" t="n">
        <x:f>IF(O4="Ready",ROUND(O6*'Inputs'!$D$12,2),"n.a.")</x:f>
        <x:v>120</x:v>
      </x:c>
      <x:c r="P7" s="20" t="n">
        <x:f>IF(P4="Ready",ROUND(P6*'Inputs'!$D$12,2),"n.a.")</x:f>
        <x:v>120</x:v>
      </x:c>
    </x:row>
    <x:row r="8" ht="22" customHeight="1">
      <x:c r="A8" s="2"/>
      <x:c r="B8" s="2"/>
      <x:c r="C8" s="2" t="str">
        <x:v>Credit loss</x:v>
      </x:c>
      <x:c r="D8" s="19" t="n">
        <x:f>IF(COUNT(E8:P8)=12,SUM(E8:P8),"n.a.")</x:f>
        <x:v>547.2000000000002</x:v>
      </x:c>
      <x:c r="E8" s="20" t="n">
        <x:f>IF(E4="Ready",ROUND((E6-E7)*'Inputs'!$D$13,2),"n.a.")</x:f>
        <x:v>45.6</x:v>
      </x:c>
      <x:c r="F8" s="20" t="n">
        <x:f>IF(F4="Ready",ROUND((F6-F7)*'Inputs'!$D$13,2),"n.a.")</x:f>
        <x:v>45.6</x:v>
      </x:c>
      <x:c r="G8" s="20" t="n">
        <x:f>IF(G4="Ready",ROUND((G6-G7)*'Inputs'!$D$13,2),"n.a.")</x:f>
        <x:v>45.6</x:v>
      </x:c>
      <x:c r="H8" s="20" t="n">
        <x:f>IF(H4="Ready",ROUND((H6-H7)*'Inputs'!$D$13,2),"n.a.")</x:f>
        <x:v>45.6</x:v>
      </x:c>
      <x:c r="I8" s="20" t="n">
        <x:f>IF(I4="Ready",ROUND((I6-I7)*'Inputs'!$D$13,2),"n.a.")</x:f>
        <x:v>45.6</x:v>
      </x:c>
      <x:c r="J8" s="20" t="n">
        <x:f>IF(J4="Ready",ROUND((J6-J7)*'Inputs'!$D$13,2),"n.a.")</x:f>
        <x:v>45.6</x:v>
      </x:c>
      <x:c r="K8" s="20" t="n">
        <x:f>IF(K4="Ready",ROUND((K6-K7)*'Inputs'!$D$13,2),"n.a.")</x:f>
        <x:v>45.6</x:v>
      </x:c>
      <x:c r="L8" s="20" t="n">
        <x:f>IF(L4="Ready",ROUND((L6-L7)*'Inputs'!$D$13,2),"n.a.")</x:f>
        <x:v>45.6</x:v>
      </x:c>
      <x:c r="M8" s="20" t="n">
        <x:f>IF(M4="Ready",ROUND((M6-M7)*'Inputs'!$D$13,2),"n.a.")</x:f>
        <x:v>45.6</x:v>
      </x:c>
      <x:c r="N8" s="20" t="n">
        <x:f>IF(N4="Ready",ROUND((N6-N7)*'Inputs'!$D$13,2),"n.a.")</x:f>
        <x:v>45.6</x:v>
      </x:c>
      <x:c r="O8" s="20" t="n">
        <x:f>IF(O4="Ready",ROUND((O6-O7)*'Inputs'!$D$13,2),"n.a.")</x:f>
        <x:v>45.6</x:v>
      </x:c>
      <x:c r="P8" s="20" t="n">
        <x:f>IF(P4="Ready",ROUND((P6-P7)*'Inputs'!$D$13,2),"n.a.")</x:f>
        <x:v>45.6</x:v>
      </x:c>
    </x:row>
    <x:row r="9" ht="22" customHeight="1">
      <x:c r="A9" s="2"/>
      <x:c r="B9" s="2"/>
      <x:c r="C9" s="2" t="str">
        <x:v>Other operating income</x:v>
      </x:c>
      <x:c r="D9" s="19" t="n">
        <x:f>IF(COUNT(E9:P9)=12,SUM(E9:P9),"n.a.")</x:f>
        <x:v>600</x:v>
      </x:c>
      <x:c r="E9" s="20" t="n">
        <x:f>IF(E4="Ready",'Inputs'!$D$14,"n.a.")</x:f>
        <x:v>50</x:v>
      </x:c>
      <x:c r="F9" s="20" t="n">
        <x:f>IF(F4="Ready",'Inputs'!$D$14,"n.a.")</x:f>
        <x:v>50</x:v>
      </x:c>
      <x:c r="G9" s="20" t="n">
        <x:f>IF(G4="Ready",'Inputs'!$D$14,"n.a.")</x:f>
        <x:v>50</x:v>
      </x:c>
      <x:c r="H9" s="20" t="n">
        <x:f>IF(H4="Ready",'Inputs'!$D$14,"n.a.")</x:f>
        <x:v>50</x:v>
      </x:c>
      <x:c r="I9" s="20" t="n">
        <x:f>IF(I4="Ready",'Inputs'!$D$14,"n.a.")</x:f>
        <x:v>50</x:v>
      </x:c>
      <x:c r="J9" s="20" t="n">
        <x:f>IF(J4="Ready",'Inputs'!$D$14,"n.a.")</x:f>
        <x:v>50</x:v>
      </x:c>
      <x:c r="K9" s="20" t="n">
        <x:f>IF(K4="Ready",'Inputs'!$D$14,"n.a.")</x:f>
        <x:v>50</x:v>
      </x:c>
      <x:c r="L9" s="20" t="n">
        <x:f>IF(L4="Ready",'Inputs'!$D$14,"n.a.")</x:f>
        <x:v>50</x:v>
      </x:c>
      <x:c r="M9" s="20" t="n">
        <x:f>IF(M4="Ready",'Inputs'!$D$14,"n.a.")</x:f>
        <x:v>50</x:v>
      </x:c>
      <x:c r="N9" s="20" t="n">
        <x:f>IF(N4="Ready",'Inputs'!$D$14,"n.a.")</x:f>
        <x:v>50</x:v>
      </x:c>
      <x:c r="O9" s="20" t="n">
        <x:f>IF(O4="Ready",'Inputs'!$D$14,"n.a.")</x:f>
        <x:v>50</x:v>
      </x:c>
      <x:c r="P9" s="20" t="n">
        <x:f>IF(P4="Ready",'Inputs'!$D$14,"n.a.")</x:f>
        <x:v>50</x:v>
      </x:c>
    </x:row>
    <x:row r="10" ht="22" customHeight="1">
      <x:c r="A10" s="2"/>
      <x:c r="B10" s="2"/>
      <x:c r="C10" s="28" t="str">
        <x:v>Effective gross income</x:v>
      </x:c>
      <x:c r="D10" s="29" t="n">
        <x:f>IF(COUNT(E10:P10)=12,SUM(E10:P10),"n.a.")</x:f>
        <x:v>27412.800000000007</x:v>
      </x:c>
      <x:c r="E10" s="29" t="n">
        <x:f>IF(E4="Ready",E6-E7-E8+E9,"n.a.")</x:f>
        <x:v>2284.4</x:v>
      </x:c>
      <x:c r="F10" s="29" t="n">
        <x:f>IF(F4="Ready",F6-F7-F8+F9,"n.a.")</x:f>
        <x:v>2284.4</x:v>
      </x:c>
      <x:c r="G10" s="29" t="n">
        <x:f>IF(G4="Ready",G6-G7-G8+G9,"n.a.")</x:f>
        <x:v>2284.4</x:v>
      </x:c>
      <x:c r="H10" s="29" t="n">
        <x:f>IF(H4="Ready",H6-H7-H8+H9,"n.a.")</x:f>
        <x:v>2284.4</x:v>
      </x:c>
      <x:c r="I10" s="29" t="n">
        <x:f>IF(I4="Ready",I6-I7-I8+I9,"n.a.")</x:f>
        <x:v>2284.4</x:v>
      </x:c>
      <x:c r="J10" s="29" t="n">
        <x:f>IF(J4="Ready",J6-J7-J8+J9,"n.a.")</x:f>
        <x:v>2284.4</x:v>
      </x:c>
      <x:c r="K10" s="29" t="n">
        <x:f>IF(K4="Ready",K6-K7-K8+K9,"n.a.")</x:f>
        <x:v>2284.4</x:v>
      </x:c>
      <x:c r="L10" s="29" t="n">
        <x:f>IF(L4="Ready",L6-L7-L8+L9,"n.a.")</x:f>
        <x:v>2284.4</x:v>
      </x:c>
      <x:c r="M10" s="29" t="n">
        <x:f>IF(M4="Ready",M6-M7-M8+M9,"n.a.")</x:f>
        <x:v>2284.4</x:v>
      </x:c>
      <x:c r="N10" s="29" t="n">
        <x:f>IF(N4="Ready",N6-N7-N8+N9,"n.a.")</x:f>
        <x:v>2284.4</x:v>
      </x:c>
      <x:c r="O10" s="29" t="n">
        <x:f>IF(O4="Ready",O6-O7-O8+O9,"n.a.")</x:f>
        <x:v>2284.4</x:v>
      </x:c>
      <x:c r="P10" s="29" t="n">
        <x:f>IF(P4="Ready",P6-P7-P8+P9,"n.a.")</x:f>
        <x:v>2284.4</x:v>
      </x:c>
    </x:row>
    <x:row r="11" ht="22" customHeight="1">
      <x:c r="A11" s="2"/>
      <x:c r="B11" s="2"/>
      <x:c r="C11" s="2"/>
      <x:c r="D11" s="4"/>
      <x:c r="E11" s="4"/>
      <x:c r="F11" s="4"/>
      <x:c r="G11" s="4"/>
      <x:c r="H11" s="4"/>
      <x:c r="I11" s="4"/>
      <x:c r="J11" s="4"/>
      <x:c r="K11" s="4"/>
      <x:c r="L11" s="4"/>
      <x:c r="M11" s="4"/>
      <x:c r="N11" s="4"/>
      <x:c r="O11" s="4"/>
      <x:c r="P11" s="4"/>
    </x:row>
    <x:row r="12" ht="22" customHeight="1">
      <x:c r="A12" s="2"/>
      <x:c r="B12" s="2"/>
      <x:c r="C12" s="2" t="str">
        <x:v>Allocated fixed operating costs</x:v>
      </x:c>
      <x:c r="D12" s="19" t="n">
        <x:f>IF(COUNT(E12:P12)=12,SUM(E12:P12),"n.a.")</x:f>
        <x:v>7800</x:v>
      </x:c>
      <x:c r="E12" s="20" t="n">
        <x:f>IF(E4="Ready",ROUND(SUM('Inputs'!D16:D21)/12,2),"n.a.")</x:f>
        <x:v>650</x:v>
      </x:c>
      <x:c r="F12" s="20" t="n">
        <x:f>IF(F4="Ready",ROUND(SUM('Inputs'!D16:D21)/12,2),"n.a.")</x:f>
        <x:v>650</x:v>
      </x:c>
      <x:c r="G12" s="20" t="n">
        <x:f>IF(G4="Ready",ROUND(SUM('Inputs'!D16:D21)/12,2),"n.a.")</x:f>
        <x:v>650</x:v>
      </x:c>
      <x:c r="H12" s="20" t="n">
        <x:f>IF(H4="Ready",ROUND(SUM('Inputs'!D16:D21)/12,2),"n.a.")</x:f>
        <x:v>650</x:v>
      </x:c>
      <x:c r="I12" s="20" t="n">
        <x:f>IF(I4="Ready",ROUND(SUM('Inputs'!D16:D21)/12,2),"n.a.")</x:f>
        <x:v>650</x:v>
      </x:c>
      <x:c r="J12" s="20" t="n">
        <x:f>IF(J4="Ready",ROUND(SUM('Inputs'!D16:D21)/12,2),"n.a.")</x:f>
        <x:v>650</x:v>
      </x:c>
      <x:c r="K12" s="20" t="n">
        <x:f>IF(K4="Ready",ROUND(SUM('Inputs'!D16:D21)/12,2),"n.a.")</x:f>
        <x:v>650</x:v>
      </x:c>
      <x:c r="L12" s="20" t="n">
        <x:f>IF(L4="Ready",ROUND(SUM('Inputs'!D16:D21)/12,2),"n.a.")</x:f>
        <x:v>650</x:v>
      </x:c>
      <x:c r="M12" s="20" t="n">
        <x:f>IF(M4="Ready",ROUND(SUM('Inputs'!D16:D21)/12,2),"n.a.")</x:f>
        <x:v>650</x:v>
      </x:c>
      <x:c r="N12" s="20" t="n">
        <x:f>IF(N4="Ready",ROUND(SUM('Inputs'!D16:D21)/12,2),"n.a.")</x:f>
        <x:v>650</x:v>
      </x:c>
      <x:c r="O12" s="20" t="n">
        <x:f>IF(O4="Ready",ROUND(SUM('Inputs'!D16:D21)/12,2),"n.a.")</x:f>
        <x:v>650</x:v>
      </x:c>
      <x:c r="P12" s="20" t="n">
        <x:f>IF(P4="Ready",SUM('Inputs'!D16:D21)-SUM(E12:O12),"n.a.")</x:f>
        <x:v>650</x:v>
      </x:c>
    </x:row>
    <x:row r="13" ht="22" customHeight="1">
      <x:c r="A13" s="2"/>
      <x:c r="B13" s="2"/>
      <x:c r="C13" s="2" t="str">
        <x:v>Management cost</x:v>
      </x:c>
      <x:c r="D13" s="19" t="n">
        <x:f>IF(COUNT(E13:P13)=12,SUM(E13:P13),"n.a.")</x:f>
        <x:v>2193</x:v>
      </x:c>
      <x:c r="E13" s="20" t="n">
        <x:f>IF(E4="Ready",ROUND(E10*'Inputs'!$D$22,2),"n.a.")</x:f>
        <x:v>182.75</x:v>
      </x:c>
      <x:c r="F13" s="20" t="n">
        <x:f>IF(F4="Ready",ROUND(F10*'Inputs'!$D$22,2),"n.a.")</x:f>
        <x:v>182.75</x:v>
      </x:c>
      <x:c r="G13" s="20" t="n">
        <x:f>IF(G4="Ready",ROUND(G10*'Inputs'!$D$22,2),"n.a.")</x:f>
        <x:v>182.75</x:v>
      </x:c>
      <x:c r="H13" s="20" t="n">
        <x:f>IF(H4="Ready",ROUND(H10*'Inputs'!$D$22,2),"n.a.")</x:f>
        <x:v>182.75</x:v>
      </x:c>
      <x:c r="I13" s="20" t="n">
        <x:f>IF(I4="Ready",ROUND(I10*'Inputs'!$D$22,2),"n.a.")</x:f>
        <x:v>182.75</x:v>
      </x:c>
      <x:c r="J13" s="20" t="n">
        <x:f>IF(J4="Ready",ROUND(J10*'Inputs'!$D$22,2),"n.a.")</x:f>
        <x:v>182.75</x:v>
      </x:c>
      <x:c r="K13" s="20" t="n">
        <x:f>IF(K4="Ready",ROUND(K10*'Inputs'!$D$22,2),"n.a.")</x:f>
        <x:v>182.75</x:v>
      </x:c>
      <x:c r="L13" s="20" t="n">
        <x:f>IF(L4="Ready",ROUND(L10*'Inputs'!$D$22,2),"n.a.")</x:f>
        <x:v>182.75</x:v>
      </x:c>
      <x:c r="M13" s="20" t="n">
        <x:f>IF(M4="Ready",ROUND(M10*'Inputs'!$D$22,2),"n.a.")</x:f>
        <x:v>182.75</x:v>
      </x:c>
      <x:c r="N13" s="20" t="n">
        <x:f>IF(N4="Ready",ROUND(N10*'Inputs'!$D$22,2),"n.a.")</x:f>
        <x:v>182.75</x:v>
      </x:c>
      <x:c r="O13" s="20" t="n">
        <x:f>IF(O4="Ready",ROUND(O10*'Inputs'!$D$22,2),"n.a.")</x:f>
        <x:v>182.75</x:v>
      </x:c>
      <x:c r="P13" s="20" t="n">
        <x:f>IF(P4="Ready",ROUND(P10*'Inputs'!$D$22,2),"n.a.")</x:f>
        <x:v>182.75</x:v>
      </x:c>
    </x:row>
    <x:row r="14" ht="22" customHeight="1">
      <x:c r="A14" s="2"/>
      <x:c r="B14" s="2"/>
      <x:c r="C14" s="28" t="str">
        <x:v>Total operating costs</x:v>
      </x:c>
      <x:c r="D14" s="29" t="n">
        <x:f>IF(COUNT(E14:P14)=12,SUM(E14:P14),"n.a.")</x:f>
        <x:v>9993</x:v>
      </x:c>
      <x:c r="E14" s="29" t="n">
        <x:f>IF(E4="Ready",SUM(E12:E13),"n.a.")</x:f>
        <x:v>832.75</x:v>
      </x:c>
      <x:c r="F14" s="29" t="n">
        <x:f>IF(F4="Ready",SUM(F12:F13),"n.a.")</x:f>
        <x:v>832.75</x:v>
      </x:c>
      <x:c r="G14" s="29" t="n">
        <x:f>IF(G4="Ready",SUM(G12:G13),"n.a.")</x:f>
        <x:v>832.75</x:v>
      </x:c>
      <x:c r="H14" s="29" t="n">
        <x:f>IF(H4="Ready",SUM(H12:H13),"n.a.")</x:f>
        <x:v>832.75</x:v>
      </x:c>
      <x:c r="I14" s="29" t="n">
        <x:f>IF(I4="Ready",SUM(I12:I13),"n.a.")</x:f>
        <x:v>832.75</x:v>
      </x:c>
      <x:c r="J14" s="29" t="n">
        <x:f>IF(J4="Ready",SUM(J12:J13),"n.a.")</x:f>
        <x:v>832.75</x:v>
      </x:c>
      <x:c r="K14" s="29" t="n">
        <x:f>IF(K4="Ready",SUM(K12:K13),"n.a.")</x:f>
        <x:v>832.75</x:v>
      </x:c>
      <x:c r="L14" s="29" t="n">
        <x:f>IF(L4="Ready",SUM(L12:L13),"n.a.")</x:f>
        <x:v>832.75</x:v>
      </x:c>
      <x:c r="M14" s="29" t="n">
        <x:f>IF(M4="Ready",SUM(M12:M13),"n.a.")</x:f>
        <x:v>832.75</x:v>
      </x:c>
      <x:c r="N14" s="29" t="n">
        <x:f>IF(N4="Ready",SUM(N12:N13),"n.a.")</x:f>
        <x:v>832.75</x:v>
      </x:c>
      <x:c r="O14" s="29" t="n">
        <x:f>IF(O4="Ready",SUM(O12:O13),"n.a.")</x:f>
        <x:v>832.75</x:v>
      </x:c>
      <x:c r="P14" s="29" t="n">
        <x:f>IF(P4="Ready",SUM(P12:P13),"n.a.")</x:f>
        <x:v>832.75</x:v>
      </x:c>
    </x:row>
    <x:row r="15" ht="22" customHeight="1">
      <x:c r="A15" s="2"/>
      <x:c r="B15" s="2"/>
      <x:c r="C15" s="2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</x:row>
    <x:row r="16" ht="22" customHeight="1">
      <x:c r="A16" s="2"/>
      <x:c r="B16" s="2"/>
      <x:c r="C16" s="28" t="str">
        <x:v>Modelled NOI before financing</x:v>
      </x:c>
      <x:c r="D16" s="29" t="n">
        <x:f>IF(COUNT(E16:P16)=12,SUM(E16:P16),"n.a.")</x:f>
        <x:v>17419.8</x:v>
      </x:c>
      <x:c r="E16" s="29" t="n">
        <x:f>IF(E4="Ready",E10-E14,"n.a.")</x:f>
        <x:v>1451.65</x:v>
      </x:c>
      <x:c r="F16" s="29" t="n">
        <x:f>IF(F4="Ready",F10-F14,"n.a.")</x:f>
        <x:v>1451.65</x:v>
      </x:c>
      <x:c r="G16" s="29" t="n">
        <x:f>IF(G4="Ready",G10-G14,"n.a.")</x:f>
        <x:v>1451.65</x:v>
      </x:c>
      <x:c r="H16" s="29" t="n">
        <x:f>IF(H4="Ready",H10-H14,"n.a.")</x:f>
        <x:v>1451.65</x:v>
      </x:c>
      <x:c r="I16" s="29" t="n">
        <x:f>IF(I4="Ready",I10-I14,"n.a.")</x:f>
        <x:v>1451.65</x:v>
      </x:c>
      <x:c r="J16" s="29" t="n">
        <x:f>IF(J4="Ready",J10-J14,"n.a.")</x:f>
        <x:v>1451.65</x:v>
      </x:c>
      <x:c r="K16" s="29" t="n">
        <x:f>IF(K4="Ready",K10-K14,"n.a.")</x:f>
        <x:v>1451.65</x:v>
      </x:c>
      <x:c r="L16" s="29" t="n">
        <x:f>IF(L4="Ready",L10-L14,"n.a.")</x:f>
        <x:v>1451.65</x:v>
      </x:c>
      <x:c r="M16" s="29" t="n">
        <x:f>IF(M4="Ready",M10-M14,"n.a.")</x:f>
        <x:v>1451.65</x:v>
      </x:c>
      <x:c r="N16" s="29" t="n">
        <x:f>IF(N4="Ready",N10-N14,"n.a.")</x:f>
        <x:v>1451.65</x:v>
      </x:c>
      <x:c r="O16" s="29" t="n">
        <x:f>IF(O4="Ready",O10-O14,"n.a.")</x:f>
        <x:v>1451.65</x:v>
      </x:c>
      <x:c r="P16" s="29" t="n">
        <x:f>IF(P4="Ready",P10-P14,"n.a.")</x:f>
        <x:v>1451.65</x:v>
      </x:c>
    </x:row>
    <x:row r="17" ht="22" customHeight="1">
      <x:c r="A17" s="2"/>
      <x:c r="B17" s="2"/>
      <x:c r="C17" s="2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</x:row>
    <x:row r="18" ht="22" customHeight="1">
      <x:c r="A18" s="2"/>
      <x:c r="B18" s="2"/>
      <x:c r="C18" s="2" t="str">
        <x:v>Opening loan principal</x:v>
      </x:c>
      <x:c r="D18" s="19" t="n">
        <x:f>IF(COUNT(E18:P18)=12,E18,"n.a.")</x:f>
        <x:v>200000</x:v>
      </x:c>
      <x:c r="E18" s="20" t="n">
        <x:f>IF(E4="Ready",'Inputs'!$D$8,"n.a.")</x:f>
        <x:v>200000</x:v>
      </x:c>
      <x:c r="F18" s="19" t="n">
        <x:f>IF(F4="Ready",E22,"n.a.")</x:f>
        <x:v>199836.07</x:v>
      </x:c>
      <x:c r="G18" s="19" t="n">
        <x:f>IF(G4="Ready",F22,"n.a.")</x:f>
        <x:v>199671.18</x:v>
      </x:c>
      <x:c r="H18" s="19" t="n">
        <x:f>IF(H4="Ready",G22,"n.a.")</x:f>
        <x:v>199505.33</x:v>
      </x:c>
      <x:c r="I18" s="19" t="n">
        <x:f>IF(I4="Ready",H22,"n.a.")</x:f>
        <x:v>199338.51</x:v>
      </x:c>
      <x:c r="J18" s="19" t="n">
        <x:f>IF(J4="Ready",I22,"n.a.")</x:f>
        <x:v>199170.72</x:v>
      </x:c>
      <x:c r="K18" s="19" t="n">
        <x:f>IF(K4="Ready",J22,"n.a.")</x:f>
        <x:v>199001.95</x:v>
      </x:c>
      <x:c r="L18" s="19" t="n">
        <x:f>IF(L4="Ready",K22,"n.a.")</x:f>
        <x:v>198832.19</x:v>
      </x:c>
      <x:c r="M18" s="19" t="n">
        <x:f>IF(M4="Ready",L22,"n.a.")</x:f>
        <x:v>198661.44</x:v>
      </x:c>
      <x:c r="N18" s="19" t="n">
        <x:f>IF(N4="Ready",M22,"n.a.")</x:f>
        <x:v>198489.7</x:v>
      </x:c>
      <x:c r="O18" s="19" t="n">
        <x:f>IF(O4="Ready",N22,"n.a.")</x:f>
        <x:v>198316.96</x:v>
      </x:c>
      <x:c r="P18" s="19" t="n">
        <x:f>IF(P4="Ready",O22,"n.a.")</x:f>
        <x:v>198143.21</x:v>
      </x:c>
    </x:row>
    <x:row r="19" ht="22" customHeight="1">
      <x:c r="A19" s="2"/>
      <x:c r="B19" s="2"/>
      <x:c r="C19" s="2" t="str">
        <x:v>Interest charged</x:v>
      </x:c>
      <x:c r="D19" s="19" t="n">
        <x:f>IF(COUNT(E19:P19)=12,SUM(E19:P19),"n.a.")</x:f>
        <x:v>13935.650000000001</x:v>
      </x:c>
      <x:c r="E19" s="20" t="n">
        <x:f>IF(E4="Ready",IF(E18=0,0,ROUND(E18*'Inputs'!$D$9/12,2)),"n.a.")</x:f>
        <x:v>1166.67</x:v>
      </x:c>
      <x:c r="F19" s="20" t="n">
        <x:f>IF(F4="Ready",IF(F18=0,0,ROUND(F18*'Inputs'!$D$9/12,2)),"n.a.")</x:f>
        <x:v>1165.71</x:v>
      </x:c>
      <x:c r="G19" s="20" t="n">
        <x:f>IF(G4="Ready",IF(G18=0,0,ROUND(G18*'Inputs'!$D$9/12,2)),"n.a.")</x:f>
        <x:v>1164.75</x:v>
      </x:c>
      <x:c r="H19" s="20" t="n">
        <x:f>IF(H4="Ready",IF(H18=0,0,ROUND(H18*'Inputs'!$D$9/12,2)),"n.a.")</x:f>
        <x:v>1163.78</x:v>
      </x:c>
      <x:c r="I19" s="20" t="n">
        <x:f>IF(I4="Ready",IF(I18=0,0,ROUND(I18*'Inputs'!$D$9/12,2)),"n.a.")</x:f>
        <x:v>1162.81</x:v>
      </x:c>
      <x:c r="J19" s="20" t="n">
        <x:f>IF(J4="Ready",IF(J18=0,0,ROUND(J18*'Inputs'!$D$9/12,2)),"n.a.")</x:f>
        <x:v>1161.83</x:v>
      </x:c>
      <x:c r="K19" s="20" t="n">
        <x:f>IF(K4="Ready",IF(K18=0,0,ROUND(K18*'Inputs'!$D$9/12,2)),"n.a.")</x:f>
        <x:v>1160.84</x:v>
      </x:c>
      <x:c r="L19" s="20" t="n">
        <x:f>IF(L4="Ready",IF(L18=0,0,ROUND(L18*'Inputs'!$D$9/12,2)),"n.a.")</x:f>
        <x:v>1159.85</x:v>
      </x:c>
      <x:c r="M19" s="20" t="n">
        <x:f>IF(M4="Ready",IF(M18=0,0,ROUND(M18*'Inputs'!$D$9/12,2)),"n.a.")</x:f>
        <x:v>1158.86</x:v>
      </x:c>
      <x:c r="N19" s="20" t="n">
        <x:f>IF(N4="Ready",IF(N18=0,0,ROUND(N18*'Inputs'!$D$9/12,2)),"n.a.")</x:f>
        <x:v>1157.86</x:v>
      </x:c>
      <x:c r="O19" s="20" t="n">
        <x:f>IF(O4="Ready",IF(O18=0,0,ROUND(O18*'Inputs'!$D$9/12,2)),"n.a.")</x:f>
        <x:v>1156.85</x:v>
      </x:c>
      <x:c r="P19" s="20" t="n">
        <x:f>IF(P4="Ready",IF(P18=0,0,ROUND(P18*'Inputs'!$D$9/12,2)),"n.a.")</x:f>
        <x:v>1155.84</x:v>
      </x:c>
    </x:row>
    <x:row r="20" ht="22" customHeight="1">
      <x:c r="A20" s="2"/>
      <x:c r="B20" s="2"/>
      <x:c r="C20" s="28" t="str">
        <x:v>Total debt payment</x:v>
      </x:c>
      <x:c r="D20" s="29" t="n">
        <x:f>IF(COUNT(E20:P20)=12,SUM(E20:P20),"n.a.")</x:f>
        <x:v>15967.200000000003</x:v>
      </x:c>
      <x:c r="E20" s="31" t="n">
        <x:f>IF(E4="Ready",IF(E18=0,0,IF(1&gt;='Inputs'!$D$10,E18+E19,MIN('Inputs'!D29,E18+E19))),"n.a.")</x:f>
        <x:v>1330.6</x:v>
      </x:c>
      <x:c r="F20" s="31" t="n">
        <x:f>IF(F4="Ready",IF(F18=0,0,IF(2&gt;='Inputs'!$D$10,F18+F19,MIN('Inputs'!D29,F18+F19))),"n.a.")</x:f>
        <x:v>1330.6</x:v>
      </x:c>
      <x:c r="G20" s="31" t="n">
        <x:f>IF(G4="Ready",IF(G18=0,0,IF(3&gt;='Inputs'!$D$10,G18+G19,MIN('Inputs'!D29,G18+G19))),"n.a.")</x:f>
        <x:v>1330.6</x:v>
      </x:c>
      <x:c r="H20" s="31" t="n">
        <x:f>IF(H4="Ready",IF(H18=0,0,IF(4&gt;='Inputs'!$D$10,H18+H19,MIN('Inputs'!D29,H18+H19))),"n.a.")</x:f>
        <x:v>1330.6</x:v>
      </x:c>
      <x:c r="I20" s="31" t="n">
        <x:f>IF(I4="Ready",IF(I18=0,0,IF(5&gt;='Inputs'!$D$10,I18+I19,MIN('Inputs'!D29,I18+I19))),"n.a.")</x:f>
        <x:v>1330.6</x:v>
      </x:c>
      <x:c r="J20" s="31" t="n">
        <x:f>IF(J4="Ready",IF(J18=0,0,IF(6&gt;='Inputs'!$D$10,J18+J19,MIN('Inputs'!D29,J18+J19))),"n.a.")</x:f>
        <x:v>1330.6</x:v>
      </x:c>
      <x:c r="K20" s="31" t="n">
        <x:f>IF(K4="Ready",IF(K18=0,0,IF(7&gt;='Inputs'!$D$10,K18+K19,MIN('Inputs'!D29,K18+K19))),"n.a.")</x:f>
        <x:v>1330.6</x:v>
      </x:c>
      <x:c r="L20" s="31" t="n">
        <x:f>IF(L4="Ready",IF(L18=0,0,IF(8&gt;='Inputs'!$D$10,L18+L19,MIN('Inputs'!D29,L18+L19))),"n.a.")</x:f>
        <x:v>1330.6</x:v>
      </x:c>
      <x:c r="M20" s="31" t="n">
        <x:f>IF(M4="Ready",IF(M18=0,0,IF(9&gt;='Inputs'!$D$10,M18+M19,MIN('Inputs'!D29,M18+M19))),"n.a.")</x:f>
        <x:v>1330.6</x:v>
      </x:c>
      <x:c r="N20" s="31" t="n">
        <x:f>IF(N4="Ready",IF(N18=0,0,IF(10&gt;='Inputs'!$D$10,N18+N19,MIN('Inputs'!D29,N18+N19))),"n.a.")</x:f>
        <x:v>1330.6</x:v>
      </x:c>
      <x:c r="O20" s="31" t="n">
        <x:f>IF(O4="Ready",IF(O18=0,0,IF(11&gt;='Inputs'!$D$10,O18+O19,MIN('Inputs'!D29,O18+O19))),"n.a.")</x:f>
        <x:v>1330.6</x:v>
      </x:c>
      <x:c r="P20" s="31" t="n">
        <x:f>IF(P4="Ready",IF(P18=0,0,IF(12&gt;='Inputs'!$D$10,P18+P19,MIN('Inputs'!D29,P18+P19))),"n.a.")</x:f>
        <x:v>1330.6</x:v>
      </x:c>
    </x:row>
    <x:row r="21" ht="22" customHeight="1">
      <x:c r="A21" s="2"/>
      <x:c r="B21" s="2"/>
      <x:c r="C21" s="2" t="str">
        <x:v>Principal repaid</x:v>
      </x:c>
      <x:c r="D21" s="19" t="n">
        <x:f>IF(COUNT(E21:P21)=12,SUM(E21:P21),"n.a.")</x:f>
        <x:v>2031.5499999999995</x:v>
      </x:c>
      <x:c r="E21" s="19" t="n">
        <x:f>IF(E4="Ready",E20-E19,"n.a.")</x:f>
        <x:v>163.92999999999984</x:v>
      </x:c>
      <x:c r="F21" s="19" t="n">
        <x:f>IF(F4="Ready",F20-F19,"n.a.")</x:f>
        <x:v>164.88999999999987</x:v>
      </x:c>
      <x:c r="G21" s="19" t="n">
        <x:f>IF(G4="Ready",G20-G19,"n.a.")</x:f>
        <x:v>165.8499999999999</x:v>
      </x:c>
      <x:c r="H21" s="19" t="n">
        <x:f>IF(H4="Ready",H20-H19,"n.a.")</x:f>
        <x:v>166.81999999999994</x:v>
      </x:c>
      <x:c r="I21" s="19" t="n">
        <x:f>IF(I4="Ready",I20-I19,"n.a.")</x:f>
        <x:v>167.78999999999996</x:v>
      </x:c>
      <x:c r="J21" s="19" t="n">
        <x:f>IF(J4="Ready",J20-J19,"n.a.")</x:f>
        <x:v>168.76999999999998</x:v>
      </x:c>
      <x:c r="K21" s="19" t="n">
        <x:f>IF(K4="Ready",K20-K19,"n.a.")</x:f>
        <x:v>169.76</x:v>
      </x:c>
      <x:c r="L21" s="19" t="n">
        <x:f>IF(L4="Ready",L20-L19,"n.a.")</x:f>
        <x:v>170.75</x:v>
      </x:c>
      <x:c r="M21" s="19" t="n">
        <x:f>IF(M4="Ready",M20-M19,"n.a.")</x:f>
        <x:v>171.74</x:v>
      </x:c>
      <x:c r="N21" s="19" t="n">
        <x:f>IF(N4="Ready",N20-N19,"n.a.")</x:f>
        <x:v>172.74</x:v>
      </x:c>
      <x:c r="O21" s="19" t="n">
        <x:f>IF(O4="Ready",O20-O19,"n.a.")</x:f>
        <x:v>173.75</x:v>
      </x:c>
      <x:c r="P21" s="19" t="n">
        <x:f>IF(P4="Ready",P20-P19,"n.a.")</x:f>
        <x:v>174.76</x:v>
      </x:c>
    </x:row>
    <x:row r="22" ht="22" customHeight="1">
      <x:c r="A22" s="2"/>
      <x:c r="B22" s="2"/>
      <x:c r="C22" s="28" t="str">
        <x:v>Closing loan principal</x:v>
      </x:c>
      <x:c r="D22" s="29" t="n">
        <x:f>IF(COUNT(E22:P22)=12,P22,"n.a.")</x:f>
        <x:v>197968.45</x:v>
      </x:c>
      <x:c r="E22" s="29" t="n">
        <x:f>IF(E4="Ready",MAX(0,ROUND(E18+E19-E20,2)),"n.a.")</x:f>
        <x:v>199836.07</x:v>
      </x:c>
      <x:c r="F22" s="29" t="n">
        <x:f>IF(F4="Ready",MAX(0,ROUND(F18+F19-F20,2)),"n.a.")</x:f>
        <x:v>199671.18</x:v>
      </x:c>
      <x:c r="G22" s="29" t="n">
        <x:f>IF(G4="Ready",MAX(0,ROUND(G18+G19-G20,2)),"n.a.")</x:f>
        <x:v>199505.33</x:v>
      </x:c>
      <x:c r="H22" s="29" t="n">
        <x:f>IF(H4="Ready",MAX(0,ROUND(H18+H19-H20,2)),"n.a.")</x:f>
        <x:v>199338.51</x:v>
      </x:c>
      <x:c r="I22" s="29" t="n">
        <x:f>IF(I4="Ready",MAX(0,ROUND(I18+I19-I20,2)),"n.a.")</x:f>
        <x:v>199170.72</x:v>
      </x:c>
      <x:c r="J22" s="29" t="n">
        <x:f>IF(J4="Ready",MAX(0,ROUND(J18+J19-J20,2)),"n.a.")</x:f>
        <x:v>199001.95</x:v>
      </x:c>
      <x:c r="K22" s="29" t="n">
        <x:f>IF(K4="Ready",MAX(0,ROUND(K18+K19-K20,2)),"n.a.")</x:f>
        <x:v>198832.19</x:v>
      </x:c>
      <x:c r="L22" s="29" t="n">
        <x:f>IF(L4="Ready",MAX(0,ROUND(L18+L19-L20,2)),"n.a.")</x:f>
        <x:v>198661.44</x:v>
      </x:c>
      <x:c r="M22" s="29" t="n">
        <x:f>IF(M4="Ready",MAX(0,ROUND(M18+M19-M20,2)),"n.a.")</x:f>
        <x:v>198489.7</x:v>
      </x:c>
      <x:c r="N22" s="29" t="n">
        <x:f>IF(N4="Ready",MAX(0,ROUND(N18+N19-N20,2)),"n.a.")</x:f>
        <x:v>198316.96</x:v>
      </x:c>
      <x:c r="O22" s="29" t="n">
        <x:f>IF(O4="Ready",MAX(0,ROUND(O18+O19-O20,2)),"n.a.")</x:f>
        <x:v>198143.21</x:v>
      </x:c>
      <x:c r="P22" s="29" t="n">
        <x:f>IF(P4="Ready",MAX(0,ROUND(P18+P19-P20,2)),"n.a.")</x:f>
        <x:v>197968.45</x:v>
      </x:c>
    </x:row>
    <x:row r="23" ht="22" customHeight="1">
      <x:c r="A23" s="2"/>
      <x:c r="B23" s="2"/>
      <x:c r="C23" s="2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</x:row>
    <x:row r="24" ht="22" customHeight="1">
      <x:c r="A24" s="2"/>
      <x:c r="B24" s="2"/>
      <x:c r="C24" s="2" t="str">
        <x:v>Allocated capex</x:v>
      </x:c>
      <x:c r="D24" s="19" t="n">
        <x:f>IF(COUNT(E24:P24)=12,SUM(E24:P24),"n.a.")</x:f>
        <x:v>600</x:v>
      </x:c>
      <x:c r="E24" s="20" t="n">
        <x:f>IF(E4="Ready",ROUND('Inputs'!$D$24/12,2),"n.a.")</x:f>
        <x:v>50</x:v>
      </x:c>
      <x:c r="F24" s="20" t="n">
        <x:f>IF(F4="Ready",ROUND('Inputs'!$D$24/12,2),"n.a.")</x:f>
        <x:v>50</x:v>
      </x:c>
      <x:c r="G24" s="20" t="n">
        <x:f>IF(G4="Ready",ROUND('Inputs'!$D$24/12,2),"n.a.")</x:f>
        <x:v>50</x:v>
      </x:c>
      <x:c r="H24" s="20" t="n">
        <x:f>IF(H4="Ready",ROUND('Inputs'!$D$24/12,2),"n.a.")</x:f>
        <x:v>50</x:v>
      </x:c>
      <x:c r="I24" s="20" t="n">
        <x:f>IF(I4="Ready",ROUND('Inputs'!$D$24/12,2),"n.a.")</x:f>
        <x:v>50</x:v>
      </x:c>
      <x:c r="J24" s="20" t="n">
        <x:f>IF(J4="Ready",ROUND('Inputs'!$D$24/12,2),"n.a.")</x:f>
        <x:v>50</x:v>
      </x:c>
      <x:c r="K24" s="20" t="n">
        <x:f>IF(K4="Ready",ROUND('Inputs'!$D$24/12,2),"n.a.")</x:f>
        <x:v>50</x:v>
      </x:c>
      <x:c r="L24" s="20" t="n">
        <x:f>IF(L4="Ready",ROUND('Inputs'!$D$24/12,2),"n.a.")</x:f>
        <x:v>50</x:v>
      </x:c>
      <x:c r="M24" s="20" t="n">
        <x:f>IF(M4="Ready",ROUND('Inputs'!$D$24/12,2),"n.a.")</x:f>
        <x:v>50</x:v>
      </x:c>
      <x:c r="N24" s="20" t="n">
        <x:f>IF(N4="Ready",ROUND('Inputs'!$D$24/12,2),"n.a.")</x:f>
        <x:v>50</x:v>
      </x:c>
      <x:c r="O24" s="20" t="n">
        <x:f>IF(O4="Ready",ROUND('Inputs'!$D$24/12,2),"n.a.")</x:f>
        <x:v>50</x:v>
      </x:c>
      <x:c r="P24" s="20" t="n">
        <x:f>IF(P4="Ready",'Inputs'!$D$24-SUM(E24:O24),"n.a.")</x:f>
        <x:v>50</x:v>
      </x:c>
    </x:row>
    <x:row r="25" ht="22" customHeight="1">
      <x:c r="A25" s="2"/>
      <x:c r="B25" s="2"/>
      <x:c r="C25" s="2" t="str">
        <x:v>Reserve allocation</x:v>
      </x:c>
      <x:c r="D25" s="19" t="n">
        <x:f>IF(COUNT(E25:P25)=12,SUM(E25:P25),"n.a.")</x:f>
        <x:v>1200</x:v>
      </x:c>
      <x:c r="E25" s="20" t="n">
        <x:f>IF(E4="Ready",ROUND('Inputs'!$D$23/12,2),"n.a.")</x:f>
        <x:v>100</x:v>
      </x:c>
      <x:c r="F25" s="20" t="n">
        <x:f>IF(F4="Ready",ROUND('Inputs'!$D$23/12,2),"n.a.")</x:f>
        <x:v>100</x:v>
      </x:c>
      <x:c r="G25" s="20" t="n">
        <x:f>IF(G4="Ready",ROUND('Inputs'!$D$23/12,2),"n.a.")</x:f>
        <x:v>100</x:v>
      </x:c>
      <x:c r="H25" s="20" t="n">
        <x:f>IF(H4="Ready",ROUND('Inputs'!$D$23/12,2),"n.a.")</x:f>
        <x:v>100</x:v>
      </x:c>
      <x:c r="I25" s="20" t="n">
        <x:f>IF(I4="Ready",ROUND('Inputs'!$D$23/12,2),"n.a.")</x:f>
        <x:v>100</x:v>
      </x:c>
      <x:c r="J25" s="20" t="n">
        <x:f>IF(J4="Ready",ROUND('Inputs'!$D$23/12,2),"n.a.")</x:f>
        <x:v>100</x:v>
      </x:c>
      <x:c r="K25" s="20" t="n">
        <x:f>IF(K4="Ready",ROUND('Inputs'!$D$23/12,2),"n.a.")</x:f>
        <x:v>100</x:v>
      </x:c>
      <x:c r="L25" s="20" t="n">
        <x:f>IF(L4="Ready",ROUND('Inputs'!$D$23/12,2),"n.a.")</x:f>
        <x:v>100</x:v>
      </x:c>
      <x:c r="M25" s="20" t="n">
        <x:f>IF(M4="Ready",ROUND('Inputs'!$D$23/12,2),"n.a.")</x:f>
        <x:v>100</x:v>
      </x:c>
      <x:c r="N25" s="20" t="n">
        <x:f>IF(N4="Ready",ROUND('Inputs'!$D$23/12,2),"n.a.")</x:f>
        <x:v>100</x:v>
      </x:c>
      <x:c r="O25" s="20" t="n">
        <x:f>IF(O4="Ready",ROUND('Inputs'!$D$23/12,2),"n.a.")</x:f>
        <x:v>100</x:v>
      </x:c>
      <x:c r="P25" s="20" t="n">
        <x:f>IF(P4="Ready",'Inputs'!$D$23-SUM(E25:O25),"n.a.")</x:f>
        <x:v>100</x:v>
      </x:c>
    </x:row>
    <x:row r="26" ht="22" customHeight="1">
      <x:c r="A26" s="2"/>
      <x:c r="B26" s="2"/>
      <x:c r="C26" s="2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</x:row>
    <x:row r="27" ht="22" customHeight="1">
      <x:c r="A27" s="2"/>
      <x:c r="B27" s="2"/>
      <x:c r="C27" s="2" t="str">
        <x:v>Cash after debt service</x:v>
      </x:c>
      <x:c r="D27" s="19" t="n">
        <x:f>IF(COUNT(E27:P27)=12,SUM(E27:P27),"n.a.")</x:f>
        <x:v>1452.6000000000022</x:v>
      </x:c>
      <x:c r="E27" s="19" t="n">
        <x:f>IF(E4="Ready",E16-E20,"n.a.")</x:f>
        <x:v>121.05000000000018</x:v>
      </x:c>
      <x:c r="F27" s="19" t="n">
        <x:f>IF(F4="Ready",F16-F20,"n.a.")</x:f>
        <x:v>121.05000000000018</x:v>
      </x:c>
      <x:c r="G27" s="19" t="n">
        <x:f>IF(G4="Ready",G16-G20,"n.a.")</x:f>
        <x:v>121.05000000000018</x:v>
      </x:c>
      <x:c r="H27" s="19" t="n">
        <x:f>IF(H4="Ready",H16-H20,"n.a.")</x:f>
        <x:v>121.05000000000018</x:v>
      </x:c>
      <x:c r="I27" s="19" t="n">
        <x:f>IF(I4="Ready",I16-I20,"n.a.")</x:f>
        <x:v>121.05000000000018</x:v>
      </x:c>
      <x:c r="J27" s="19" t="n">
        <x:f>IF(J4="Ready",J16-J20,"n.a.")</x:f>
        <x:v>121.05000000000018</x:v>
      </x:c>
      <x:c r="K27" s="19" t="n">
        <x:f>IF(K4="Ready",K16-K20,"n.a.")</x:f>
        <x:v>121.05000000000018</x:v>
      </x:c>
      <x:c r="L27" s="19" t="n">
        <x:f>IF(L4="Ready",L16-L20,"n.a.")</x:f>
        <x:v>121.05000000000018</x:v>
      </x:c>
      <x:c r="M27" s="19" t="n">
        <x:f>IF(M4="Ready",M16-M20,"n.a.")</x:f>
        <x:v>121.05000000000018</x:v>
      </x:c>
      <x:c r="N27" s="19" t="n">
        <x:f>IF(N4="Ready",N16-N20,"n.a.")</x:f>
        <x:v>121.05000000000018</x:v>
      </x:c>
      <x:c r="O27" s="19" t="n">
        <x:f>IF(O4="Ready",O16-O20,"n.a.")</x:f>
        <x:v>121.05000000000018</x:v>
      </x:c>
      <x:c r="P27" s="19" t="n">
        <x:f>IF(P4="Ready",P16-P20,"n.a.")</x:f>
        <x:v>121.05000000000018</x:v>
      </x:c>
    </x:row>
    <x:row r="28" ht="22" customHeight="1">
      <x:c r="A28" s="2"/>
      <x:c r="B28" s="2"/>
      <x:c r="C28" s="28" t="str">
        <x:v>Available after capex and reserves</x:v>
      </x:c>
      <x:c r="D28" s="29" t="n">
        <x:f>IF(COUNT(E28:P28)=12,SUM(E28:P28),"n.a.")</x:f>
        <x:v>-347.3999999999978</x:v>
      </x:c>
      <x:c r="E28" s="29" t="n">
        <x:f>IF(E4="Ready",E27-E24-E25,"n.a.")</x:f>
        <x:v>-28.949999999999818</x:v>
      </x:c>
      <x:c r="F28" s="29" t="n">
        <x:f>IF(F4="Ready",F27-F24-F25,"n.a.")</x:f>
        <x:v>-28.949999999999818</x:v>
      </x:c>
      <x:c r="G28" s="29" t="n">
        <x:f>IF(G4="Ready",G27-G24-G25,"n.a.")</x:f>
        <x:v>-28.949999999999818</x:v>
      </x:c>
      <x:c r="H28" s="29" t="n">
        <x:f>IF(H4="Ready",H27-H24-H25,"n.a.")</x:f>
        <x:v>-28.949999999999818</x:v>
      </x:c>
      <x:c r="I28" s="29" t="n">
        <x:f>IF(I4="Ready",I27-I24-I25,"n.a.")</x:f>
        <x:v>-28.949999999999818</x:v>
      </x:c>
      <x:c r="J28" s="29" t="n">
        <x:f>IF(J4="Ready",J27-J24-J25,"n.a.")</x:f>
        <x:v>-28.949999999999818</x:v>
      </x:c>
      <x:c r="K28" s="29" t="n">
        <x:f>IF(K4="Ready",K27-K24-K25,"n.a.")</x:f>
        <x:v>-28.949999999999818</x:v>
      </x:c>
      <x:c r="L28" s="29" t="n">
        <x:f>IF(L4="Ready",L27-L24-L25,"n.a.")</x:f>
        <x:v>-28.949999999999818</x:v>
      </x:c>
      <x:c r="M28" s="29" t="n">
        <x:f>IF(M4="Ready",M27-M24-M25,"n.a.")</x:f>
        <x:v>-28.949999999999818</x:v>
      </x:c>
      <x:c r="N28" s="29" t="n">
        <x:f>IF(N4="Ready",N27-N24-N25,"n.a.")</x:f>
        <x:v>-28.949999999999818</x:v>
      </x:c>
      <x:c r="O28" s="29" t="n">
        <x:f>IF(O4="Ready",O27-O24-O25,"n.a.")</x:f>
        <x:v>-28.949999999999818</x:v>
      </x:c>
      <x:c r="P28" s="29" t="n">
        <x:f>IF(P4="Ready",P27-P24-P25,"n.a.")</x:f>
        <x:v>-28.949999999999818</x:v>
      </x:c>
    </x:row>
    <x:row r="29" ht="22" customHeight="1">
      <x:c r="A29" s="2"/>
      <x:c r="B29" s="2"/>
      <x:c r="C29" s="2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</x:row>
    <x:row r="30" ht="22" customHeight="1">
      <x:c r="A30" s="2"/>
      <x:c r="B30" s="2"/>
      <x:c r="C30" s="28" t="str">
        <x:v>Debt roll-forward difference</x:v>
      </x:c>
      <x:c r="D30" s="32" t="n">
        <x:f>IF(COUNT(E30:P30)=12,SUM(E30:P30),"n.a.")</x:f>
        <x:v>0</x:v>
      </x:c>
      <x:c r="E30" s="32" t="n">
        <x:f>IF(E4="Ready",ROUND(E18-E21-E22,2),"n.a.")</x:f>
        <x:v>0</x:v>
      </x:c>
      <x:c r="F30" s="32" t="n">
        <x:f>IF(F4="Ready",ROUND(F18-F21-F22,2),"n.a.")</x:f>
        <x:v>0</x:v>
      </x:c>
      <x:c r="G30" s="32" t="n">
        <x:f>IF(G4="Ready",ROUND(G18-G21-G22,2),"n.a.")</x:f>
        <x:v>0</x:v>
      </x:c>
      <x:c r="H30" s="32" t="n">
        <x:f>IF(H4="Ready",ROUND(H18-H21-H22,2),"n.a.")</x:f>
        <x:v>0</x:v>
      </x:c>
      <x:c r="I30" s="32" t="n">
        <x:f>IF(I4="Ready",ROUND(I18-I21-I22,2),"n.a.")</x:f>
        <x:v>0</x:v>
      </x:c>
      <x:c r="J30" s="32" t="n">
        <x:f>IF(J4="Ready",ROUND(J18-J21-J22,2),"n.a.")</x:f>
        <x:v>0</x:v>
      </x:c>
      <x:c r="K30" s="32" t="n">
        <x:f>IF(K4="Ready",ROUND(K18-K21-K22,2),"n.a.")</x:f>
        <x:v>0</x:v>
      </x:c>
      <x:c r="L30" s="32" t="n">
        <x:f>IF(L4="Ready",ROUND(L18-L21-L22,2),"n.a.")</x:f>
        <x:v>0</x:v>
      </x:c>
      <x:c r="M30" s="32" t="n">
        <x:f>IF(M4="Ready",ROUND(M18-M21-M22,2),"n.a.")</x:f>
        <x:v>0</x:v>
      </x:c>
      <x:c r="N30" s="32" t="n">
        <x:f>IF(N4="Ready",ROUND(N18-N21-N22,2),"n.a.")</x:f>
        <x:v>0</x:v>
      </x:c>
      <x:c r="O30" s="32" t="n">
        <x:f>IF(O4="Ready",ROUND(O18-O21-O22,2),"n.a.")</x:f>
        <x:v>0</x:v>
      </x:c>
      <x:c r="P30" s="32" t="n">
        <x:f>IF(P4="Ready",ROUND(P18-P21-P22,2),"n.a.")</x:f>
        <x:v>0</x:v>
      </x:c>
    </x:row>
    <x:row r="31" ht="22" customHeight="1">
      <x:c r="A31" s="2"/>
      <x:c r="B31" s="2"/>
      <x:c r="C31" s="2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</x:row>
    <x:row r="32" ht="22" customHeight="1">
      <x:c r="A32" s="2"/>
      <x:c r="B32" s="2"/>
      <x:c r="C32" s="2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</x:row>
    <x:row r="33" ht="22" customHeight="1">
      <x:c r="A33" s="2"/>
      <x:c r="B33" s="2"/>
      <x:c r="C33" s="2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</x:row>
    <x:row r="34" ht="22" customHeight="1">
      <x:c r="A34" s="2"/>
      <x:c r="B34" s="2"/>
      <x:c r="C34" s="2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</x:row>
    <x:row r="35" ht="22" customHeight="1">
      <x:c r="A35" s="2"/>
      <x:c r="B35" s="2"/>
      <x:c r="C35" s="2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</x:row>
    <x:row r="36" ht="22" customHeight="1">
      <x:c r="A36" s="2"/>
      <x:c r="B36" s="2"/>
      <x:c r="C36" s="2"/>
      <x:c r="D36" s="4"/>
      <x:c r="E36" s="20" t="str">
        <x:f>'Inputs'!E27</x:f>
        <x:v>Ready</x:v>
      </x:c>
      <x:c r="F36" s="20" t="str">
        <x:f>'Inputs'!E27</x:f>
        <x:v>Ready</x:v>
      </x:c>
      <x:c r="G36" s="20" t="str">
        <x:f>'Inputs'!E27</x:f>
        <x:v>Ready</x:v>
      </x:c>
      <x:c r="H36" s="20" t="str">
        <x:f>'Inputs'!E27</x:f>
        <x:v>Ready</x:v>
      </x:c>
      <x:c r="I36" s="20" t="str">
        <x:f>'Inputs'!E27</x:f>
        <x:v>Ready</x:v>
      </x:c>
      <x:c r="J36" s="20" t="str">
        <x:f>'Inputs'!E27</x:f>
        <x:v>Ready</x:v>
      </x:c>
      <x:c r="K36" s="20" t="str">
        <x:f>'Inputs'!E27</x:f>
        <x:v>Ready</x:v>
      </x:c>
      <x:c r="L36" s="20" t="str">
        <x:f>'Inputs'!E27</x:f>
        <x:v>Ready</x:v>
      </x:c>
      <x:c r="M36" s="20" t="str">
        <x:f>'Inputs'!E27</x:f>
        <x:v>Ready</x:v>
      </x:c>
      <x:c r="N36" s="20" t="str">
        <x:f>'Inputs'!E27</x:f>
        <x:v>Ready</x:v>
      </x:c>
      <x:c r="O36" s="20" t="str">
        <x:f>'Inputs'!E27</x:f>
        <x:v>Ready</x:v>
      </x:c>
      <x:c r="P36" s="20" t="str">
        <x:f>'Inputs'!E27</x:f>
        <x:v>Ready</x:v>
      </x:c>
    </x:row>
    <x:row r="37" ht="35" customHeight="1">
      <x:c r="A37" s="2"/>
      <x:c r="B37" s="2"/>
      <x:c r="C37" s="15" t="str">
        <x:v>Property B</x:v>
      </x:c>
      <x:c r="D37" s="16" t="str">
        <x:v>Year 1</x:v>
      </x:c>
      <x:c r="E37" s="25" t="n">
        <x:f>IF(IF(ISNUMBER('Inputs'!$J$5),IF(AND('Inputs'!$J$5&gt;=DATE(1900,1,1),'Inputs'!$J$5&lt;=DATE(2200,12,31)),DAY('Inputs'!$J$5)=1,FALSE),FALSE),EDATE('Inputs'!$J$5,0),"n.a.")</x:f>
        <x:v>46327</x:v>
      </x:c>
      <x:c r="F37" s="25" t="n">
        <x:f>IF(IF(ISNUMBER('Inputs'!$J$5),IF(AND('Inputs'!$J$5&gt;=DATE(1900,1,1),'Inputs'!$J$5&lt;=DATE(2200,12,31)),DAY('Inputs'!$J$5)=1,FALSE),FALSE),EDATE('Inputs'!$J$5,1),"n.a.")</x:f>
        <x:v>46357</x:v>
      </x:c>
      <x:c r="G37" s="25" t="n">
        <x:f>IF(IF(ISNUMBER('Inputs'!$J$5),IF(AND('Inputs'!$J$5&gt;=DATE(1900,1,1),'Inputs'!$J$5&lt;=DATE(2200,12,31)),DAY('Inputs'!$J$5)=1,FALSE),FALSE),EDATE('Inputs'!$J$5,2),"n.a.")</x:f>
        <x:v>46388</x:v>
      </x:c>
      <x:c r="H37" s="25" t="n">
        <x:f>IF(IF(ISNUMBER('Inputs'!$J$5),IF(AND('Inputs'!$J$5&gt;=DATE(1900,1,1),'Inputs'!$J$5&lt;=DATE(2200,12,31)),DAY('Inputs'!$J$5)=1,FALSE),FALSE),EDATE('Inputs'!$J$5,3),"n.a.")</x:f>
        <x:v>46419</x:v>
      </x:c>
      <x:c r="I37" s="25" t="n">
        <x:f>IF(IF(ISNUMBER('Inputs'!$J$5),IF(AND('Inputs'!$J$5&gt;=DATE(1900,1,1),'Inputs'!$J$5&lt;=DATE(2200,12,31)),DAY('Inputs'!$J$5)=1,FALSE),FALSE),EDATE('Inputs'!$J$5,4),"n.a.")</x:f>
        <x:v>46447</x:v>
      </x:c>
      <x:c r="J37" s="25" t="n">
        <x:f>IF(IF(ISNUMBER('Inputs'!$J$5),IF(AND('Inputs'!$J$5&gt;=DATE(1900,1,1),'Inputs'!$J$5&lt;=DATE(2200,12,31)),DAY('Inputs'!$J$5)=1,FALSE),FALSE),EDATE('Inputs'!$J$5,5),"n.a.")</x:f>
        <x:v>46478</x:v>
      </x:c>
      <x:c r="K37" s="25" t="n">
        <x:f>IF(IF(ISNUMBER('Inputs'!$J$5),IF(AND('Inputs'!$J$5&gt;=DATE(1900,1,1),'Inputs'!$J$5&lt;=DATE(2200,12,31)),DAY('Inputs'!$J$5)=1,FALSE),FALSE),EDATE('Inputs'!$J$5,6),"n.a.")</x:f>
        <x:v>46508</x:v>
      </x:c>
      <x:c r="L37" s="25" t="n">
        <x:f>IF(IF(ISNUMBER('Inputs'!$J$5),IF(AND('Inputs'!$J$5&gt;=DATE(1900,1,1),'Inputs'!$J$5&lt;=DATE(2200,12,31)),DAY('Inputs'!$J$5)=1,FALSE),FALSE),EDATE('Inputs'!$J$5,7),"n.a.")</x:f>
        <x:v>46539</x:v>
      </x:c>
      <x:c r="M37" s="25" t="n">
        <x:f>IF(IF(ISNUMBER('Inputs'!$J$5),IF(AND('Inputs'!$J$5&gt;=DATE(1900,1,1),'Inputs'!$J$5&lt;=DATE(2200,12,31)),DAY('Inputs'!$J$5)=1,FALSE),FALSE),EDATE('Inputs'!$J$5,8),"n.a.")</x:f>
        <x:v>46569</x:v>
      </x:c>
      <x:c r="N37" s="25" t="n">
        <x:f>IF(IF(ISNUMBER('Inputs'!$J$5),IF(AND('Inputs'!$J$5&gt;=DATE(1900,1,1),'Inputs'!$J$5&lt;=DATE(2200,12,31)),DAY('Inputs'!$J$5)=1,FALSE),FALSE),EDATE('Inputs'!$J$5,9),"n.a.")</x:f>
        <x:v>46600</x:v>
      </x:c>
      <x:c r="O37" s="25" t="n">
        <x:f>IF(IF(ISNUMBER('Inputs'!$J$5),IF(AND('Inputs'!$J$5&gt;=DATE(1900,1,1),'Inputs'!$J$5&lt;=DATE(2200,12,31)),DAY('Inputs'!$J$5)=1,FALSE),FALSE),EDATE('Inputs'!$J$5,10),"n.a.")</x:f>
        <x:v>46631</x:v>
      </x:c>
      <x:c r="P37" s="25" t="n">
        <x:f>IF(IF(ISNUMBER('Inputs'!$J$5),IF(AND('Inputs'!$J$5&gt;=DATE(1900,1,1),'Inputs'!$J$5&lt;=DATE(2200,12,31)),DAY('Inputs'!$J$5)=1,FALSE),FALSE),EDATE('Inputs'!$J$5,11),"n.a.")</x:f>
        <x:v>46661</x:v>
      </x:c>
    </x:row>
    <x:row r="38" ht="22" customHeight="1">
      <x:c r="A38" s="2"/>
      <x:c r="B38" s="2"/>
      <x:c r="C38" s="2" t="str">
        <x:v>Potential rental income</x:v>
      </x:c>
      <x:c r="D38" s="19" t="n">
        <x:f>IF(COUNT(E38:P38)=12,SUM(E38:P38),"n.a.")</x:f>
        <x:v>24000</x:v>
      </x:c>
      <x:c r="E38" s="20" t="n">
        <x:f>IF(E36="Ready",'Inputs'!$E$11,"n.a.")</x:f>
        <x:v>2000</x:v>
      </x:c>
      <x:c r="F38" s="20" t="n">
        <x:f>IF(F36="Ready",'Inputs'!$E$11,"n.a.")</x:f>
        <x:v>2000</x:v>
      </x:c>
      <x:c r="G38" s="20" t="n">
        <x:f>IF(G36="Ready",'Inputs'!$E$11,"n.a.")</x:f>
        <x:v>2000</x:v>
      </x:c>
      <x:c r="H38" s="20" t="n">
        <x:f>IF(H36="Ready",'Inputs'!$E$11,"n.a.")</x:f>
        <x:v>2000</x:v>
      </x:c>
      <x:c r="I38" s="20" t="n">
        <x:f>IF(I36="Ready",'Inputs'!$E$11,"n.a.")</x:f>
        <x:v>2000</x:v>
      </x:c>
      <x:c r="J38" s="20" t="n">
        <x:f>IF(J36="Ready",'Inputs'!$E$11,"n.a.")</x:f>
        <x:v>2000</x:v>
      </x:c>
      <x:c r="K38" s="20" t="n">
        <x:f>IF(K36="Ready",'Inputs'!$E$11,"n.a.")</x:f>
        <x:v>2000</x:v>
      </x:c>
      <x:c r="L38" s="20" t="n">
        <x:f>IF(L36="Ready",'Inputs'!$E$11,"n.a.")</x:f>
        <x:v>2000</x:v>
      </x:c>
      <x:c r="M38" s="20" t="n">
        <x:f>IF(M36="Ready",'Inputs'!$E$11,"n.a.")</x:f>
        <x:v>2000</x:v>
      </x:c>
      <x:c r="N38" s="20" t="n">
        <x:f>IF(N36="Ready",'Inputs'!$E$11,"n.a.")</x:f>
        <x:v>2000</x:v>
      </x:c>
      <x:c r="O38" s="20" t="n">
        <x:f>IF(O36="Ready",'Inputs'!$E$11,"n.a.")</x:f>
        <x:v>2000</x:v>
      </x:c>
      <x:c r="P38" s="20" t="n">
        <x:f>IF(P36="Ready",'Inputs'!$E$11,"n.a.")</x:f>
        <x:v>2000</x:v>
      </x:c>
    </x:row>
    <x:row r="39" ht="22" customHeight="1">
      <x:c r="A39" s="2"/>
      <x:c r="B39" s="2"/>
      <x:c r="C39" s="2" t="str">
        <x:v>Vacancy loss</x:v>
      </x:c>
      <x:c r="D39" s="19" t="n">
        <x:f>IF(COUNT(E39:P39)=12,SUM(E39:P39),"n.a.")</x:f>
        <x:v>1920</x:v>
      </x:c>
      <x:c r="E39" s="20" t="n">
        <x:f>IF(E36="Ready",ROUND(E38*'Inputs'!$E$12,2),"n.a.")</x:f>
        <x:v>160</x:v>
      </x:c>
      <x:c r="F39" s="20" t="n">
        <x:f>IF(F36="Ready",ROUND(F38*'Inputs'!$E$12,2),"n.a.")</x:f>
        <x:v>160</x:v>
      </x:c>
      <x:c r="G39" s="20" t="n">
        <x:f>IF(G36="Ready",ROUND(G38*'Inputs'!$E$12,2),"n.a.")</x:f>
        <x:v>160</x:v>
      </x:c>
      <x:c r="H39" s="20" t="n">
        <x:f>IF(H36="Ready",ROUND(H38*'Inputs'!$E$12,2),"n.a.")</x:f>
        <x:v>160</x:v>
      </x:c>
      <x:c r="I39" s="20" t="n">
        <x:f>IF(I36="Ready",ROUND(I38*'Inputs'!$E$12,2),"n.a.")</x:f>
        <x:v>160</x:v>
      </x:c>
      <x:c r="J39" s="20" t="n">
        <x:f>IF(J36="Ready",ROUND(J38*'Inputs'!$E$12,2),"n.a.")</x:f>
        <x:v>160</x:v>
      </x:c>
      <x:c r="K39" s="20" t="n">
        <x:f>IF(K36="Ready",ROUND(K38*'Inputs'!$E$12,2),"n.a.")</x:f>
        <x:v>160</x:v>
      </x:c>
      <x:c r="L39" s="20" t="n">
        <x:f>IF(L36="Ready",ROUND(L38*'Inputs'!$E$12,2),"n.a.")</x:f>
        <x:v>160</x:v>
      </x:c>
      <x:c r="M39" s="20" t="n">
        <x:f>IF(M36="Ready",ROUND(M38*'Inputs'!$E$12,2),"n.a.")</x:f>
        <x:v>160</x:v>
      </x:c>
      <x:c r="N39" s="20" t="n">
        <x:f>IF(N36="Ready",ROUND(N38*'Inputs'!$E$12,2),"n.a.")</x:f>
        <x:v>160</x:v>
      </x:c>
      <x:c r="O39" s="20" t="n">
        <x:f>IF(O36="Ready",ROUND(O38*'Inputs'!$E$12,2),"n.a.")</x:f>
        <x:v>160</x:v>
      </x:c>
      <x:c r="P39" s="20" t="n">
        <x:f>IF(P36="Ready",ROUND(P38*'Inputs'!$E$12,2),"n.a.")</x:f>
        <x:v>160</x:v>
      </x:c>
    </x:row>
    <x:row r="40" ht="22" customHeight="1">
      <x:c r="A40" s="2"/>
      <x:c r="B40" s="2"/>
      <x:c r="C40" s="2" t="str">
        <x:v>Credit loss</x:v>
      </x:c>
      <x:c r="D40" s="19" t="n">
        <x:f>IF(COUNT(E40:P40)=12,SUM(E40:P40),"n.a.")</x:f>
        <x:v>441.6000000000001</x:v>
      </x:c>
      <x:c r="E40" s="20" t="n">
        <x:f>IF(E36="Ready",ROUND((E38-E39)*'Inputs'!$E$13,2),"n.a.")</x:f>
        <x:v>36.8</x:v>
      </x:c>
      <x:c r="F40" s="20" t="n">
        <x:f>IF(F36="Ready",ROUND((F38-F39)*'Inputs'!$E$13,2),"n.a.")</x:f>
        <x:v>36.8</x:v>
      </x:c>
      <x:c r="G40" s="20" t="n">
        <x:f>IF(G36="Ready",ROUND((G38-G39)*'Inputs'!$E$13,2),"n.a.")</x:f>
        <x:v>36.8</x:v>
      </x:c>
      <x:c r="H40" s="20" t="n">
        <x:f>IF(H36="Ready",ROUND((H38-H39)*'Inputs'!$E$13,2),"n.a.")</x:f>
        <x:v>36.8</x:v>
      </x:c>
      <x:c r="I40" s="20" t="n">
        <x:f>IF(I36="Ready",ROUND((I38-I39)*'Inputs'!$E$13,2),"n.a.")</x:f>
        <x:v>36.8</x:v>
      </x:c>
      <x:c r="J40" s="20" t="n">
        <x:f>IF(J36="Ready",ROUND((J38-J39)*'Inputs'!$E$13,2),"n.a.")</x:f>
        <x:v>36.8</x:v>
      </x:c>
      <x:c r="K40" s="20" t="n">
        <x:f>IF(K36="Ready",ROUND((K38-K39)*'Inputs'!$E$13,2),"n.a.")</x:f>
        <x:v>36.8</x:v>
      </x:c>
      <x:c r="L40" s="20" t="n">
        <x:f>IF(L36="Ready",ROUND((L38-L39)*'Inputs'!$E$13,2),"n.a.")</x:f>
        <x:v>36.8</x:v>
      </x:c>
      <x:c r="M40" s="20" t="n">
        <x:f>IF(M36="Ready",ROUND((M38-M39)*'Inputs'!$E$13,2),"n.a.")</x:f>
        <x:v>36.8</x:v>
      </x:c>
      <x:c r="N40" s="20" t="n">
        <x:f>IF(N36="Ready",ROUND((N38-N39)*'Inputs'!$E$13,2),"n.a.")</x:f>
        <x:v>36.8</x:v>
      </x:c>
      <x:c r="O40" s="20" t="n">
        <x:f>IF(O36="Ready",ROUND((O38-O39)*'Inputs'!$E$13,2),"n.a.")</x:f>
        <x:v>36.8</x:v>
      </x:c>
      <x:c r="P40" s="20" t="n">
        <x:f>IF(P36="Ready",ROUND((P38-P39)*'Inputs'!$E$13,2),"n.a.")</x:f>
        <x:v>36.8</x:v>
      </x:c>
    </x:row>
    <x:row r="41" ht="22" customHeight="1">
      <x:c r="A41" s="2"/>
      <x:c r="B41" s="2"/>
      <x:c r="C41" s="2" t="str">
        <x:v>Other operating income</x:v>
      </x:c>
      <x:c r="D41" s="19" t="n">
        <x:f>IF(COUNT(E41:P41)=12,SUM(E41:P41),"n.a.")</x:f>
        <x:v>0</x:v>
      </x:c>
      <x:c r="E41" s="20" t="n">
        <x:f>IF(E36="Ready",'Inputs'!$E$14,"n.a.")</x:f>
        <x:v>0</x:v>
      </x:c>
      <x:c r="F41" s="20" t="n">
        <x:f>IF(F36="Ready",'Inputs'!$E$14,"n.a.")</x:f>
        <x:v>0</x:v>
      </x:c>
      <x:c r="G41" s="20" t="n">
        <x:f>IF(G36="Ready",'Inputs'!$E$14,"n.a.")</x:f>
        <x:v>0</x:v>
      </x:c>
      <x:c r="H41" s="20" t="n">
        <x:f>IF(H36="Ready",'Inputs'!$E$14,"n.a.")</x:f>
        <x:v>0</x:v>
      </x:c>
      <x:c r="I41" s="20" t="n">
        <x:f>IF(I36="Ready",'Inputs'!$E$14,"n.a.")</x:f>
        <x:v>0</x:v>
      </x:c>
      <x:c r="J41" s="20" t="n">
        <x:f>IF(J36="Ready",'Inputs'!$E$14,"n.a.")</x:f>
        <x:v>0</x:v>
      </x:c>
      <x:c r="K41" s="20" t="n">
        <x:f>IF(K36="Ready",'Inputs'!$E$14,"n.a.")</x:f>
        <x:v>0</x:v>
      </x:c>
      <x:c r="L41" s="20" t="n">
        <x:f>IF(L36="Ready",'Inputs'!$E$14,"n.a.")</x:f>
        <x:v>0</x:v>
      </x:c>
      <x:c r="M41" s="20" t="n">
        <x:f>IF(M36="Ready",'Inputs'!$E$14,"n.a.")</x:f>
        <x:v>0</x:v>
      </x:c>
      <x:c r="N41" s="20" t="n">
        <x:f>IF(N36="Ready",'Inputs'!$E$14,"n.a.")</x:f>
        <x:v>0</x:v>
      </x:c>
      <x:c r="O41" s="20" t="n">
        <x:f>IF(O36="Ready",'Inputs'!$E$14,"n.a.")</x:f>
        <x:v>0</x:v>
      </x:c>
      <x:c r="P41" s="20" t="n">
        <x:f>IF(P36="Ready",'Inputs'!$E$14,"n.a.")</x:f>
        <x:v>0</x:v>
      </x:c>
    </x:row>
    <x:row r="42" ht="22" customHeight="1">
      <x:c r="A42" s="2"/>
      <x:c r="B42" s="2"/>
      <x:c r="C42" s="28" t="str">
        <x:v>Effective gross income</x:v>
      </x:c>
      <x:c r="D42" s="29" t="n">
        <x:f>IF(COUNT(E42:P42)=12,SUM(E42:P42),"n.a.")</x:f>
        <x:v>21638.400000000005</x:v>
      </x:c>
      <x:c r="E42" s="29" t="n">
        <x:f>IF(E36="Ready",E38-E39-E40+E41,"n.a.")</x:f>
        <x:v>1803.2</x:v>
      </x:c>
      <x:c r="F42" s="29" t="n">
        <x:f>IF(F36="Ready",F38-F39-F40+F41,"n.a.")</x:f>
        <x:v>1803.2</x:v>
      </x:c>
      <x:c r="G42" s="29" t="n">
        <x:f>IF(G36="Ready",G38-G39-G40+G41,"n.a.")</x:f>
        <x:v>1803.2</x:v>
      </x:c>
      <x:c r="H42" s="29" t="n">
        <x:f>IF(H36="Ready",H38-H39-H40+H41,"n.a.")</x:f>
        <x:v>1803.2</x:v>
      </x:c>
      <x:c r="I42" s="29" t="n">
        <x:f>IF(I36="Ready",I38-I39-I40+I41,"n.a.")</x:f>
        <x:v>1803.2</x:v>
      </x:c>
      <x:c r="J42" s="29" t="n">
        <x:f>IF(J36="Ready",J38-J39-J40+J41,"n.a.")</x:f>
        <x:v>1803.2</x:v>
      </x:c>
      <x:c r="K42" s="29" t="n">
        <x:f>IF(K36="Ready",K38-K39-K40+K41,"n.a.")</x:f>
        <x:v>1803.2</x:v>
      </x:c>
      <x:c r="L42" s="29" t="n">
        <x:f>IF(L36="Ready",L38-L39-L40+L41,"n.a.")</x:f>
        <x:v>1803.2</x:v>
      </x:c>
      <x:c r="M42" s="29" t="n">
        <x:f>IF(M36="Ready",M38-M39-M40+M41,"n.a.")</x:f>
        <x:v>1803.2</x:v>
      </x:c>
      <x:c r="N42" s="29" t="n">
        <x:f>IF(N36="Ready",N38-N39-N40+N41,"n.a.")</x:f>
        <x:v>1803.2</x:v>
      </x:c>
      <x:c r="O42" s="29" t="n">
        <x:f>IF(O36="Ready",O38-O39-O40+O41,"n.a.")</x:f>
        <x:v>1803.2</x:v>
      </x:c>
      <x:c r="P42" s="29" t="n">
        <x:f>IF(P36="Ready",P38-P39-P40+P41,"n.a.")</x:f>
        <x:v>1803.2</x:v>
      </x:c>
    </x:row>
    <x:row r="43" ht="22" customHeight="1">
      <x:c r="A43" s="2"/>
      <x:c r="B43" s="2"/>
      <x:c r="C43" s="2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</x:row>
    <x:row r="44" ht="22" customHeight="1">
      <x:c r="A44" s="2"/>
      <x:c r="B44" s="2"/>
      <x:c r="C44" s="2" t="str">
        <x:v>Allocated fixed operating costs</x:v>
      </x:c>
      <x:c r="D44" s="19" t="n">
        <x:f>IF(COUNT(E44:P44)=12,SUM(E44:P44),"n.a.")</x:f>
        <x:v>6000</x:v>
      </x:c>
      <x:c r="E44" s="20" t="n">
        <x:f>IF(E36="Ready",ROUND(SUM('Inputs'!E16:E21)/12,2),"n.a.")</x:f>
        <x:v>500</x:v>
      </x:c>
      <x:c r="F44" s="20" t="n">
        <x:f>IF(F36="Ready",ROUND(SUM('Inputs'!E16:E21)/12,2),"n.a.")</x:f>
        <x:v>500</x:v>
      </x:c>
      <x:c r="G44" s="20" t="n">
        <x:f>IF(G36="Ready",ROUND(SUM('Inputs'!E16:E21)/12,2),"n.a.")</x:f>
        <x:v>500</x:v>
      </x:c>
      <x:c r="H44" s="20" t="n">
        <x:f>IF(H36="Ready",ROUND(SUM('Inputs'!E16:E21)/12,2),"n.a.")</x:f>
        <x:v>500</x:v>
      </x:c>
      <x:c r="I44" s="20" t="n">
        <x:f>IF(I36="Ready",ROUND(SUM('Inputs'!E16:E21)/12,2),"n.a.")</x:f>
        <x:v>500</x:v>
      </x:c>
      <x:c r="J44" s="20" t="n">
        <x:f>IF(J36="Ready",ROUND(SUM('Inputs'!E16:E21)/12,2),"n.a.")</x:f>
        <x:v>500</x:v>
      </x:c>
      <x:c r="K44" s="20" t="n">
        <x:f>IF(K36="Ready",ROUND(SUM('Inputs'!E16:E21)/12,2),"n.a.")</x:f>
        <x:v>500</x:v>
      </x:c>
      <x:c r="L44" s="20" t="n">
        <x:f>IF(L36="Ready",ROUND(SUM('Inputs'!E16:E21)/12,2),"n.a.")</x:f>
        <x:v>500</x:v>
      </x:c>
      <x:c r="M44" s="20" t="n">
        <x:f>IF(M36="Ready",ROUND(SUM('Inputs'!E16:E21)/12,2),"n.a.")</x:f>
        <x:v>500</x:v>
      </x:c>
      <x:c r="N44" s="20" t="n">
        <x:f>IF(N36="Ready",ROUND(SUM('Inputs'!E16:E21)/12,2),"n.a.")</x:f>
        <x:v>500</x:v>
      </x:c>
      <x:c r="O44" s="20" t="n">
        <x:f>IF(O36="Ready",ROUND(SUM('Inputs'!E16:E21)/12,2),"n.a.")</x:f>
        <x:v>500</x:v>
      </x:c>
      <x:c r="P44" s="20" t="n">
        <x:f>IF(P36="Ready",SUM('Inputs'!E16:E21)-SUM(E44:O44),"n.a.")</x:f>
        <x:v>500</x:v>
      </x:c>
    </x:row>
    <x:row r="45" ht="22" customHeight="1">
      <x:c r="A45" s="2"/>
      <x:c r="B45" s="2"/>
      <x:c r="C45" s="2" t="str">
        <x:v>Management cost</x:v>
      </x:c>
      <x:c r="D45" s="19" t="n">
        <x:f>IF(COUNT(E45:P45)=12,SUM(E45:P45),"n.a.")</x:f>
        <x:v>2163.8399999999997</x:v>
      </x:c>
      <x:c r="E45" s="20" t="n">
        <x:f>IF(E36="Ready",ROUND(E42*'Inputs'!$E$22,2),"n.a.")</x:f>
        <x:v>180.32</x:v>
      </x:c>
      <x:c r="F45" s="20" t="n">
        <x:f>IF(F36="Ready",ROUND(F42*'Inputs'!$E$22,2),"n.a.")</x:f>
        <x:v>180.32</x:v>
      </x:c>
      <x:c r="G45" s="20" t="n">
        <x:f>IF(G36="Ready",ROUND(G42*'Inputs'!$E$22,2),"n.a.")</x:f>
        <x:v>180.32</x:v>
      </x:c>
      <x:c r="H45" s="20" t="n">
        <x:f>IF(H36="Ready",ROUND(H42*'Inputs'!$E$22,2),"n.a.")</x:f>
        <x:v>180.32</x:v>
      </x:c>
      <x:c r="I45" s="20" t="n">
        <x:f>IF(I36="Ready",ROUND(I42*'Inputs'!$E$22,2),"n.a.")</x:f>
        <x:v>180.32</x:v>
      </x:c>
      <x:c r="J45" s="20" t="n">
        <x:f>IF(J36="Ready",ROUND(J42*'Inputs'!$E$22,2),"n.a.")</x:f>
        <x:v>180.32</x:v>
      </x:c>
      <x:c r="K45" s="20" t="n">
        <x:f>IF(K36="Ready",ROUND(K42*'Inputs'!$E$22,2),"n.a.")</x:f>
        <x:v>180.32</x:v>
      </x:c>
      <x:c r="L45" s="20" t="n">
        <x:f>IF(L36="Ready",ROUND(L42*'Inputs'!$E$22,2),"n.a.")</x:f>
        <x:v>180.32</x:v>
      </x:c>
      <x:c r="M45" s="20" t="n">
        <x:f>IF(M36="Ready",ROUND(M42*'Inputs'!$E$22,2),"n.a.")</x:f>
        <x:v>180.32</x:v>
      </x:c>
      <x:c r="N45" s="20" t="n">
        <x:f>IF(N36="Ready",ROUND(N42*'Inputs'!$E$22,2),"n.a.")</x:f>
        <x:v>180.32</x:v>
      </x:c>
      <x:c r="O45" s="20" t="n">
        <x:f>IF(O36="Ready",ROUND(O42*'Inputs'!$E$22,2),"n.a.")</x:f>
        <x:v>180.32</x:v>
      </x:c>
      <x:c r="P45" s="20" t="n">
        <x:f>IF(P36="Ready",ROUND(P42*'Inputs'!$E$22,2),"n.a.")</x:f>
        <x:v>180.32</x:v>
      </x:c>
    </x:row>
    <x:row r="46" ht="22" customHeight="1">
      <x:c r="A46" s="2"/>
      <x:c r="B46" s="2"/>
      <x:c r="C46" s="28" t="str">
        <x:v>Total operating costs</x:v>
      </x:c>
      <x:c r="D46" s="29" t="n">
        <x:f>IF(COUNT(E46:P46)=12,SUM(E46:P46),"n.a.")</x:f>
        <x:v>8163.839999999997</x:v>
      </x:c>
      <x:c r="E46" s="29" t="n">
        <x:f>IF(E36="Ready",SUM(E44:E45),"n.a.")</x:f>
        <x:v>680.3199999999999</x:v>
      </x:c>
      <x:c r="F46" s="29" t="n">
        <x:f>IF(F36="Ready",SUM(F44:F45),"n.a.")</x:f>
        <x:v>680.3199999999999</x:v>
      </x:c>
      <x:c r="G46" s="29" t="n">
        <x:f>IF(G36="Ready",SUM(G44:G45),"n.a.")</x:f>
        <x:v>680.3199999999999</x:v>
      </x:c>
      <x:c r="H46" s="29" t="n">
        <x:f>IF(H36="Ready",SUM(H44:H45),"n.a.")</x:f>
        <x:v>680.3199999999999</x:v>
      </x:c>
      <x:c r="I46" s="29" t="n">
        <x:f>IF(I36="Ready",SUM(I44:I45),"n.a.")</x:f>
        <x:v>680.3199999999999</x:v>
      </x:c>
      <x:c r="J46" s="29" t="n">
        <x:f>IF(J36="Ready",SUM(J44:J45),"n.a.")</x:f>
        <x:v>680.3199999999999</x:v>
      </x:c>
      <x:c r="K46" s="29" t="n">
        <x:f>IF(K36="Ready",SUM(K44:K45),"n.a.")</x:f>
        <x:v>680.3199999999999</x:v>
      </x:c>
      <x:c r="L46" s="29" t="n">
        <x:f>IF(L36="Ready",SUM(L44:L45),"n.a.")</x:f>
        <x:v>680.3199999999999</x:v>
      </x:c>
      <x:c r="M46" s="29" t="n">
        <x:f>IF(M36="Ready",SUM(M44:M45),"n.a.")</x:f>
        <x:v>680.3199999999999</x:v>
      </x:c>
      <x:c r="N46" s="29" t="n">
        <x:f>IF(N36="Ready",SUM(N44:N45),"n.a.")</x:f>
        <x:v>680.3199999999999</x:v>
      </x:c>
      <x:c r="O46" s="29" t="n">
        <x:f>IF(O36="Ready",SUM(O44:O45),"n.a.")</x:f>
        <x:v>680.3199999999999</x:v>
      </x:c>
      <x:c r="P46" s="29" t="n">
        <x:f>IF(P36="Ready",SUM(P44:P45),"n.a.")</x:f>
        <x:v>680.3199999999999</x:v>
      </x:c>
    </x:row>
    <x:row r="47" ht="22" customHeight="1">
      <x:c r="A47" s="2"/>
      <x:c r="B47" s="2"/>
      <x:c r="C47" s="2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</x:row>
    <x:row r="48" ht="22" customHeight="1">
      <x:c r="A48" s="2"/>
      <x:c r="B48" s="2"/>
      <x:c r="C48" s="28" t="str">
        <x:v>Modelled NOI before financing</x:v>
      </x:c>
      <x:c r="D48" s="29" t="n">
        <x:f>IF(COUNT(E48:P48)=12,SUM(E48:P48),"n.a.")</x:f>
        <x:v>13474.560000000005</x:v>
      </x:c>
      <x:c r="E48" s="29" t="n">
        <x:f>IF(E36="Ready",E42-E46,"n.a.")</x:f>
        <x:v>1122.88</x:v>
      </x:c>
      <x:c r="F48" s="29" t="n">
        <x:f>IF(F36="Ready",F42-F46,"n.a.")</x:f>
        <x:v>1122.88</x:v>
      </x:c>
      <x:c r="G48" s="29" t="n">
        <x:f>IF(G36="Ready",G42-G46,"n.a.")</x:f>
        <x:v>1122.88</x:v>
      </x:c>
      <x:c r="H48" s="29" t="n">
        <x:f>IF(H36="Ready",H42-H46,"n.a.")</x:f>
        <x:v>1122.88</x:v>
      </x:c>
      <x:c r="I48" s="29" t="n">
        <x:f>IF(I36="Ready",I42-I46,"n.a.")</x:f>
        <x:v>1122.88</x:v>
      </x:c>
      <x:c r="J48" s="29" t="n">
        <x:f>IF(J36="Ready",J42-J46,"n.a.")</x:f>
        <x:v>1122.88</x:v>
      </x:c>
      <x:c r="K48" s="29" t="n">
        <x:f>IF(K36="Ready",K42-K46,"n.a.")</x:f>
        <x:v>1122.88</x:v>
      </x:c>
      <x:c r="L48" s="29" t="n">
        <x:f>IF(L36="Ready",L42-L46,"n.a.")</x:f>
        <x:v>1122.88</x:v>
      </x:c>
      <x:c r="M48" s="29" t="n">
        <x:f>IF(M36="Ready",M42-M46,"n.a.")</x:f>
        <x:v>1122.88</x:v>
      </x:c>
      <x:c r="N48" s="29" t="n">
        <x:f>IF(N36="Ready",N42-N46,"n.a.")</x:f>
        <x:v>1122.88</x:v>
      </x:c>
      <x:c r="O48" s="29" t="n">
        <x:f>IF(O36="Ready",O42-O46,"n.a.")</x:f>
        <x:v>1122.88</x:v>
      </x:c>
      <x:c r="P48" s="29" t="n">
        <x:f>IF(P36="Ready",P42-P46,"n.a.")</x:f>
        <x:v>1122.88</x:v>
      </x:c>
    </x:row>
    <x:row r="49" ht="22" customHeight="1">
      <x:c r="A49" s="2"/>
      <x:c r="B49" s="2"/>
      <x:c r="C49" s="2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</x:row>
    <x:row r="50" ht="22" customHeight="1">
      <x:c r="A50" s="2"/>
      <x:c r="B50" s="2"/>
      <x:c r="C50" s="2" t="str">
        <x:v>Opening loan principal</x:v>
      </x:c>
      <x:c r="D50" s="19" t="n">
        <x:f>IF(COUNT(E50:P50)=12,E50,"n.a.")</x:f>
        <x:v>130000</x:v>
      </x:c>
      <x:c r="E50" s="20" t="n">
        <x:f>IF(E36="Ready",'Inputs'!$E$8,"n.a.")</x:f>
        <x:v>130000</x:v>
      </x:c>
      <x:c r="F50" s="19" t="n">
        <x:f>IF(F36="Ready",E54,"n.a.")</x:f>
        <x:v>129734.92</x:v>
      </x:c>
      <x:c r="G50" s="19" t="n">
        <x:f>IF(G36="Ready",F54,"n.a.")</x:f>
        <x:v>129468.4</x:v>
      </x:c>
      <x:c r="H50" s="19" t="n">
        <x:f>IF(H36="Ready",G54,"n.a.")</x:f>
        <x:v>129200.44</x:v>
      </x:c>
      <x:c r="I50" s="19" t="n">
        <x:f>IF(I36="Ready",H54,"n.a.")</x:f>
        <x:v>128931.03</x:v>
      </x:c>
      <x:c r="J50" s="19" t="n">
        <x:f>IF(J36="Ready",I54,"n.a.")</x:f>
        <x:v>128660.16</x:v>
      </x:c>
      <x:c r="K50" s="19" t="n">
        <x:f>IF(K36="Ready",J54,"n.a.")</x:f>
        <x:v>128387.82</x:v>
      </x:c>
      <x:c r="L50" s="19" t="n">
        <x:f>IF(L36="Ready",K54,"n.a.")</x:f>
        <x:v>128114</x:v>
      </x:c>
      <x:c r="M50" s="19" t="n">
        <x:f>IF(M36="Ready",L54,"n.a.")</x:f>
        <x:v>127838.7</x:v>
      </x:c>
      <x:c r="N50" s="19" t="n">
        <x:f>IF(N36="Ready",M54,"n.a.")</x:f>
        <x:v>127561.91</x:v>
      </x:c>
      <x:c r="O50" s="19" t="n">
        <x:f>IF(O36="Ready",N54,"n.a.")</x:f>
        <x:v>127283.62</x:v>
      </x:c>
      <x:c r="P50" s="19" t="n">
        <x:f>IF(P36="Ready",O54,"n.a.")</x:f>
        <x:v>127003.82</x:v>
      </x:c>
    </x:row>
    <x:row r="51" ht="22" customHeight="1">
      <x:c r="A51" s="2"/>
      <x:c r="B51" s="2"/>
      <x:c r="C51" s="2" t="str">
        <x:v>Interest charged</x:v>
      </x:c>
      <x:c r="D51" s="19" t="n">
        <x:f>IF(COUNT(E51:P51)=12,SUM(E51:P51),"n.a.")</x:f>
        <x:v>8353.51</x:v>
      </x:c>
      <x:c r="E51" s="20" t="n">
        <x:f>IF(E36="Ready",IF(E50=0,0,ROUND(E50*'Inputs'!$E$9/12,2)),"n.a.")</x:f>
        <x:v>704.17</x:v>
      </x:c>
      <x:c r="F51" s="20" t="n">
        <x:f>IF(F36="Ready",IF(F50=0,0,ROUND(F50*'Inputs'!$E$9/12,2)),"n.a.")</x:f>
        <x:v>702.73</x:v>
      </x:c>
      <x:c r="G51" s="20" t="n">
        <x:f>IF(G36="Ready",IF(G50=0,0,ROUND(G50*'Inputs'!$E$9/12,2)),"n.a.")</x:f>
        <x:v>701.29</x:v>
      </x:c>
      <x:c r="H51" s="20" t="n">
        <x:f>IF(H36="Ready",IF(H50=0,0,ROUND(H50*'Inputs'!$E$9/12,2)),"n.a.")</x:f>
        <x:v>699.84</x:v>
      </x:c>
      <x:c r="I51" s="20" t="n">
        <x:f>IF(I36="Ready",IF(I50=0,0,ROUND(I50*'Inputs'!$E$9/12,2)),"n.a.")</x:f>
        <x:v>698.38</x:v>
      </x:c>
      <x:c r="J51" s="20" t="n">
        <x:f>IF(J36="Ready",IF(J50=0,0,ROUND(J50*'Inputs'!$E$9/12,2)),"n.a.")</x:f>
        <x:v>696.91</x:v>
      </x:c>
      <x:c r="K51" s="20" t="n">
        <x:f>IF(K36="Ready",IF(K50=0,0,ROUND(K50*'Inputs'!$E$9/12,2)),"n.a.")</x:f>
        <x:v>695.43</x:v>
      </x:c>
      <x:c r="L51" s="20" t="n">
        <x:f>IF(L36="Ready",IF(L50=0,0,ROUND(L50*'Inputs'!$E$9/12,2)),"n.a.")</x:f>
        <x:v>693.95</x:v>
      </x:c>
      <x:c r="M51" s="20" t="n">
        <x:f>IF(M36="Ready",IF(M50=0,0,ROUND(M50*'Inputs'!$E$9/12,2)),"n.a.")</x:f>
        <x:v>692.46</x:v>
      </x:c>
      <x:c r="N51" s="20" t="n">
        <x:f>IF(N36="Ready",IF(N50=0,0,ROUND(N50*'Inputs'!$E$9/12,2)),"n.a.")</x:f>
        <x:v>690.96</x:v>
      </x:c>
      <x:c r="O51" s="20" t="n">
        <x:f>IF(O36="Ready",IF(O50=0,0,ROUND(O50*'Inputs'!$E$9/12,2)),"n.a.")</x:f>
        <x:v>689.45</x:v>
      </x:c>
      <x:c r="P51" s="20" t="n">
        <x:f>IF(P36="Ready",IF(P50=0,0,ROUND(P50*'Inputs'!$E$9/12,2)),"n.a.")</x:f>
        <x:v>687.94</x:v>
      </x:c>
    </x:row>
    <x:row r="52" ht="22" customHeight="1">
      <x:c r="A52" s="2"/>
      <x:c r="B52" s="2"/>
      <x:c r="C52" s="28" t="str">
        <x:v>Total debt payment</x:v>
      </x:c>
      <x:c r="D52" s="29" t="n">
        <x:f>IF(COUNT(E52:P52)=12,SUM(E52:P52),"n.a.")</x:f>
        <x:v>11631</x:v>
      </x:c>
      <x:c r="E52" s="31" t="n">
        <x:f>IF(E36="Ready",IF(E50=0,0,IF(1&gt;='Inputs'!$E$10,E50+E51,MIN('Inputs'!E29,E50+E51))),"n.a.")</x:f>
        <x:v>969.25</x:v>
      </x:c>
      <x:c r="F52" s="31" t="n">
        <x:f>IF(F36="Ready",IF(F50=0,0,IF(2&gt;='Inputs'!$E$10,F50+F51,MIN('Inputs'!E29,F50+F51))),"n.a.")</x:f>
        <x:v>969.25</x:v>
      </x:c>
      <x:c r="G52" s="31" t="n">
        <x:f>IF(G36="Ready",IF(G50=0,0,IF(3&gt;='Inputs'!$E$10,G50+G51,MIN('Inputs'!E29,G50+G51))),"n.a.")</x:f>
        <x:v>969.25</x:v>
      </x:c>
      <x:c r="H52" s="31" t="n">
        <x:f>IF(H36="Ready",IF(H50=0,0,IF(4&gt;='Inputs'!$E$10,H50+H51,MIN('Inputs'!E29,H50+H51))),"n.a.")</x:f>
        <x:v>969.25</x:v>
      </x:c>
      <x:c r="I52" s="31" t="n">
        <x:f>IF(I36="Ready",IF(I50=0,0,IF(5&gt;='Inputs'!$E$10,I50+I51,MIN('Inputs'!E29,I50+I51))),"n.a.")</x:f>
        <x:v>969.25</x:v>
      </x:c>
      <x:c r="J52" s="31" t="n">
        <x:f>IF(J36="Ready",IF(J50=0,0,IF(6&gt;='Inputs'!$E$10,J50+J51,MIN('Inputs'!E29,J50+J51))),"n.a.")</x:f>
        <x:v>969.25</x:v>
      </x:c>
      <x:c r="K52" s="31" t="n">
        <x:f>IF(K36="Ready",IF(K50=0,0,IF(7&gt;='Inputs'!$E$10,K50+K51,MIN('Inputs'!E29,K50+K51))),"n.a.")</x:f>
        <x:v>969.25</x:v>
      </x:c>
      <x:c r="L52" s="31" t="n">
        <x:f>IF(L36="Ready",IF(L50=0,0,IF(8&gt;='Inputs'!$E$10,L50+L51,MIN('Inputs'!E29,L50+L51))),"n.a.")</x:f>
        <x:v>969.25</x:v>
      </x:c>
      <x:c r="M52" s="31" t="n">
        <x:f>IF(M36="Ready",IF(M50=0,0,IF(9&gt;='Inputs'!$E$10,M50+M51,MIN('Inputs'!E29,M50+M51))),"n.a.")</x:f>
        <x:v>969.25</x:v>
      </x:c>
      <x:c r="N52" s="31" t="n">
        <x:f>IF(N36="Ready",IF(N50=0,0,IF(10&gt;='Inputs'!$E$10,N50+N51,MIN('Inputs'!E29,N50+N51))),"n.a.")</x:f>
        <x:v>969.25</x:v>
      </x:c>
      <x:c r="O52" s="31" t="n">
        <x:f>IF(O36="Ready",IF(O50=0,0,IF(11&gt;='Inputs'!$E$10,O50+O51,MIN('Inputs'!E29,O50+O51))),"n.a.")</x:f>
        <x:v>969.25</x:v>
      </x:c>
      <x:c r="P52" s="31" t="n">
        <x:f>IF(P36="Ready",IF(P50=0,0,IF(12&gt;='Inputs'!$E$10,P50+P51,MIN('Inputs'!E29,P50+P51))),"n.a.")</x:f>
        <x:v>969.25</x:v>
      </x:c>
    </x:row>
    <x:row r="53" ht="22" customHeight="1">
      <x:c r="A53" s="2"/>
      <x:c r="B53" s="2"/>
      <x:c r="C53" s="2" t="str">
        <x:v>Principal repaid</x:v>
      </x:c>
      <x:c r="D53" s="19" t="n">
        <x:f>IF(COUNT(E53:P53)=12,SUM(E53:P53),"n.a.")</x:f>
        <x:v>3277.4900000000002</x:v>
      </x:c>
      <x:c r="E53" s="19" t="n">
        <x:f>IF(E36="Ready",E52-E51,"n.a.")</x:f>
        <x:v>265.08000000000004</x:v>
      </x:c>
      <x:c r="F53" s="19" t="n">
        <x:f>IF(F36="Ready",F52-F51,"n.a.")</x:f>
        <x:v>266.52</x:v>
      </x:c>
      <x:c r="G53" s="19" t="n">
        <x:f>IF(G36="Ready",G52-G51,"n.a.")</x:f>
        <x:v>267.96000000000004</x:v>
      </x:c>
      <x:c r="H53" s="19" t="n">
        <x:f>IF(H36="Ready",H52-H51,"n.a.")</x:f>
        <x:v>269.40999999999997</x:v>
      </x:c>
      <x:c r="I53" s="19" t="n">
        <x:f>IF(I36="Ready",I52-I51,"n.a.")</x:f>
        <x:v>270.87</x:v>
      </x:c>
      <x:c r="J53" s="19" t="n">
        <x:f>IF(J36="Ready",J52-J51,"n.a.")</x:f>
        <x:v>272.34000000000003</x:v>
      </x:c>
      <x:c r="K53" s="19" t="n">
        <x:f>IF(K36="Ready",K52-K51,"n.a.")</x:f>
        <x:v>273.82000000000005</x:v>
      </x:c>
      <x:c r="L53" s="19" t="n">
        <x:f>IF(L36="Ready",L52-L51,"n.a.")</x:f>
        <x:v>275.29999999999995</x:v>
      </x:c>
      <x:c r="M53" s="19" t="n">
        <x:f>IF(M36="Ready",M52-M51,"n.a.")</x:f>
        <x:v>276.78999999999996</x:v>
      </x:c>
      <x:c r="N53" s="19" t="n">
        <x:f>IF(N36="Ready",N52-N51,"n.a.")</x:f>
        <x:v>278.28999999999996</x:v>
      </x:c>
      <x:c r="O53" s="19" t="n">
        <x:f>IF(O36="Ready",O52-O51,"n.a.")</x:f>
        <x:v>279.79999999999995</x:v>
      </x:c>
      <x:c r="P53" s="19" t="n">
        <x:f>IF(P36="Ready",P52-P51,"n.a.")</x:f>
        <x:v>281.30999999999995</x:v>
      </x:c>
    </x:row>
    <x:row r="54" ht="22" customHeight="1">
      <x:c r="A54" s="2"/>
      <x:c r="B54" s="2"/>
      <x:c r="C54" s="28" t="str">
        <x:v>Closing loan principal</x:v>
      </x:c>
      <x:c r="D54" s="29" t="n">
        <x:f>IF(COUNT(E54:P54)=12,P54,"n.a.")</x:f>
        <x:v>126722.51</x:v>
      </x:c>
      <x:c r="E54" s="29" t="n">
        <x:f>IF(E36="Ready",MAX(0,ROUND(E50+E51-E52,2)),"n.a.")</x:f>
        <x:v>129734.92</x:v>
      </x:c>
      <x:c r="F54" s="29" t="n">
        <x:f>IF(F36="Ready",MAX(0,ROUND(F50+F51-F52,2)),"n.a.")</x:f>
        <x:v>129468.4</x:v>
      </x:c>
      <x:c r="G54" s="29" t="n">
        <x:f>IF(G36="Ready",MAX(0,ROUND(G50+G51-G52,2)),"n.a.")</x:f>
        <x:v>129200.44</x:v>
      </x:c>
      <x:c r="H54" s="29" t="n">
        <x:f>IF(H36="Ready",MAX(0,ROUND(H50+H51-H52,2)),"n.a.")</x:f>
        <x:v>128931.03</x:v>
      </x:c>
      <x:c r="I54" s="29" t="n">
        <x:f>IF(I36="Ready",MAX(0,ROUND(I50+I51-I52,2)),"n.a.")</x:f>
        <x:v>128660.16</x:v>
      </x:c>
      <x:c r="J54" s="29" t="n">
        <x:f>IF(J36="Ready",MAX(0,ROUND(J50+J51-J52,2)),"n.a.")</x:f>
        <x:v>128387.82</x:v>
      </x:c>
      <x:c r="K54" s="29" t="n">
        <x:f>IF(K36="Ready",MAX(0,ROUND(K50+K51-K52,2)),"n.a.")</x:f>
        <x:v>128114</x:v>
      </x:c>
      <x:c r="L54" s="29" t="n">
        <x:f>IF(L36="Ready",MAX(0,ROUND(L50+L51-L52,2)),"n.a.")</x:f>
        <x:v>127838.7</x:v>
      </x:c>
      <x:c r="M54" s="29" t="n">
        <x:f>IF(M36="Ready",MAX(0,ROUND(M50+M51-M52,2)),"n.a.")</x:f>
        <x:v>127561.91</x:v>
      </x:c>
      <x:c r="N54" s="29" t="n">
        <x:f>IF(N36="Ready",MAX(0,ROUND(N50+N51-N52,2)),"n.a.")</x:f>
        <x:v>127283.62</x:v>
      </x:c>
      <x:c r="O54" s="29" t="n">
        <x:f>IF(O36="Ready",MAX(0,ROUND(O50+O51-O52,2)),"n.a.")</x:f>
        <x:v>127003.82</x:v>
      </x:c>
      <x:c r="P54" s="29" t="n">
        <x:f>IF(P36="Ready",MAX(0,ROUND(P50+P51-P52,2)),"n.a.")</x:f>
        <x:v>126722.51</x:v>
      </x:c>
    </x:row>
    <x:row r="55" ht="22" customHeight="1">
      <x:c r="A55" s="2"/>
      <x:c r="B55" s="2"/>
      <x:c r="C55" s="2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</x:row>
    <x:row r="56" ht="22" customHeight="1">
      <x:c r="A56" s="2"/>
      <x:c r="B56" s="2"/>
      <x:c r="C56" s="2" t="str">
        <x:v>Allocated capex</x:v>
      </x:c>
      <x:c r="D56" s="19" t="n">
        <x:f>IF(COUNT(E56:P56)=12,SUM(E56:P56),"n.a.")</x:f>
        <x:v>500</x:v>
      </x:c>
      <x:c r="E56" s="20" t="n">
        <x:f>IF(E36="Ready",ROUND('Inputs'!$E$24/12,2),"n.a.")</x:f>
        <x:v>41.67</x:v>
      </x:c>
      <x:c r="F56" s="20" t="n">
        <x:f>IF(F36="Ready",ROUND('Inputs'!$E$24/12,2),"n.a.")</x:f>
        <x:v>41.67</x:v>
      </x:c>
      <x:c r="G56" s="20" t="n">
        <x:f>IF(G36="Ready",ROUND('Inputs'!$E$24/12,2),"n.a.")</x:f>
        <x:v>41.67</x:v>
      </x:c>
      <x:c r="H56" s="20" t="n">
        <x:f>IF(H36="Ready",ROUND('Inputs'!$E$24/12,2),"n.a.")</x:f>
        <x:v>41.67</x:v>
      </x:c>
      <x:c r="I56" s="20" t="n">
        <x:f>IF(I36="Ready",ROUND('Inputs'!$E$24/12,2),"n.a.")</x:f>
        <x:v>41.67</x:v>
      </x:c>
      <x:c r="J56" s="20" t="n">
        <x:f>IF(J36="Ready",ROUND('Inputs'!$E$24/12,2),"n.a.")</x:f>
        <x:v>41.67</x:v>
      </x:c>
      <x:c r="K56" s="20" t="n">
        <x:f>IF(K36="Ready",ROUND('Inputs'!$E$24/12,2),"n.a.")</x:f>
        <x:v>41.67</x:v>
      </x:c>
      <x:c r="L56" s="20" t="n">
        <x:f>IF(L36="Ready",ROUND('Inputs'!$E$24/12,2),"n.a.")</x:f>
        <x:v>41.67</x:v>
      </x:c>
      <x:c r="M56" s="20" t="n">
        <x:f>IF(M36="Ready",ROUND('Inputs'!$E$24/12,2),"n.a.")</x:f>
        <x:v>41.67</x:v>
      </x:c>
      <x:c r="N56" s="20" t="n">
        <x:f>IF(N36="Ready",ROUND('Inputs'!$E$24/12,2),"n.a.")</x:f>
        <x:v>41.67</x:v>
      </x:c>
      <x:c r="O56" s="20" t="n">
        <x:f>IF(O36="Ready",ROUND('Inputs'!$E$24/12,2),"n.a.")</x:f>
        <x:v>41.67</x:v>
      </x:c>
      <x:c r="P56" s="20" t="n">
        <x:f>IF(P36="Ready",'Inputs'!$E$24-SUM(E56:O56),"n.a.")</x:f>
        <x:v>41.62999999999988</x:v>
      </x:c>
    </x:row>
    <x:row r="57" ht="22" customHeight="1">
      <x:c r="A57" s="2"/>
      <x:c r="B57" s="2"/>
      <x:c r="C57" s="2" t="str">
        <x:v>Reserve allocation</x:v>
      </x:c>
      <x:c r="D57" s="19" t="n">
        <x:f>IF(COUNT(E57:P57)=12,SUM(E57:P57),"n.a.")</x:f>
        <x:v>1000</x:v>
      </x:c>
      <x:c r="E57" s="20" t="n">
        <x:f>IF(E36="Ready",ROUND('Inputs'!$E$23/12,2),"n.a.")</x:f>
        <x:v>83.33</x:v>
      </x:c>
      <x:c r="F57" s="20" t="n">
        <x:f>IF(F36="Ready",ROUND('Inputs'!$E$23/12,2),"n.a.")</x:f>
        <x:v>83.33</x:v>
      </x:c>
      <x:c r="G57" s="20" t="n">
        <x:f>IF(G36="Ready",ROUND('Inputs'!$E$23/12,2),"n.a.")</x:f>
        <x:v>83.33</x:v>
      </x:c>
      <x:c r="H57" s="20" t="n">
        <x:f>IF(H36="Ready",ROUND('Inputs'!$E$23/12,2),"n.a.")</x:f>
        <x:v>83.33</x:v>
      </x:c>
      <x:c r="I57" s="20" t="n">
        <x:f>IF(I36="Ready",ROUND('Inputs'!$E$23/12,2),"n.a.")</x:f>
        <x:v>83.33</x:v>
      </x:c>
      <x:c r="J57" s="20" t="n">
        <x:f>IF(J36="Ready",ROUND('Inputs'!$E$23/12,2),"n.a.")</x:f>
        <x:v>83.33</x:v>
      </x:c>
      <x:c r="K57" s="20" t="n">
        <x:f>IF(K36="Ready",ROUND('Inputs'!$E$23/12,2),"n.a.")</x:f>
        <x:v>83.33</x:v>
      </x:c>
      <x:c r="L57" s="20" t="n">
        <x:f>IF(L36="Ready",ROUND('Inputs'!$E$23/12,2),"n.a.")</x:f>
        <x:v>83.33</x:v>
      </x:c>
      <x:c r="M57" s="20" t="n">
        <x:f>IF(M36="Ready",ROUND('Inputs'!$E$23/12,2),"n.a.")</x:f>
        <x:v>83.33</x:v>
      </x:c>
      <x:c r="N57" s="20" t="n">
        <x:f>IF(N36="Ready",ROUND('Inputs'!$E$23/12,2),"n.a.")</x:f>
        <x:v>83.33</x:v>
      </x:c>
      <x:c r="O57" s="20" t="n">
        <x:f>IF(O36="Ready",ROUND('Inputs'!$E$23/12,2),"n.a.")</x:f>
        <x:v>83.33</x:v>
      </x:c>
      <x:c r="P57" s="20" t="n">
        <x:f>IF(P36="Ready",'Inputs'!$E$23-SUM(E57:O57),"n.a.")</x:f>
        <x:v>83.36999999999989</x:v>
      </x:c>
    </x:row>
    <x:row r="58" ht="22" customHeight="1">
      <x:c r="A58" s="2"/>
      <x:c r="B58" s="2"/>
      <x:c r="C58" s="2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</x:row>
    <x:row r="59" ht="22" customHeight="1">
      <x:c r="A59" s="2"/>
      <x:c r="B59" s="2"/>
      <x:c r="C59" s="2" t="str">
        <x:v>Cash after debt service</x:v>
      </x:c>
      <x:c r="D59" s="19" t="n">
        <x:f>IF(COUNT(E59:P59)=12,SUM(E59:P59),"n.a.")</x:f>
        <x:v>1843.5600000000013</x:v>
      </x:c>
      <x:c r="E59" s="19" t="n">
        <x:f>IF(E36="Ready",E48-E52,"n.a.")</x:f>
        <x:v>153.6300000000001</x:v>
      </x:c>
      <x:c r="F59" s="19" t="n">
        <x:f>IF(F36="Ready",F48-F52,"n.a.")</x:f>
        <x:v>153.6300000000001</x:v>
      </x:c>
      <x:c r="G59" s="19" t="n">
        <x:f>IF(G36="Ready",G48-G52,"n.a.")</x:f>
        <x:v>153.6300000000001</x:v>
      </x:c>
      <x:c r="H59" s="19" t="n">
        <x:f>IF(H36="Ready",H48-H52,"n.a.")</x:f>
        <x:v>153.6300000000001</x:v>
      </x:c>
      <x:c r="I59" s="19" t="n">
        <x:f>IF(I36="Ready",I48-I52,"n.a.")</x:f>
        <x:v>153.6300000000001</x:v>
      </x:c>
      <x:c r="J59" s="19" t="n">
        <x:f>IF(J36="Ready",J48-J52,"n.a.")</x:f>
        <x:v>153.6300000000001</x:v>
      </x:c>
      <x:c r="K59" s="19" t="n">
        <x:f>IF(K36="Ready",K48-K52,"n.a.")</x:f>
        <x:v>153.6300000000001</x:v>
      </x:c>
      <x:c r="L59" s="19" t="n">
        <x:f>IF(L36="Ready",L48-L52,"n.a.")</x:f>
        <x:v>153.6300000000001</x:v>
      </x:c>
      <x:c r="M59" s="19" t="n">
        <x:f>IF(M36="Ready",M48-M52,"n.a.")</x:f>
        <x:v>153.6300000000001</x:v>
      </x:c>
      <x:c r="N59" s="19" t="n">
        <x:f>IF(N36="Ready",N48-N52,"n.a.")</x:f>
        <x:v>153.6300000000001</x:v>
      </x:c>
      <x:c r="O59" s="19" t="n">
        <x:f>IF(O36="Ready",O48-O52,"n.a.")</x:f>
        <x:v>153.6300000000001</x:v>
      </x:c>
      <x:c r="P59" s="19" t="n">
        <x:f>IF(P36="Ready",P48-P52,"n.a.")</x:f>
        <x:v>153.6300000000001</x:v>
      </x:c>
    </x:row>
    <x:row r="60" ht="22" customHeight="1">
      <x:c r="A60" s="2"/>
      <x:c r="B60" s="2"/>
      <x:c r="C60" s="28" t="str">
        <x:v>Available after capex and reserves</x:v>
      </x:c>
      <x:c r="D60" s="29" t="n">
        <x:f>IF(COUNT(E60:P60)=12,SUM(E60:P60),"n.a.")</x:f>
        <x:v>343.56000000000154</x:v>
      </x:c>
      <x:c r="E60" s="29" t="n">
        <x:f>IF(E36="Ready",E59-E56-E57,"n.a.")</x:f>
        <x:v>28.63000000000011</x:v>
      </x:c>
      <x:c r="F60" s="29" t="n">
        <x:f>IF(F36="Ready",F59-F56-F57,"n.a.")</x:f>
        <x:v>28.63000000000011</x:v>
      </x:c>
      <x:c r="G60" s="29" t="n">
        <x:f>IF(G36="Ready",G59-G56-G57,"n.a.")</x:f>
        <x:v>28.63000000000011</x:v>
      </x:c>
      <x:c r="H60" s="29" t="n">
        <x:f>IF(H36="Ready",H59-H56-H57,"n.a.")</x:f>
        <x:v>28.63000000000011</x:v>
      </x:c>
      <x:c r="I60" s="29" t="n">
        <x:f>IF(I36="Ready",I59-I56-I57,"n.a.")</x:f>
        <x:v>28.63000000000011</x:v>
      </x:c>
      <x:c r="J60" s="29" t="n">
        <x:f>IF(J36="Ready",J59-J56-J57,"n.a.")</x:f>
        <x:v>28.63000000000011</x:v>
      </x:c>
      <x:c r="K60" s="29" t="n">
        <x:f>IF(K36="Ready",K59-K56-K57,"n.a.")</x:f>
        <x:v>28.63000000000011</x:v>
      </x:c>
      <x:c r="L60" s="29" t="n">
        <x:f>IF(L36="Ready",L59-L56-L57,"n.a.")</x:f>
        <x:v>28.63000000000011</x:v>
      </x:c>
      <x:c r="M60" s="29" t="n">
        <x:f>IF(M36="Ready",M59-M56-M57,"n.a.")</x:f>
        <x:v>28.63000000000011</x:v>
      </x:c>
      <x:c r="N60" s="29" t="n">
        <x:f>IF(N36="Ready",N59-N56-N57,"n.a.")</x:f>
        <x:v>28.63000000000011</x:v>
      </x:c>
      <x:c r="O60" s="29" t="n">
        <x:f>IF(O36="Ready",O59-O56-O57,"n.a.")</x:f>
        <x:v>28.63000000000011</x:v>
      </x:c>
      <x:c r="P60" s="29" t="n">
        <x:f>IF(P36="Ready",P59-P56-P57,"n.a.")</x:f>
        <x:v>28.630000000000337</x:v>
      </x:c>
    </x:row>
    <x:row r="61" ht="22" customHeight="1">
      <x:c r="A61" s="2"/>
      <x:c r="B61" s="2"/>
      <x:c r="C61" s="2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</x:row>
    <x:row r="62" ht="22" customHeight="1">
      <x:c r="A62" s="2"/>
      <x:c r="B62" s="2"/>
      <x:c r="C62" s="28" t="str">
        <x:v>Debt roll-forward difference</x:v>
      </x:c>
      <x:c r="D62" s="32" t="n">
        <x:f>IF(COUNT(E62:P62)=12,SUM(E62:P62),"n.a.")</x:f>
        <x:v>0</x:v>
      </x:c>
      <x:c r="E62" s="32" t="n">
        <x:f>IF(E36="Ready",ROUND(E50-E53-E54,2),"n.a.")</x:f>
        <x:v>0</x:v>
      </x:c>
      <x:c r="F62" s="32" t="n">
        <x:f>IF(F36="Ready",ROUND(F50-F53-F54,2),"n.a.")</x:f>
        <x:v>0</x:v>
      </x:c>
      <x:c r="G62" s="32" t="n">
        <x:f>IF(G36="Ready",ROUND(G50-G53-G54,2),"n.a.")</x:f>
        <x:v>0</x:v>
      </x:c>
      <x:c r="H62" s="32" t="n">
        <x:f>IF(H36="Ready",ROUND(H50-H53-H54,2),"n.a.")</x:f>
        <x:v>0</x:v>
      </x:c>
      <x:c r="I62" s="32" t="n">
        <x:f>IF(I36="Ready",ROUND(I50-I53-I54,2),"n.a.")</x:f>
        <x:v>0</x:v>
      </x:c>
      <x:c r="J62" s="32" t="n">
        <x:f>IF(J36="Ready",ROUND(J50-J53-J54,2),"n.a.")</x:f>
        <x:v>0</x:v>
      </x:c>
      <x:c r="K62" s="32" t="n">
        <x:f>IF(K36="Ready",ROUND(K50-K53-K54,2),"n.a.")</x:f>
        <x:v>0</x:v>
      </x:c>
      <x:c r="L62" s="32" t="n">
        <x:f>IF(L36="Ready",ROUND(L50-L53-L54,2),"n.a.")</x:f>
        <x:v>0</x:v>
      </x:c>
      <x:c r="M62" s="32" t="n">
        <x:f>IF(M36="Ready",ROUND(M50-M53-M54,2),"n.a.")</x:f>
        <x:v>0</x:v>
      </x:c>
      <x:c r="N62" s="32" t="n">
        <x:f>IF(N36="Ready",ROUND(N50-N53-N54,2),"n.a.")</x:f>
        <x:v>0</x:v>
      </x:c>
      <x:c r="O62" s="32" t="n">
        <x:f>IF(O36="Ready",ROUND(O50-O53-O54,2),"n.a.")</x:f>
        <x:v>0</x:v>
      </x:c>
      <x:c r="P62" s="32" t="n">
        <x:f>IF(P36="Ready",ROUND(P50-P53-P54,2),"n.a.")</x:f>
        <x:v>0</x:v>
      </x:c>
    </x:row>
    <x:row r="63" ht="22" customHeight="1">
      <x:c r="A63" s="2"/>
      <x:c r="B63" s="2"/>
      <x:c r="C63" s="2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</x:row>
    <x:row r="64" ht="22" customHeight="1">
      <x:c r="A64" s="2"/>
      <x:c r="B64" s="2"/>
      <x:c r="C64" s="2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</x:row>
    <x:row r="65" ht="22" customHeight="1">
      <x:c r="A65" s="2"/>
      <x:c r="B65" s="2"/>
      <x:c r="C65" s="2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</x:row>
    <x:row r="66" ht="22" customHeight="1">
      <x:c r="A66" s="2"/>
      <x:c r="B66" s="2"/>
      <x:c r="C66" s="2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2" customHeight="1">
      <x:c r="A1" s="2"/>
      <x:c r="B1" s="2"/>
      <x:c r="C1" s="2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2" customHeight="1">
      <x:c r="A2" s="2"/>
      <x:c r="B2" s="2"/>
      <x:c r="C2" s="5" t="str">
        <x:v>Two-property inputs</x:v>
      </x:c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2" customHeight="1">
      <x:c r="A3" s="2"/>
      <x:c r="B3" s="2"/>
      <x:c r="C3" s="2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35" customHeight="1">
      <x:c r="A4" s="2"/>
      <x:c r="B4" s="2"/>
      <x:c r="C4" s="15"/>
      <x:c r="D4" s="16" t="str">
        <x:v>Property A</x:v>
      </x:c>
      <x:c r="E4" s="16" t="str">
        <x:v>Property B</x:v>
      </x:c>
      <x:c r="F4" s="4"/>
      <x:c r="G4" s="4"/>
      <x:c r="H4" s="4"/>
      <x:c r="I4" s="4"/>
      <x:c r="J4" s="4"/>
      <x:c r="K4" s="4"/>
      <x:c r="L4" s="4"/>
      <x:c r="M4" s="4"/>
      <x:c r="N4" s="4"/>
    </x:row>
    <x:row r="5" ht="22" customHeight="1">
      <x:c r="A5" s="2"/>
      <x:c r="B5" s="2"/>
      <x:c r="C5" s="2" t="str">
        <x:v>Purchase price</x:v>
      </x:c>
      <x:c r="D5" s="7" t="n">
        <x:v>250000</x:v>
      </x:c>
      <x:c r="E5" s="7" t="n">
        <x:v>190000</x:v>
      </x:c>
      <x:c r="F5" s="4"/>
      <x:c r="G5" s="4"/>
      <x:c r="H5" s="4"/>
      <x:c r="I5" s="4" t="str">
        <x:v>First forecast month</x:v>
      </x:c>
      <x:c r="J5" s="8" t="d">
        <x:v>2026-11-01T00:00:00.000Z</x:v>
      </x:c>
      <x:c r="K5" s="4"/>
      <x:c r="L5" s="4"/>
      <x:c r="M5" s="4"/>
      <x:c r="N5" s="4"/>
    </x:row>
    <x:row r="6" ht="22" customHeight="1">
      <x:c r="A6" s="2"/>
      <x:c r="B6" s="2"/>
      <x:c r="C6" s="2" t="str">
        <x:v>Acquisition closing costs</x:v>
      </x:c>
      <x:c r="D6" s="7" t="n">
        <x:v>7500</x:v>
      </x:c>
      <x:c r="E6" s="7" t="n">
        <x:v>6000</x:v>
      </x:c>
      <x:c r="F6" s="4"/>
      <x:c r="G6" s="4"/>
      <x:c r="H6" s="4"/>
      <x:c r="I6" s="4"/>
      <x:c r="J6" s="4"/>
      <x:c r="K6" s="4"/>
      <x:c r="L6" s="4"/>
      <x:c r="M6" s="4"/>
      <x:c r="N6" s="4"/>
    </x:row>
    <x:row r="7" ht="22" customHeight="1">
      <x:c r="A7" s="2"/>
      <x:c r="B7" s="2"/>
      <x:c r="C7" s="2" t="str">
        <x:v>Initial rehabilitation</x:v>
      </x:c>
      <x:c r="D7" s="7" t="n">
        <x:v>2500</x:v>
      </x:c>
      <x:c r="E7" s="7" t="n">
        <x:v>4000</x:v>
      </x:c>
      <x:c r="F7" s="4"/>
      <x:c r="G7" s="4"/>
      <x:c r="H7" s="4"/>
      <x:c r="I7" s="4"/>
      <x:c r="J7" s="4"/>
      <x:c r="K7" s="4"/>
      <x:c r="L7" s="4"/>
      <x:c r="M7" s="4"/>
      <x:c r="N7" s="4"/>
    </x:row>
    <x:row r="8" ht="22" customHeight="1">
      <x:c r="A8" s="2"/>
      <x:c r="B8" s="2"/>
      <x:c r="C8" s="2" t="str">
        <x:v>Opening loan principal</x:v>
      </x:c>
      <x:c r="D8" s="7" t="n">
        <x:v>200000</x:v>
      </x:c>
      <x:c r="E8" s="7" t="n">
        <x:v>130000</x:v>
      </x:c>
      <x:c r="F8" s="4"/>
      <x:c r="G8" s="4"/>
      <x:c r="H8" s="4"/>
      <x:c r="I8" s="4" t="str">
        <x:v>All values are invented USD. Edit blue inputs.</x:v>
      </x:c>
      <x:c r="J8" s="4"/>
      <x:c r="K8" s="4"/>
      <x:c r="L8" s="4"/>
      <x:c r="M8" s="4"/>
      <x:c r="N8" s="4"/>
    </x:row>
    <x:row r="9" ht="22" customHeight="1">
      <x:c r="A9" s="2"/>
      <x:c r="B9" s="2"/>
      <x:c r="C9" s="2" t="str">
        <x:v>Annual fixed loan interest</x:v>
      </x:c>
      <x:c r="D9" s="17" t="n">
        <x:v>0.07</x:v>
      </x:c>
      <x:c r="E9" s="17" t="n">
        <x:v>0.065</x:v>
      </x:c>
      <x:c r="F9" s="4"/>
      <x:c r="G9" s="4"/>
      <x:c r="H9" s="4"/>
      <x:c r="I9" s="4"/>
      <x:c r="J9" s="4"/>
      <x:c r="K9" s="4"/>
      <x:c r="L9" s="4"/>
      <x:c r="M9" s="4"/>
      <x:c r="N9" s="4"/>
    </x:row>
    <x:row r="10" ht="22" customHeight="1">
      <x:c r="A10" s="2"/>
      <x:c r="B10" s="2"/>
      <x:c r="C10" s="2" t="str">
        <x:v>Loan term in months</x:v>
      </x:c>
      <x:c r="D10" s="18" t="n">
        <x:v>360</x:v>
      </x:c>
      <x:c r="E10" s="18" t="n">
        <x:v>240</x:v>
      </x:c>
      <x:c r="F10" s="4"/>
      <x:c r="G10" s="4"/>
      <x:c r="H10" s="4"/>
      <x:c r="I10" s="4" t="str">
        <x:v>No loan: enter 0 opening principal; rate/term may be blank.</x:v>
      </x:c>
      <x:c r="J10" s="4"/>
      <x:c r="K10" s="4"/>
      <x:c r="L10" s="4"/>
      <x:c r="M10" s="4"/>
      <x:c r="N10" s="4"/>
    </x:row>
    <x:row r="11" ht="22" customHeight="1">
      <x:c r="A11" s="2"/>
      <x:c r="B11" s="2"/>
      <x:c r="C11" s="2" t="str">
        <x:v>Monthly potential rent</x:v>
      </x:c>
      <x:c r="D11" s="7" t="n">
        <x:v>2400</x:v>
      </x:c>
      <x:c r="E11" s="7" t="n">
        <x:v>2000</x:v>
      </x:c>
      <x:c r="F11" s="4"/>
      <x:c r="G11" s="4"/>
      <x:c r="H11" s="4"/>
      <x:c r="I11" s="4"/>
      <x:c r="J11" s="4"/>
      <x:c r="K11" s="4"/>
      <x:c r="L11" s="4"/>
      <x:c r="M11" s="4"/>
      <x:c r="N11" s="4"/>
    </x:row>
    <x:row r="12" ht="22" customHeight="1">
      <x:c r="A12" s="2"/>
      <x:c r="B12" s="2"/>
      <x:c r="C12" s="2" t="str">
        <x:v>Vacancy share of potential rent</x:v>
      </x:c>
      <x:c r="D12" s="17" t="n">
        <x:v>0.05</x:v>
      </x:c>
      <x:c r="E12" s="17" t="n">
        <x:v>0.08</x:v>
      </x:c>
      <x:c r="F12" s="4"/>
      <x:c r="G12" s="4"/>
      <x:c r="H12" s="4"/>
      <x:c r="I12" s="4" t="str">
        <x:v>Annual fixed costs are spread over 12 months,</x:v>
      </x:c>
      <x:c r="J12" s="4"/>
      <x:c r="K12" s="4"/>
      <x:c r="L12" s="4"/>
      <x:c r="M12" s="4"/>
      <x:c r="N12" s="4"/>
    </x:row>
    <x:row r="13" ht="22" customHeight="1">
      <x:c r="A13" s="2"/>
      <x:c r="B13" s="2"/>
      <x:c r="C13" s="2" t="str">
        <x:v>Credit loss on occupied rent</x:v>
      </x:c>
      <x:c r="D13" s="17" t="n">
        <x:v>0.02</x:v>
      </x:c>
      <x:c r="E13" s="17" t="n">
        <x:v>0.02</x:v>
      </x:c>
      <x:c r="F13" s="4"/>
      <x:c r="G13" s="4"/>
      <x:c r="H13" s="4"/>
      <x:c r="I13" s="4" t="str">
        <x:v>with a final-month cent adjustment to preserve totals.</x:v>
      </x:c>
      <x:c r="J13" s="4"/>
      <x:c r="K13" s="4"/>
      <x:c r="L13" s="4"/>
      <x:c r="M13" s="4"/>
      <x:c r="N13" s="4"/>
    </x:row>
    <x:row r="14" ht="22" customHeight="1">
      <x:c r="A14" s="2"/>
      <x:c r="B14" s="2"/>
      <x:c r="C14" s="2" t="str">
        <x:v>Other monthly operating income</x:v>
      </x:c>
      <x:c r="D14" s="7" t="n">
        <x:v>50</x:v>
      </x:c>
      <x:c r="E14" s="7" t="n">
        <x:v>0</x:v>
      </x:c>
      <x:c r="F14" s="4"/>
      <x:c r="G14" s="4"/>
      <x:c r="H14" s="4"/>
      <x:c r="I14" s="4"/>
      <x:c r="J14" s="4"/>
      <x:c r="K14" s="4"/>
      <x:c r="L14" s="4"/>
      <x:c r="M14" s="4"/>
      <x:c r="N14" s="4"/>
    </x:row>
    <x:row r="15" ht="22" customHeight="1">
      <x:c r="A15" s="2"/>
      <x:c r="B15" s="2"/>
      <x:c r="C15" s="2"/>
      <x:c r="D15" s="4"/>
      <x:c r="E15" s="4"/>
      <x:c r="F15" s="4"/>
      <x:c r="G15" s="4"/>
      <x:c r="H15" s="4"/>
      <x:c r="I15" s="4" t="str">
        <x:v>Vacancy precedes credit loss. Management uses effective income.</x:v>
      </x:c>
      <x:c r="J15" s="4"/>
      <x:c r="K15" s="4"/>
      <x:c r="L15" s="4"/>
      <x:c r="M15" s="4"/>
      <x:c r="N15" s="4"/>
    </x:row>
    <x:row r="16" ht="22" customHeight="1">
      <x:c r="A16" s="2"/>
      <x:c r="B16" s="2"/>
      <x:c r="C16" s="2" t="str">
        <x:v>Annual property tax</x:v>
      </x:c>
      <x:c r="D16" s="7" t="n">
        <x:v>3600</x:v>
      </x:c>
      <x:c r="E16" s="7" t="n">
        <x:v>2400</x:v>
      </x:c>
      <x:c r="F16" s="4"/>
      <x:c r="G16" s="4"/>
      <x:c r="H16" s="4"/>
      <x:c r="I16" s="4"/>
      <x:c r="J16" s="4"/>
      <x:c r="K16" s="4"/>
      <x:c r="L16" s="4"/>
      <x:c r="M16" s="4"/>
      <x:c r="N16" s="4"/>
    </x:row>
    <x:row r="17" ht="22" customHeight="1">
      <x:c r="A17" s="2"/>
      <x:c r="B17" s="2"/>
      <x:c r="C17" s="2" t="str">
        <x:v>Annual insurance</x:v>
      </x:c>
      <x:c r="D17" s="7" t="n">
        <x:v>1200</x:v>
      </x:c>
      <x:c r="E17" s="7" t="n">
        <x:v>1100</x:v>
      </x:c>
      <x:c r="F17" s="4"/>
      <x:c r="G17" s="4"/>
      <x:c r="H17" s="4"/>
      <x:c r="I17" s="4" t="str">
        <x:v>Reserve allocation is separate from actual capex.</x:v>
      </x:c>
      <x:c r="J17" s="4"/>
      <x:c r="K17" s="4"/>
      <x:c r="L17" s="4"/>
      <x:c r="M17" s="4"/>
      <x:c r="N17" s="4"/>
    </x:row>
    <x:row r="18" ht="22" customHeight="1">
      <x:c r="A18" s="2"/>
      <x:c r="B18" s="2"/>
      <x:c r="C18" s="2" t="str">
        <x:v>Annual repairs and maintenance</x:v>
      </x:c>
      <x:c r="D18" s="7" t="n">
        <x:v>1800</x:v>
      </x:c>
      <x:c r="E18" s="7" t="n">
        <x:v>1500</x:v>
      </x:c>
      <x:c r="F18" s="4"/>
      <x:c r="G18" s="4"/>
      <x:c r="H18" s="4"/>
      <x:c r="I18" s="4"/>
      <x:c r="J18" s="4"/>
      <x:c r="K18" s="4"/>
      <x:c r="L18" s="4"/>
      <x:c r="M18" s="4"/>
      <x:c r="N18" s="4"/>
    </x:row>
    <x:row r="19" ht="22" customHeight="1">
      <x:c r="A19" s="2"/>
      <x:c r="B19" s="2"/>
      <x:c r="C19" s="2" t="str">
        <x:v>Annual utilities</x:v>
      </x:c>
      <x:c r="D19" s="7" t="n">
        <x:v>600</x:v>
      </x:c>
      <x:c r="E19" s="7" t="n">
        <x:v>500</x:v>
      </x:c>
      <x:c r="F19" s="4"/>
      <x:c r="G19" s="4"/>
      <x:c r="H19" s="4"/>
      <x:c r="I19" s="4" t="str">
        <x:v>No appreciation, sale, tax, daily interest or lender approval model.</x:v>
      </x:c>
      <x:c r="J19" s="4"/>
      <x:c r="K19" s="4"/>
      <x:c r="L19" s="4"/>
      <x:c r="M19" s="4"/>
      <x:c r="N19" s="4"/>
    </x:row>
    <x:row r="20" ht="22" customHeight="1">
      <x:c r="A20" s="2"/>
      <x:c r="B20" s="2"/>
      <x:c r="C20" s="2" t="str">
        <x:v>Annual HOA and service charges</x:v>
      </x:c>
      <x:c r="D20" s="7" t="n">
        <x:v>0</x:v>
      </x:c>
      <x:c r="E20" s="7" t="n">
        <x:v>0</x:v>
      </x:c>
      <x:c r="F20" s="4"/>
      <x:c r="G20" s="4"/>
      <x:c r="H20" s="4"/>
      <x:c r="I20" s="4"/>
      <x:c r="J20" s="4"/>
      <x:c r="K20" s="4"/>
      <x:c r="L20" s="4"/>
      <x:c r="M20" s="4"/>
      <x:c r="N20" s="4"/>
    </x:row>
    <x:row r="21" ht="22" customHeight="1">
      <x:c r="A21" s="2"/>
      <x:c r="B21" s="2"/>
      <x:c r="C21" s="2" t="str">
        <x:v>Other annual operating costs</x:v>
      </x:c>
      <x:c r="D21" s="7" t="n">
        <x:v>600</x:v>
      </x:c>
      <x:c r="E21" s="7" t="n">
        <x:v>500</x:v>
      </x:c>
      <x:c r="F21" s="4"/>
      <x:c r="G21" s="4"/>
      <x:c r="H21" s="4"/>
      <x:c r="I21" s="4"/>
      <x:c r="J21" s="4"/>
      <x:c r="K21" s="4"/>
      <x:c r="L21" s="4"/>
      <x:c r="M21" s="4"/>
      <x:c r="N21" s="4"/>
    </x:row>
    <x:row r="22" ht="22" customHeight="1">
      <x:c r="A22" s="2"/>
      <x:c r="B22" s="2"/>
      <x:c r="C22" s="2" t="str">
        <x:v>Management / effective income</x:v>
      </x:c>
      <x:c r="D22" s="17" t="n">
        <x:v>0.08</x:v>
      </x:c>
      <x:c r="E22" s="17" t="n">
        <x:v>0.1</x:v>
      </x:c>
      <x:c r="F22" s="4"/>
      <x:c r="G22" s="4"/>
      <x:c r="H22" s="4"/>
      <x:c r="I22" s="4"/>
      <x:c r="J22" s="4"/>
      <x:c r="K22" s="4"/>
      <x:c r="L22" s="4"/>
      <x:c r="M22" s="4"/>
      <x:c r="N22" s="4"/>
    </x:row>
    <x:row r="23" ht="22" customHeight="1">
      <x:c r="A23" s="2"/>
      <x:c r="B23" s="2"/>
      <x:c r="C23" s="2" t="str">
        <x:v>Annual reserve allocation</x:v>
      </x:c>
      <x:c r="D23" s="7" t="n">
        <x:v>1200</x:v>
      </x:c>
      <x:c r="E23" s="7" t="n">
        <x:v>1000</x:v>
      </x:c>
      <x:c r="F23" s="4"/>
      <x:c r="G23" s="4"/>
      <x:c r="H23" s="4"/>
      <x:c r="I23" s="4"/>
      <x:c r="J23" s="4"/>
      <x:c r="K23" s="4"/>
      <x:c r="L23" s="4"/>
      <x:c r="M23" s="4"/>
      <x:c r="N23" s="4"/>
    </x:row>
    <x:row r="24" ht="22" customHeight="1">
      <x:c r="A24" s="2"/>
      <x:c r="B24" s="2"/>
      <x:c r="C24" s="2" t="str">
        <x:v>Annual capex paid</x:v>
      </x:c>
      <x:c r="D24" s="7" t="n">
        <x:v>600</x:v>
      </x:c>
      <x:c r="E24" s="7" t="n">
        <x:v>500</x:v>
      </x:c>
      <x:c r="F24" s="4"/>
      <x:c r="G24" s="4"/>
      <x:c r="H24" s="4"/>
      <x:c r="I24" s="4"/>
      <x:c r="J24" s="4"/>
      <x:c r="K24" s="4"/>
      <x:c r="L24" s="4"/>
      <x:c r="M24" s="4"/>
      <x:c r="N24" s="4"/>
    </x:row>
    <x:row r="25" ht="22" customHeight="1">
      <x:c r="A25" s="2"/>
      <x:c r="B25" s="2"/>
      <x:c r="C25" s="2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</x:row>
    <x:row r="26" ht="22" customHeight="1">
      <x:c r="A26" s="2"/>
      <x:c r="B26" s="2"/>
      <x:c r="C26" s="2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</x:row>
    <x:row r="27" ht="22" customHeight="1">
      <x:c r="A27" s="2"/>
      <x:c r="B27" s="2"/>
      <x:c r="C27" s="2" t="str">
        <x:v>Input status</x:v>
      </x:c>
      <x:c r="D27" s="19" t="str">
        <x:f>IF(AND(COUNT(D5,D6,D7,D8,D11,D12,D13,D14,D16,D17,D18,D19,D20,D21,D22,D23,D24)=17,MIN(D5,D6,D7,D8,D11,D12,D13,D14,D16,D17,D18,D19,D20,D21,D22,D23,D24)&gt;=0,D5&gt;0,MAX(D12:D13,D22)&lt;=1,D8&lt;=SUM(D5:D7),IF(D8=0,TRUE,IF(COUNT(D9:D10)=2,AND(D9&gt;=0,D9&lt;=1,D10=INT(D10),D10&gt;=1,D10&lt;=360),FALSE)),IF(ISNUMBER($J$5),IF(AND($J$5&gt;=DATE(1900,1,1),$J$5&lt;=DATE(2200,12,31)),DAY($J$5)=1,FALSE),FALSE)),"Ready","Check inputs")</x:f>
        <x:v>Ready</x:v>
      </x:c>
      <x:c r="E27" s="19" t="str">
        <x:f>IF(AND(COUNT(E5,E6,E7,E8,E11,E12,E13,E14,E16,E17,E18,E19,E20,E21,E22,E23,E24)=17,MIN(E5,E6,E7,E8,E11,E12,E13,E14,E16,E17,E18,E19,E20,E21,E22,E23,E24)&gt;=0,E5&gt;0,MAX(E12:E13,E22)&lt;=1,E8&lt;=SUM(E5:E7),IF(E8=0,TRUE,IF(COUNT(E9:E10)=2,AND(E9&gt;=0,E9&lt;=1,E10=INT(E10),E10&gt;=1,E10&lt;=360),FALSE)),IF(ISNUMBER($J$5),IF(AND($J$5&gt;=DATE(1900,1,1),$J$5&lt;=DATE(2200,12,31)),DAY($J$5)=1,FALSE),FALSE)),"Ready","Check inputs")</x:f>
        <x:v>Ready</x:v>
      </x:c>
      <x:c r="F27" s="4"/>
      <x:c r="G27" s="4"/>
      <x:c r="H27" s="4"/>
      <x:c r="I27" s="4"/>
      <x:c r="J27" s="4"/>
      <x:c r="K27" s="4"/>
      <x:c r="L27" s="4"/>
      <x:c r="M27" s="4"/>
      <x:c r="N27" s="4"/>
    </x:row>
    <x:row r="28" ht="22" customHeight="1">
      <x:c r="A28" s="2"/>
      <x:c r="B28" s="2"/>
      <x:c r="C28" s="2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</x:row>
    <x:row r="29" ht="22" customHeight="1">
      <x:c r="A29" s="2"/>
      <x:c r="B29" s="2"/>
      <x:c r="C29" s="2" t="str">
        <x:v>Regular monthly debt payment</x:v>
      </x:c>
      <x:c r="D29" s="19" t="n">
        <x:f>IF(D27="Ready",IF(D8=0,0,ROUND(IF(D9=0,D8/D10,D8*(D9/12)/(1-(1+D9/12)^(-D10))),2)),"n.a.")</x:f>
        <x:v>1330.6</x:v>
      </x:c>
      <x:c r="E29" s="19" t="n">
        <x:f>IF(E27="Ready",IF(E8=0,0,ROUND(IF(E9=0,E8/E10,E8*(E9/12)/(1-(1+E9/12)^(-E10))),2)),"n.a.")</x:f>
        <x:v>969.25</x:v>
      </x:c>
      <x:c r="F29" s="4"/>
      <x:c r="G29" s="4"/>
      <x:c r="H29" s="4"/>
      <x:c r="I29" s="4"/>
      <x:c r="J29" s="4"/>
      <x:c r="K29" s="4"/>
      <x:c r="L29" s="4"/>
      <x:c r="M29" s="4"/>
      <x:c r="N29" s="4"/>
    </x:row>
    <x:row r="30" ht="22" customHeight="1">
      <x:c r="A30" s="2"/>
      <x:c r="B30" s="2"/>
      <x:c r="C30" s="2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 ht="22" customHeight="1">
      <x:c r="A31" s="2"/>
      <x:c r="B31" s="2"/>
      <x:c r="C31" s="2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</x:row>
    <x:row r="32" ht="22" customHeight="1">
      <x:c r="A32" s="2"/>
      <x:c r="B32" s="2"/>
      <x:c r="C32" s="2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</x:row>
    <x:row r="33" ht="22" customHeight="1">
      <x:c r="A33" s="2"/>
      <x:c r="B33" s="2"/>
      <x:c r="C33" s="2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</x:row>
    <x:row r="34" ht="22" customHeight="1">
      <x:c r="A34" s="2"/>
      <x:c r="B34" s="2"/>
      <x:c r="C34" s="2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</x:row>
  </x:sheetData>
  <x:dataValidations count="38">
    <x:dataValidation type="decimal" operator="between" sqref="D5">
      <x:formula1>0</x:formula1>
      <x:formula2>1000000000</x:formula2>
    </x:dataValidation>
    <x:dataValidation type="decimal" operator="between" sqref="E5">
      <x:formula1>0</x:formula1>
      <x:formula2>1000000000</x:formula2>
    </x:dataValidation>
    <x:dataValidation type="decimal" operator="between" sqref="D6">
      <x:formula1>0</x:formula1>
      <x:formula2>1000000000</x:formula2>
    </x:dataValidation>
    <x:dataValidation type="decimal" operator="between" sqref="E6">
      <x:formula1>0</x:formula1>
      <x:formula2>1000000000</x:formula2>
    </x:dataValidation>
    <x:dataValidation type="decimal" operator="between" sqref="D7">
      <x:formula1>0</x:formula1>
      <x:formula2>1000000000</x:formula2>
    </x:dataValidation>
    <x:dataValidation type="decimal" operator="between" sqref="E7">
      <x:formula1>0</x:formula1>
      <x:formula2>1000000000</x:formula2>
    </x:dataValidation>
    <x:dataValidation type="decimal" operator="between" sqref="D8">
      <x:formula1>0</x:formula1>
      <x:formula2>1000000000</x:formula2>
    </x:dataValidation>
    <x:dataValidation type="decimal" operator="between" sqref="E8">
      <x:formula1>0</x:formula1>
      <x:formula2>1000000000</x:formula2>
    </x:dataValidation>
    <x:dataValidation type="decimal" operator="between" sqref="D9">
      <x:formula1>0</x:formula1>
      <x:formula2>1</x:formula2>
    </x:dataValidation>
    <x:dataValidation type="decimal" operator="between" sqref="E9">
      <x:formula1>0</x:formula1>
      <x:formula2>1</x:formula2>
    </x:dataValidation>
    <x:dataValidation type="whole" operator="between" sqref="D10">
      <x:formula1>0</x:formula1>
      <x:formula2>1000000000</x:formula2>
    </x:dataValidation>
    <x:dataValidation type="whole" operator="between" sqref="E10">
      <x:formula1>0</x:formula1>
      <x:formula2>1000000000</x:formula2>
    </x:dataValidation>
    <x:dataValidation type="decimal" operator="between" sqref="D11">
      <x:formula1>0</x:formula1>
      <x:formula2>1000000000</x:formula2>
    </x:dataValidation>
    <x:dataValidation type="decimal" operator="between" sqref="E11">
      <x:formula1>0</x:formula1>
      <x:formula2>1000000000</x:formula2>
    </x:dataValidation>
    <x:dataValidation type="decimal" operator="between" sqref="D12">
      <x:formula1>0</x:formula1>
      <x:formula2>1</x:formula2>
    </x:dataValidation>
    <x:dataValidation type="decimal" operator="between" sqref="E12">
      <x:formula1>0</x:formula1>
      <x:formula2>1</x:formula2>
    </x:dataValidation>
    <x:dataValidation type="decimal" operator="between" sqref="D13">
      <x:formula1>0</x:formula1>
      <x:formula2>1</x:formula2>
    </x:dataValidation>
    <x:dataValidation type="decimal" operator="between" sqref="E13">
      <x:formula1>0</x:formula1>
      <x:formula2>1</x:formula2>
    </x:dataValidation>
    <x:dataValidation type="decimal" operator="between" sqref="D14">
      <x:formula1>0</x:formula1>
      <x:formula2>1000000000</x:formula2>
    </x:dataValidation>
    <x:dataValidation type="decimal" operator="between" sqref="E14">
      <x:formula1>0</x:formula1>
      <x:formula2>1000000000</x:formula2>
    </x:dataValidation>
    <x:dataValidation type="decimal" operator="between" sqref="D16">
      <x:formula1>0</x:formula1>
      <x:formula2>1000000000</x:formula2>
    </x:dataValidation>
    <x:dataValidation type="decimal" operator="between" sqref="E16">
      <x:formula1>0</x:formula1>
      <x:formula2>1000000000</x:formula2>
    </x:dataValidation>
    <x:dataValidation type="decimal" operator="between" sqref="D17">
      <x:formula1>0</x:formula1>
      <x:formula2>1000000000</x:formula2>
    </x:dataValidation>
    <x:dataValidation type="decimal" operator="between" sqref="E17">
      <x:formula1>0</x:formula1>
      <x:formula2>1000000000</x:formula2>
    </x:dataValidation>
    <x:dataValidation type="decimal" operator="between" sqref="D18">
      <x:formula1>0</x:formula1>
      <x:formula2>1000000000</x:formula2>
    </x:dataValidation>
    <x:dataValidation type="decimal" operator="between" sqref="E18">
      <x:formula1>0</x:formula1>
      <x:formula2>1000000000</x:formula2>
    </x:dataValidation>
    <x:dataValidation type="decimal" operator="between" sqref="D19">
      <x:formula1>0</x:formula1>
      <x:formula2>1000000000</x:formula2>
    </x:dataValidation>
    <x:dataValidation type="decimal" operator="between" sqref="E19">
      <x:formula1>0</x:formula1>
      <x:formula2>1000000000</x:formula2>
    </x:dataValidation>
    <x:dataValidation type="decimal" operator="between" sqref="D20">
      <x:formula1>0</x:formula1>
      <x:formula2>1000000000</x:formula2>
    </x:dataValidation>
    <x:dataValidation type="decimal" operator="between" sqref="E20">
      <x:formula1>0</x:formula1>
      <x:formula2>1000000000</x:formula2>
    </x:dataValidation>
    <x:dataValidation type="decimal" operator="between" sqref="D21">
      <x:formula1>0</x:formula1>
      <x:formula2>1000000000</x:formula2>
    </x:dataValidation>
    <x:dataValidation type="decimal" operator="between" sqref="E21">
      <x:formula1>0</x:formula1>
      <x:formula2>1000000000</x:formula2>
    </x:dataValidation>
    <x:dataValidation type="decimal" operator="between" sqref="D22">
      <x:formula1>0</x:formula1>
      <x:formula2>1</x:formula2>
    </x:dataValidation>
    <x:dataValidation type="decimal" operator="between" sqref="E22">
      <x:formula1>0</x:formula1>
      <x:formula2>1</x:formula2>
    </x:dataValidation>
    <x:dataValidation type="decimal" operator="between" sqref="D23">
      <x:formula1>0</x:formula1>
      <x:formula2>1000000000</x:formula2>
    </x:dataValidation>
    <x:dataValidation type="decimal" operator="between" sqref="E23">
      <x:formula1>0</x:formula1>
      <x:formula2>1000000000</x:formula2>
    </x:dataValidation>
    <x:dataValidation type="decimal" operator="between" sqref="D24">
      <x:formula1>0</x:formula1>
      <x:formula2>1000000000</x:formula2>
    </x:dataValidation>
    <x:dataValidation type="decimal" operator="between" sqref="E24">
      <x:formula1>0</x:formula1>
      <x:formula2>1000000000</x:formula2>
    </x:dataValidation>
  </x:dataValidations>
  <x:pageMargins left="0.7" right="0.7" top="0.75" bottom="0.75" header="0.3" footer="0.3"/>
  <x:legacyDrawing xmlns:r="http://schemas.openxmlformats.org/officeDocument/2006/relationships" r:id="R655029af5a9f4e2f"/>
</x:worksheet>
</file>