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e76cf141f40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oan" sheetId="1" r:id="R824d5a75b7864c33"/>
  </x:sheets>
</x:workbook>
</file>

<file path=xl/comments1.xml><?xml version="1.0" encoding="utf-8"?>
<x:comments xmlns:x="http://schemas.openxmlformats.org/spreadsheetml/2006/main">
  <x:authors>
    <x:author/>
  </x:authors>
  <x:commentList>
    <x:comment ref="D5" authorId="0">
      <x:text>
        <x:r>
          <x:t>Invented USD examples. Strategies: CFPB Debt action plan, https://www.consumerfinance.gov/archive/blog/how-reduce-your-debt/. Monthly interest is an illustrative APR/12 convention; actual card interest often uses daily balances: https://www.consumerfinance.gov/ask-cfpb/how-does-my-credit-card-company-calculate-the-amount-of-interest-i-owe-en-51/.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&quot;$&quot;#,##0.00;(&quot;$&quot;#,##0.00);&quot;-&quot;"/>
    <x:numFmt numFmtId="201" formatCode="0.0%;(0.0%);&quot;-&quot;"/>
    <x:numFmt numFmtId="202" formatCode="0"/>
    <x:numFmt numFmtId="203" formatCode="mmm d, yyyy"/>
  </x:numFmts>
  <x:fonts count="6">
    <x:font>
      <x:sz val="11"/>
      <x:name val="Carlito"/>
    </x:font>
    <x:font>
      <x:sz val="10"/>
      <x:color rgb="FF17364D"/>
      <x:name val="Arial"/>
    </x:font>
    <x:font>
      <x:b/>
      <x:sz val="15"/>
      <x:color rgb="FF17364D"/>
      <x:name val="Arial"/>
    </x:font>
    <x:font>
      <x:sz val="10"/>
      <x:color rgb="FF0000FF"/>
      <x:name val="Arial"/>
    </x:font>
    <x:font>
      <x:sz val="10"/>
      <x:color rgb="FF000000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7364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horizontal="right" vertical="center"/>
    </x:xf>
    <x:xf numFmtId="200" fontId="3" fillId="2" borderId="0" xfId="0" applyNumberFormat="1" applyFont="1" applyFill="1" applyBorder="1" applyAlignment="1">
      <x:alignment horizontal="right" vertical="center"/>
    </x:xf>
    <x:xf numFmtId="201" fontId="3" fillId="2" borderId="0" xfId="0" applyNumberFormat="1" applyFont="1" applyFill="1" applyBorder="1" applyAlignment="1">
      <x:alignment horizontal="right" vertical="center"/>
    </x:xf>
    <x:xf numFmtId="202" fontId="3" fillId="2" borderId="0" xfId="0" applyNumberFormat="1" applyFont="1" applyFill="1" applyBorder="1" applyAlignment="1">
      <x:alignment horizontal="right" vertical="center"/>
    </x:xf>
    <x:xf numFmtId="203" fontId="3" fillId="2" borderId="0" xfId="0" applyNumberFormat="1" applyFont="1" applyFill="1" applyBorder="1" applyAlignment="1">
      <x:alignment horizontal="right" vertical="center"/>
    </x:xf>
    <x:xf numFmtId="200" fontId="4" fillId="0" borderId="0" xfId="0" applyNumberFormat="1" applyFont="1" applyFill="1" applyBorder="1" applyAlignment="1">
      <x:alignment horizontal="right" vertical="center"/>
    </x:xf>
    <x:xf numFmtId="202" fontId="4" fillId="0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right"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horizontal="right" vertical="center"/>
    </x:xf>
    <x:xf numFmtId="0" fontId="5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horizontal="right"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200" fontId="5" fillId="3" borderId="0" xfId="0" applyNumberFormat="1" applyFont="1" applyFill="1" applyBorder="1" applyAlignment="1">
      <x:alignment horizontal="center" vertical="center" wrapText="1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bbcc59bb4249c7" /><Relationship Type="http://schemas.openxmlformats.org/officeDocument/2006/relationships/theme" Target="/xl/theme/theme1.xml" Id="Rb236e59a6985461d" /><Relationship Type="http://schemas.openxmlformats.org/officeDocument/2006/relationships/sharedStrings" Target="/xl/sharedStrings.xml" Id="R41b3562048a4412a" /><Relationship Type="http://schemas.openxmlformats.org/officeDocument/2006/relationships/worksheet" Target="/xl/worksheets/sheet1.xml" Id="R824d5a75b7864c3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d2d17746a0e943ec" /><Relationship Type="http://schemas.openxmlformats.org/officeDocument/2006/relationships/vmlDrawing" Target="/xl/drawings/vmldrawing.vml" Id="R0e4fd5ed9a3b4b8c" /></Relationships>
</file>

<file path=xl/worksheets/sheet1.xml><?xml version="1.0" encoding="utf-8"?>
<x:worksheet xmlns:x="http://schemas.openxmlformats.org/spreadsheetml/2006/main">
  <x:sheetPr>
    <x:tabColor rgb="FF17364D"/>
  </x:sheetPr>
  <x:sheetViews>
    <x:sheetView showGridLines="0" workbookViewId="0">
      <x:pane ySplit="16" topLeftCell="A17" activePane="bottomLeft" state="frozen"/>
    </x:sheetView>
  </x:sheetViews>
  <x:sheetFormatPr defaultRowHeight="15"/>
  <x:cols>
    <x:col min="1" max="1" width="2" hidden="0" customWidth="1"/>
    <x:col min="2" max="2" width="2" hidden="0" customWidth="1"/>
    <x:col min="3" max="3" width="24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</x:cols>
  <x:sheetData>
    <x:row r="1" ht="22" customHeight="1">
      <x:c r="A1" s="2"/>
      <x:c r="B1" s="2"/>
      <x:c r="C1" s="2"/>
      <x:c r="D1" s="4"/>
      <x:c r="E1" s="4"/>
      <x:c r="F1" s="4"/>
      <x:c r="G1" s="4"/>
      <x:c r="H1" s="4"/>
      <x:c r="I1" s="4"/>
      <x:c r="J1" s="4"/>
      <x:c r="K1" s="4"/>
      <x:c r="L1" s="4"/>
    </x:row>
    <x:row r="2" ht="22" customHeight="1">
      <x:c r="A2" s="2"/>
      <x:c r="B2" s="2"/>
      <x:c r="C2" s="5" t="str">
        <x:v>Loan amortization with extra payments</x:v>
      </x:c>
      <x:c r="D2" s="4"/>
      <x:c r="E2" s="4"/>
      <x:c r="F2" s="4"/>
      <x:c r="G2" s="4"/>
      <x:c r="H2" s="4"/>
      <x:c r="I2" s="4"/>
      <x:c r="J2" s="4"/>
      <x:c r="K2" s="4"/>
      <x:c r="L2" s="4"/>
    </x:row>
    <x:row r="3" ht="22" customHeight="1">
      <x:c r="A3" s="2"/>
      <x:c r="B3" s="2"/>
      <x:c r="C3" s="2"/>
      <x:c r="D3" s="4"/>
      <x:c r="E3" s="4"/>
      <x:c r="F3" s="4"/>
      <x:c r="G3" s="4"/>
      <x:c r="H3" s="4"/>
      <x:c r="I3" s="4"/>
      <x:c r="J3" s="4"/>
      <x:c r="K3" s="4"/>
      <x:c r="L3" s="4"/>
    </x:row>
    <x:row r="4" ht="22" customHeight="1">
      <x:c r="A4" s="2"/>
      <x:c r="B4" s="2"/>
      <x:c r="C4" s="2" t="str">
        <x:v>Input status</x:v>
      </x:c>
      <x:c r="D4" s="11" t="str">
        <x:f>IF(AND(COUNT(D5:D9)=5,D5&gt;0,D6&gt;=0,D6&lt;=1,D7=INT(D7),D7&gt;=1,D7&lt;=360,D8&gt;=0,D9&gt;0),"Ready","Check inputs")</x:f>
        <x:v>Ready</x:v>
      </x:c>
      <x:c r="E4" s="4"/>
      <x:c r="F4" s="4"/>
      <x:c r="G4" s="4"/>
      <x:c r="H4" s="4"/>
      <x:c r="I4" s="4"/>
      <x:c r="J4" s="4"/>
      <x:c r="K4" s="4"/>
      <x:c r="L4" s="4"/>
    </x:row>
    <x:row r="5" ht="22" customHeight="1">
      <x:c r="A5" s="2"/>
      <x:c r="B5" s="2"/>
      <x:c r="C5" s="2" t="str">
        <x:v>Original balance</x:v>
      </x:c>
      <x:c r="D5" s="7" t="n">
        <x:v>10000</x:v>
      </x:c>
      <x:c r="E5" s="4"/>
      <x:c r="F5" s="4" t="str">
        <x:v>Interest at APR/12 on opening balance, rounded to cents.</x:v>
      </x:c>
      <x:c r="G5" s="4"/>
      <x:c r="H5" s="4"/>
      <x:c r="I5" s="4"/>
      <x:c r="J5" s="4"/>
      <x:c r="K5" s="4"/>
      <x:c r="L5" s="4"/>
    </x:row>
    <x:row r="6" ht="22" customHeight="1">
      <x:c r="A6" s="2"/>
      <x:c r="B6" s="2"/>
      <x:c r="C6" s="2" t="str">
        <x:v>Annual fixed rate</x:v>
      </x:c>
      <x:c r="D6" s="8" t="n">
        <x:v>0.08</x:v>
      </x:c>
      <x:c r="E6" s="4"/>
      <x:c r="F6" s="4" t="str">
        <x:v>Final contractual month pays any remaining principal plus interest.</x:v>
      </x:c>
      <x:c r="G6" s="4"/>
      <x:c r="H6" s="4"/>
      <x:c r="I6" s="4"/>
      <x:c r="J6" s="4"/>
      <x:c r="K6" s="4"/>
      <x:c r="L6" s="4"/>
    </x:row>
    <x:row r="7" ht="22" customHeight="1">
      <x:c r="A7" s="2"/>
      <x:c r="B7" s="2"/>
      <x:c r="C7" s="2" t="str">
        <x:v>Term in months</x:v>
      </x:c>
      <x:c r="D7" s="9" t="n">
        <x:v>36</x:v>
      </x:c>
      <x:c r="E7" s="4"/>
      <x:c r="F7" s="4" t="str">
        <x:v>Earlier payments cap at total owed. No fees or new borrowing.</x:v>
      </x:c>
      <x:c r="G7" s="4"/>
      <x:c r="H7" s="4"/>
      <x:c r="I7" s="4"/>
      <x:c r="J7" s="4"/>
      <x:c r="K7" s="4"/>
      <x:c r="L7" s="4"/>
    </x:row>
    <x:row r="8" ht="22" customHeight="1">
      <x:c r="A8" s="2"/>
      <x:c r="B8" s="2"/>
      <x:c r="C8" s="2" t="str">
        <x:v>Extra principal each month</x:v>
      </x:c>
      <x:c r="D8" s="7" t="n">
        <x:v>50</x:v>
      </x:c>
      <x:c r="E8" s="4"/>
      <x:c r="F8" s="4"/>
      <x:c r="G8" s="4"/>
      <x:c r="H8" s="4"/>
      <x:c r="I8" s="4"/>
      <x:c r="J8" s="4"/>
      <x:c r="K8" s="4"/>
      <x:c r="L8" s="4"/>
    </x:row>
    <x:row r="9" ht="22" customHeight="1">
      <x:c r="A9" s="2"/>
      <x:c r="B9" s="2"/>
      <x:c r="C9" s="2" t="str">
        <x:v>First due date</x:v>
      </x:c>
      <x:c r="D9" s="10" t="d">
        <x:v>2026-11-01T00:00:00.000Z</x:v>
      </x:c>
      <x:c r="E9" s="4"/>
      <x:c r="F9" s="4"/>
      <x:c r="G9" s="4"/>
      <x:c r="H9" s="4"/>
      <x:c r="I9" s="4"/>
      <x:c r="J9" s="4"/>
      <x:c r="K9" s="4"/>
      <x:c r="L9" s="4"/>
    </x:row>
    <x:row r="10" ht="22" customHeight="1">
      <x:c r="A10" s="2"/>
      <x:c r="B10" s="2"/>
      <x:c r="C10" s="2"/>
      <x:c r="D10" s="4"/>
      <x:c r="E10" s="4"/>
      <x:c r="F10" s="4"/>
      <x:c r="G10" s="4"/>
      <x:c r="H10" s="4"/>
      <x:c r="I10" s="4"/>
      <x:c r="J10" s="4"/>
      <x:c r="K10" s="4"/>
      <x:c r="L10" s="4"/>
    </x:row>
    <x:row r="11" ht="22" customHeight="1">
      <x:c r="A11" s="2"/>
      <x:c r="B11" s="2"/>
      <x:c r="C11" s="2" t="str">
        <x:v>Regular payment</x:v>
      </x:c>
      <x:c r="D11" s="11" t="n">
        <x:f>IF(D4="Ready",ROUND(IF(D6=0,D5/D7,D5*(D6/12)/(1-(1+D6/12)^(-D7))),2),"n.a.")</x:f>
        <x:v>313.36</x:v>
      </x:c>
      <x:c r="E11" s="4"/>
      <x:c r="F11" s="4"/>
      <x:c r="G11" s="4"/>
      <x:c r="H11" s="4"/>
      <x:c r="I11" s="4"/>
      <x:c r="J11" s="4"/>
      <x:c r="K11" s="4"/>
      <x:c r="L11" s="4"/>
    </x:row>
    <x:row r="12" ht="22" customHeight="1">
      <x:c r="A12" s="2"/>
      <x:c r="B12" s="2"/>
      <x:c r="C12" s="2" t="str">
        <x:v>Total interest</x:v>
      </x:c>
      <x:c r="D12" s="11" t="n">
        <x:f>IF(COUNT(F17:F376)=360,SUM(F17:F376),"n.a.")</x:f>
        <x:v>1084.7899999999997</x:v>
      </x:c>
      <x:c r="E12" s="4"/>
      <x:c r="F12" s="4"/>
      <x:c r="G12" s="4"/>
      <x:c r="H12" s="4"/>
      <x:c r="I12" s="4"/>
      <x:c r="J12" s="4"/>
      <x:c r="K12" s="4"/>
      <x:c r="L12" s="4"/>
    </x:row>
    <x:row r="13" ht="22" customHeight="1">
      <x:c r="A13" s="2"/>
      <x:c r="B13" s="2"/>
      <x:c r="C13" s="2" t="str">
        <x:v>Payoff month</x:v>
      </x:c>
      <x:c r="D13" s="12" t="n">
        <x:f>IF(COUNT(K17:K376)=360,MATCH(0,K17:K376,0),"n.a.")</x:f>
        <x:v>31</x:v>
      </x:c>
      <x:c r="E13" s="4"/>
      <x:c r="F13" s="4"/>
      <x:c r="G13" s="4"/>
      <x:c r="H13" s="4"/>
      <x:c r="I13" s="4"/>
      <x:c r="J13" s="4"/>
      <x:c r="K13" s="4"/>
      <x:c r="L13" s="4"/>
    </x:row>
    <x:row r="14" ht="22" customHeight="1">
      <x:c r="A14" s="2"/>
      <x:c r="B14" s="2"/>
      <x:c r="C14" s="2"/>
      <x:c r="D14" s="4"/>
      <x:c r="E14" s="4"/>
      <x:c r="F14" s="4"/>
      <x:c r="G14" s="4"/>
      <x:c r="H14" s="4"/>
      <x:c r="I14" s="4"/>
      <x:c r="J14" s="4"/>
      <x:c r="K14" s="4"/>
      <x:c r="L14" s="4"/>
    </x:row>
    <x:row r="15" ht="22" customHeight="1">
      <x:c r="A15" s="2"/>
      <x:c r="B15" s="2"/>
      <x:c r="C15" s="2"/>
      <x:c r="D15" s="4"/>
      <x:c r="E15" s="4"/>
      <x:c r="F15" s="4"/>
      <x:c r="G15" s="4"/>
      <x:c r="H15" s="4"/>
      <x:c r="I15" s="4"/>
      <x:c r="J15" s="4"/>
      <x:c r="K15" s="4"/>
      <x:c r="L15" s="4"/>
    </x:row>
    <x:row r="16" ht="34" customHeight="1">
      <x:c r="A16" s="2"/>
      <x:c r="B16" s="2"/>
      <x:c r="C16" s="19" t="str">
        <x:v>Month</x:v>
      </x:c>
      <x:c r="D16" s="20" t="str">
        <x:v>Payment date</x:v>
      </x:c>
      <x:c r="E16" s="20" t="str">
        <x:v>Opening</x:v>
      </x:c>
      <x:c r="F16" s="20" t="str">
        <x:v>Interest</x:v>
      </x:c>
      <x:c r="G16" s="20" t="str">
        <x:v>Regular paid</x:v>
      </x:c>
      <x:c r="H16" s="20" t="str">
        <x:v>Extra paid</x:v>
      </x:c>
      <x:c r="I16" s="20" t="str">
        <x:v>Total paid</x:v>
      </x:c>
      <x:c r="J16" s="20" t="str">
        <x:v>Principal</x:v>
      </x:c>
      <x:c r="K16" s="20" t="str">
        <x:v>Closing</x:v>
      </x:c>
      <x:c r="L16" s="4"/>
    </x:row>
    <x:row r="17" ht="22" customHeight="1">
      <x:c r="A17" s="2"/>
      <x:c r="B17" s="2"/>
      <x:c r="C17" s="21" t="n">
        <x:f>1</x:f>
        <x:v>1</x:v>
      </x:c>
      <x:c r="D17" s="22" t="n">
        <x:f>IF($D$4="Ready",EDATE($D$9,C17-1),"n.a.")</x:f>
        <x:v>46327</x:v>
      </x:c>
      <x:c r="E17" s="4" t="n">
        <x:f>IF($D$4="Ready",$D$5,"n.a.")</x:f>
        <x:v>10000</x:v>
      </x:c>
      <x:c r="F17" s="4" t="n">
        <x:f>IF($D$4="Ready",ROUND(E17*$D$6/12,2),"n.a.")</x:f>
        <x:v>66.67</x:v>
      </x:c>
      <x:c r="G17" s="4" t="n">
        <x:f>IF($D$4="Ready",IF(C17&gt;$D$7,0,IF(C17=$D$7,E17+F17,MIN($D$11,E17+F17))),"n.a.")</x:f>
        <x:v>313.36</x:v>
      </x:c>
      <x:c r="H17" s="4" t="n">
        <x:f>IF($D$4="Ready",MIN($D$8,MAX(0,E17+F17-G17)),"n.a.")</x:f>
        <x:v>50</x:v>
      </x:c>
      <x:c r="I17" s="4" t="n">
        <x:f>IF($D$4="Ready",ROUND(G17+H17,2),"n.a.")</x:f>
        <x:v>363.36</x:v>
      </x:c>
      <x:c r="J17" s="4" t="n">
        <x:f>IF($D$4="Ready",ROUND(I17-F17,2),"n.a.")</x:f>
        <x:v>296.69</x:v>
      </x:c>
      <x:c r="K17" s="4" t="n">
        <x:f>IF($D$4="Ready",MAX(0,ROUND(E17+F17-I17,2)),"n.a.")</x:f>
        <x:v>9703.31</x:v>
      </x:c>
      <x:c r="L17" s="4"/>
    </x:row>
    <x:row r="18" ht="22" customHeight="1">
      <x:c r="A18" s="2"/>
      <x:c r="B18" s="2"/>
      <x:c r="C18" s="21" t="n">
        <x:f>2</x:f>
        <x:v>2</x:v>
      </x:c>
      <x:c r="D18" s="22" t="n">
        <x:f>IF($D$4="Ready",EDATE($D$9,C18-1),"n.a.")</x:f>
        <x:v>46357</x:v>
      </x:c>
      <x:c r="E18" s="4" t="n">
        <x:f>IF($D$4="Ready",K17,"n.a.")</x:f>
        <x:v>9703.31</x:v>
      </x:c>
      <x:c r="F18" s="4" t="n">
        <x:f>IF($D$4="Ready",ROUND(E18*$D$6/12,2),"n.a.")</x:f>
        <x:v>64.69</x:v>
      </x:c>
      <x:c r="G18" s="4" t="n">
        <x:f>IF($D$4="Ready",IF(C18&gt;$D$7,0,IF(C18=$D$7,E18+F18,MIN($D$11,E18+F18))),"n.a.")</x:f>
        <x:v>313.36</x:v>
      </x:c>
      <x:c r="H18" s="4" t="n">
        <x:f>IF($D$4="Ready",MIN($D$8,MAX(0,E18+F18-G18)),"n.a.")</x:f>
        <x:v>50</x:v>
      </x:c>
      <x:c r="I18" s="4" t="n">
        <x:f>IF($D$4="Ready",ROUND(G18+H18,2),"n.a.")</x:f>
        <x:v>363.36</x:v>
      </x:c>
      <x:c r="J18" s="4" t="n">
        <x:f>IF($D$4="Ready",ROUND(I18-F18,2),"n.a.")</x:f>
        <x:v>298.67</x:v>
      </x:c>
      <x:c r="K18" s="4" t="n">
        <x:f>IF($D$4="Ready",MAX(0,ROUND(E18+F18-I18,2)),"n.a.")</x:f>
        <x:v>9404.64</x:v>
      </x:c>
      <x:c r="L18" s="4"/>
    </x:row>
    <x:row r="19" ht="22" customHeight="1">
      <x:c r="A19" s="2"/>
      <x:c r="B19" s="2"/>
      <x:c r="C19" s="21" t="n">
        <x:f>3</x:f>
        <x:v>3</x:v>
      </x:c>
      <x:c r="D19" s="22" t="n">
        <x:f>IF($D$4="Ready",EDATE($D$9,C19-1),"n.a.")</x:f>
        <x:v>46388</x:v>
      </x:c>
      <x:c r="E19" s="4" t="n">
        <x:f>IF($D$4="Ready",K18,"n.a.")</x:f>
        <x:v>9404.64</x:v>
      </x:c>
      <x:c r="F19" s="4" t="n">
        <x:f>IF($D$4="Ready",ROUND(E19*$D$6/12,2),"n.a.")</x:f>
        <x:v>62.7</x:v>
      </x:c>
      <x:c r="G19" s="4" t="n">
        <x:f>IF($D$4="Ready",IF(C19&gt;$D$7,0,IF(C19=$D$7,E19+F19,MIN($D$11,E19+F19))),"n.a.")</x:f>
        <x:v>313.36</x:v>
      </x:c>
      <x:c r="H19" s="4" t="n">
        <x:f>IF($D$4="Ready",MIN($D$8,MAX(0,E19+F19-G19)),"n.a.")</x:f>
        <x:v>50</x:v>
      </x:c>
      <x:c r="I19" s="4" t="n">
        <x:f>IF($D$4="Ready",ROUND(G19+H19,2),"n.a.")</x:f>
        <x:v>363.36</x:v>
      </x:c>
      <x:c r="J19" s="4" t="n">
        <x:f>IF($D$4="Ready",ROUND(I19-F19,2),"n.a.")</x:f>
        <x:v>300.66</x:v>
      </x:c>
      <x:c r="K19" s="4" t="n">
        <x:f>IF($D$4="Ready",MAX(0,ROUND(E19+F19-I19,2)),"n.a.")</x:f>
        <x:v>9103.98</x:v>
      </x:c>
      <x:c r="L19" s="4"/>
    </x:row>
    <x:row r="20" ht="22" customHeight="1">
      <x:c r="A20" s="2"/>
      <x:c r="B20" s="2"/>
      <x:c r="C20" s="21" t="n">
        <x:f>4</x:f>
        <x:v>4</x:v>
      </x:c>
      <x:c r="D20" s="22" t="n">
        <x:f>IF($D$4="Ready",EDATE($D$9,C20-1),"n.a.")</x:f>
        <x:v>46419</x:v>
      </x:c>
      <x:c r="E20" s="4" t="n">
        <x:f>IF($D$4="Ready",K19,"n.a.")</x:f>
        <x:v>9103.98</x:v>
      </x:c>
      <x:c r="F20" s="4" t="n">
        <x:f>IF($D$4="Ready",ROUND(E20*$D$6/12,2),"n.a.")</x:f>
        <x:v>60.69</x:v>
      </x:c>
      <x:c r="G20" s="4" t="n">
        <x:f>IF($D$4="Ready",IF(C20&gt;$D$7,0,IF(C20=$D$7,E20+F20,MIN($D$11,E20+F20))),"n.a.")</x:f>
        <x:v>313.36</x:v>
      </x:c>
      <x:c r="H20" s="4" t="n">
        <x:f>IF($D$4="Ready",MIN($D$8,MAX(0,E20+F20-G20)),"n.a.")</x:f>
        <x:v>50</x:v>
      </x:c>
      <x:c r="I20" s="4" t="n">
        <x:f>IF($D$4="Ready",ROUND(G20+H20,2),"n.a.")</x:f>
        <x:v>363.36</x:v>
      </x:c>
      <x:c r="J20" s="4" t="n">
        <x:f>IF($D$4="Ready",ROUND(I20-F20,2),"n.a.")</x:f>
        <x:v>302.67</x:v>
      </x:c>
      <x:c r="K20" s="4" t="n">
        <x:f>IF($D$4="Ready",MAX(0,ROUND(E20+F20-I20,2)),"n.a.")</x:f>
        <x:v>8801.31</x:v>
      </x:c>
      <x:c r="L20" s="4"/>
    </x:row>
    <x:row r="21" ht="22" customHeight="1">
      <x:c r="A21" s="2"/>
      <x:c r="B21" s="2"/>
      <x:c r="C21" s="21" t="n">
        <x:f>5</x:f>
        <x:v>5</x:v>
      </x:c>
      <x:c r="D21" s="22" t="n">
        <x:f>IF($D$4="Ready",EDATE($D$9,C21-1),"n.a.")</x:f>
        <x:v>46447</x:v>
      </x:c>
      <x:c r="E21" s="4" t="n">
        <x:f>IF($D$4="Ready",K20,"n.a.")</x:f>
        <x:v>8801.31</x:v>
      </x:c>
      <x:c r="F21" s="4" t="n">
        <x:f>IF($D$4="Ready",ROUND(E21*$D$6/12,2),"n.a.")</x:f>
        <x:v>58.68</x:v>
      </x:c>
      <x:c r="G21" s="4" t="n">
        <x:f>IF($D$4="Ready",IF(C21&gt;$D$7,0,IF(C21=$D$7,E21+F21,MIN($D$11,E21+F21))),"n.a.")</x:f>
        <x:v>313.36</x:v>
      </x:c>
      <x:c r="H21" s="4" t="n">
        <x:f>IF($D$4="Ready",MIN($D$8,MAX(0,E21+F21-G21)),"n.a.")</x:f>
        <x:v>50</x:v>
      </x:c>
      <x:c r="I21" s="4" t="n">
        <x:f>IF($D$4="Ready",ROUND(G21+H21,2),"n.a.")</x:f>
        <x:v>363.36</x:v>
      </x:c>
      <x:c r="J21" s="4" t="n">
        <x:f>IF($D$4="Ready",ROUND(I21-F21,2),"n.a.")</x:f>
        <x:v>304.68</x:v>
      </x:c>
      <x:c r="K21" s="4" t="n">
        <x:f>IF($D$4="Ready",MAX(0,ROUND(E21+F21-I21,2)),"n.a.")</x:f>
        <x:v>8496.63</x:v>
      </x:c>
      <x:c r="L21" s="4"/>
    </x:row>
    <x:row r="22" ht="22" customHeight="1">
      <x:c r="A22" s="2"/>
      <x:c r="B22" s="2"/>
      <x:c r="C22" s="21" t="n">
        <x:f>6</x:f>
        <x:v>6</x:v>
      </x:c>
      <x:c r="D22" s="22" t="n">
        <x:f>IF($D$4="Ready",EDATE($D$9,C22-1),"n.a.")</x:f>
        <x:v>46478</x:v>
      </x:c>
      <x:c r="E22" s="4" t="n">
        <x:f>IF($D$4="Ready",K21,"n.a.")</x:f>
        <x:v>8496.63</x:v>
      </x:c>
      <x:c r="F22" s="4" t="n">
        <x:f>IF($D$4="Ready",ROUND(E22*$D$6/12,2),"n.a.")</x:f>
        <x:v>56.64</x:v>
      </x:c>
      <x:c r="G22" s="4" t="n">
        <x:f>IF($D$4="Ready",IF(C22&gt;$D$7,0,IF(C22=$D$7,E22+F22,MIN($D$11,E22+F22))),"n.a.")</x:f>
        <x:v>313.36</x:v>
      </x:c>
      <x:c r="H22" s="4" t="n">
        <x:f>IF($D$4="Ready",MIN($D$8,MAX(0,E22+F22-G22)),"n.a.")</x:f>
        <x:v>50</x:v>
      </x:c>
      <x:c r="I22" s="4" t="n">
        <x:f>IF($D$4="Ready",ROUND(G22+H22,2),"n.a.")</x:f>
        <x:v>363.36</x:v>
      </x:c>
      <x:c r="J22" s="4" t="n">
        <x:f>IF($D$4="Ready",ROUND(I22-F22,2),"n.a.")</x:f>
        <x:v>306.72</x:v>
      </x:c>
      <x:c r="K22" s="4" t="n">
        <x:f>IF($D$4="Ready",MAX(0,ROUND(E22+F22-I22,2)),"n.a.")</x:f>
        <x:v>8189.91</x:v>
      </x:c>
      <x:c r="L22" s="4"/>
    </x:row>
    <x:row r="23" ht="22" customHeight="1">
      <x:c r="A23" s="2"/>
      <x:c r="B23" s="2"/>
      <x:c r="C23" s="21" t="n">
        <x:f>7</x:f>
        <x:v>7</x:v>
      </x:c>
      <x:c r="D23" s="22" t="n">
        <x:f>IF($D$4="Ready",EDATE($D$9,C23-1),"n.a.")</x:f>
        <x:v>46508</x:v>
      </x:c>
      <x:c r="E23" s="4" t="n">
        <x:f>IF($D$4="Ready",K22,"n.a.")</x:f>
        <x:v>8189.91</x:v>
      </x:c>
      <x:c r="F23" s="4" t="n">
        <x:f>IF($D$4="Ready",ROUND(E23*$D$6/12,2),"n.a.")</x:f>
        <x:v>54.6</x:v>
      </x:c>
      <x:c r="G23" s="4" t="n">
        <x:f>IF($D$4="Ready",IF(C23&gt;$D$7,0,IF(C23=$D$7,E23+F23,MIN($D$11,E23+F23))),"n.a.")</x:f>
        <x:v>313.36</x:v>
      </x:c>
      <x:c r="H23" s="4" t="n">
        <x:f>IF($D$4="Ready",MIN($D$8,MAX(0,E23+F23-G23)),"n.a.")</x:f>
        <x:v>50</x:v>
      </x:c>
      <x:c r="I23" s="4" t="n">
        <x:f>IF($D$4="Ready",ROUND(G23+H23,2),"n.a.")</x:f>
        <x:v>363.36</x:v>
      </x:c>
      <x:c r="J23" s="4" t="n">
        <x:f>IF($D$4="Ready",ROUND(I23-F23,2),"n.a.")</x:f>
        <x:v>308.76</x:v>
      </x:c>
      <x:c r="K23" s="4" t="n">
        <x:f>IF($D$4="Ready",MAX(0,ROUND(E23+F23-I23,2)),"n.a.")</x:f>
        <x:v>7881.15</x:v>
      </x:c>
      <x:c r="L23" s="4"/>
    </x:row>
    <x:row r="24" ht="22" customHeight="1">
      <x:c r="A24" s="2"/>
      <x:c r="B24" s="2"/>
      <x:c r="C24" s="21" t="n">
        <x:f>8</x:f>
        <x:v>8</x:v>
      </x:c>
      <x:c r="D24" s="22" t="n">
        <x:f>IF($D$4="Ready",EDATE($D$9,C24-1),"n.a.")</x:f>
        <x:v>46539</x:v>
      </x:c>
      <x:c r="E24" s="4" t="n">
        <x:f>IF($D$4="Ready",K23,"n.a.")</x:f>
        <x:v>7881.15</x:v>
      </x:c>
      <x:c r="F24" s="4" t="n">
        <x:f>IF($D$4="Ready",ROUND(E24*$D$6/12,2),"n.a.")</x:f>
        <x:v>52.54</x:v>
      </x:c>
      <x:c r="G24" s="4" t="n">
        <x:f>IF($D$4="Ready",IF(C24&gt;$D$7,0,IF(C24=$D$7,E24+F24,MIN($D$11,E24+F24))),"n.a.")</x:f>
        <x:v>313.36</x:v>
      </x:c>
      <x:c r="H24" s="4" t="n">
        <x:f>IF($D$4="Ready",MIN($D$8,MAX(0,E24+F24-G24)),"n.a.")</x:f>
        <x:v>50</x:v>
      </x:c>
      <x:c r="I24" s="4" t="n">
        <x:f>IF($D$4="Ready",ROUND(G24+H24,2),"n.a.")</x:f>
        <x:v>363.36</x:v>
      </x:c>
      <x:c r="J24" s="4" t="n">
        <x:f>IF($D$4="Ready",ROUND(I24-F24,2),"n.a.")</x:f>
        <x:v>310.82</x:v>
      </x:c>
      <x:c r="K24" s="4" t="n">
        <x:f>IF($D$4="Ready",MAX(0,ROUND(E24+F24-I24,2)),"n.a.")</x:f>
        <x:v>7570.33</x:v>
      </x:c>
      <x:c r="L24" s="4"/>
    </x:row>
    <x:row r="25" ht="22" customHeight="1">
      <x:c r="A25" s="2"/>
      <x:c r="B25" s="2"/>
      <x:c r="C25" s="21" t="n">
        <x:f>9</x:f>
        <x:v>9</x:v>
      </x:c>
      <x:c r="D25" s="22" t="n">
        <x:f>IF($D$4="Ready",EDATE($D$9,C25-1),"n.a.")</x:f>
        <x:v>46569</x:v>
      </x:c>
      <x:c r="E25" s="4" t="n">
        <x:f>IF($D$4="Ready",K24,"n.a.")</x:f>
        <x:v>7570.33</x:v>
      </x:c>
      <x:c r="F25" s="4" t="n">
        <x:f>IF($D$4="Ready",ROUND(E25*$D$6/12,2),"n.a.")</x:f>
        <x:v>50.47</x:v>
      </x:c>
      <x:c r="G25" s="4" t="n">
        <x:f>IF($D$4="Ready",IF(C25&gt;$D$7,0,IF(C25=$D$7,E25+F25,MIN($D$11,E25+F25))),"n.a.")</x:f>
        <x:v>313.36</x:v>
      </x:c>
      <x:c r="H25" s="4" t="n">
        <x:f>IF($D$4="Ready",MIN($D$8,MAX(0,E25+F25-G25)),"n.a.")</x:f>
        <x:v>50</x:v>
      </x:c>
      <x:c r="I25" s="4" t="n">
        <x:f>IF($D$4="Ready",ROUND(G25+H25,2),"n.a.")</x:f>
        <x:v>363.36</x:v>
      </x:c>
      <x:c r="J25" s="4" t="n">
        <x:f>IF($D$4="Ready",ROUND(I25-F25,2),"n.a.")</x:f>
        <x:v>312.89</x:v>
      </x:c>
      <x:c r="K25" s="4" t="n">
        <x:f>IF($D$4="Ready",MAX(0,ROUND(E25+F25-I25,2)),"n.a.")</x:f>
        <x:v>7257.44</x:v>
      </x:c>
      <x:c r="L25" s="4"/>
    </x:row>
    <x:row r="26" ht="22" customHeight="1">
      <x:c r="A26" s="2"/>
      <x:c r="B26" s="2"/>
      <x:c r="C26" s="21" t="n">
        <x:f>10</x:f>
        <x:v>10</x:v>
      </x:c>
      <x:c r="D26" s="22" t="n">
        <x:f>IF($D$4="Ready",EDATE($D$9,C26-1),"n.a.")</x:f>
        <x:v>46600</x:v>
      </x:c>
      <x:c r="E26" s="4" t="n">
        <x:f>IF($D$4="Ready",K25,"n.a.")</x:f>
        <x:v>7257.44</x:v>
      </x:c>
      <x:c r="F26" s="4" t="n">
        <x:f>IF($D$4="Ready",ROUND(E26*$D$6/12,2),"n.a.")</x:f>
        <x:v>48.38</x:v>
      </x:c>
      <x:c r="G26" s="4" t="n">
        <x:f>IF($D$4="Ready",IF(C26&gt;$D$7,0,IF(C26=$D$7,E26+F26,MIN($D$11,E26+F26))),"n.a.")</x:f>
        <x:v>313.36</x:v>
      </x:c>
      <x:c r="H26" s="4" t="n">
        <x:f>IF($D$4="Ready",MIN($D$8,MAX(0,E26+F26-G26)),"n.a.")</x:f>
        <x:v>50</x:v>
      </x:c>
      <x:c r="I26" s="4" t="n">
        <x:f>IF($D$4="Ready",ROUND(G26+H26,2),"n.a.")</x:f>
        <x:v>363.36</x:v>
      </x:c>
      <x:c r="J26" s="4" t="n">
        <x:f>IF($D$4="Ready",ROUND(I26-F26,2),"n.a.")</x:f>
        <x:v>314.98</x:v>
      </x:c>
      <x:c r="K26" s="4" t="n">
        <x:f>IF($D$4="Ready",MAX(0,ROUND(E26+F26-I26,2)),"n.a.")</x:f>
        <x:v>6942.46</x:v>
      </x:c>
      <x:c r="L26" s="4"/>
    </x:row>
    <x:row r="27" ht="22" customHeight="1">
      <x:c r="A27" s="2"/>
      <x:c r="B27" s="2"/>
      <x:c r="C27" s="21" t="n">
        <x:f>11</x:f>
        <x:v>11</x:v>
      </x:c>
      <x:c r="D27" s="22" t="n">
        <x:f>IF($D$4="Ready",EDATE($D$9,C27-1),"n.a.")</x:f>
        <x:v>46631</x:v>
      </x:c>
      <x:c r="E27" s="4" t="n">
        <x:f>IF($D$4="Ready",K26,"n.a.")</x:f>
        <x:v>6942.46</x:v>
      </x:c>
      <x:c r="F27" s="4" t="n">
        <x:f>IF($D$4="Ready",ROUND(E27*$D$6/12,2),"n.a.")</x:f>
        <x:v>46.28</x:v>
      </x:c>
      <x:c r="G27" s="4" t="n">
        <x:f>IF($D$4="Ready",IF(C27&gt;$D$7,0,IF(C27=$D$7,E27+F27,MIN($D$11,E27+F27))),"n.a.")</x:f>
        <x:v>313.36</x:v>
      </x:c>
      <x:c r="H27" s="4" t="n">
        <x:f>IF($D$4="Ready",MIN($D$8,MAX(0,E27+F27-G27)),"n.a.")</x:f>
        <x:v>50</x:v>
      </x:c>
      <x:c r="I27" s="4" t="n">
        <x:f>IF($D$4="Ready",ROUND(G27+H27,2),"n.a.")</x:f>
        <x:v>363.36</x:v>
      </x:c>
      <x:c r="J27" s="4" t="n">
        <x:f>IF($D$4="Ready",ROUND(I27-F27,2),"n.a.")</x:f>
        <x:v>317.08</x:v>
      </x:c>
      <x:c r="K27" s="4" t="n">
        <x:f>IF($D$4="Ready",MAX(0,ROUND(E27+F27-I27,2)),"n.a.")</x:f>
        <x:v>6625.38</x:v>
      </x:c>
      <x:c r="L27" s="4"/>
    </x:row>
    <x:row r="28" ht="22" customHeight="1">
      <x:c r="A28" s="2"/>
      <x:c r="B28" s="2"/>
      <x:c r="C28" s="21" t="n">
        <x:f>12</x:f>
        <x:v>12</x:v>
      </x:c>
      <x:c r="D28" s="22" t="n">
        <x:f>IF($D$4="Ready",EDATE($D$9,C28-1),"n.a.")</x:f>
        <x:v>46661</x:v>
      </x:c>
      <x:c r="E28" s="4" t="n">
        <x:f>IF($D$4="Ready",K27,"n.a.")</x:f>
        <x:v>6625.38</x:v>
      </x:c>
      <x:c r="F28" s="4" t="n">
        <x:f>IF($D$4="Ready",ROUND(E28*$D$6/12,2),"n.a.")</x:f>
        <x:v>44.17</x:v>
      </x:c>
      <x:c r="G28" s="4" t="n">
        <x:f>IF($D$4="Ready",IF(C28&gt;$D$7,0,IF(C28=$D$7,E28+F28,MIN($D$11,E28+F28))),"n.a.")</x:f>
        <x:v>313.36</x:v>
      </x:c>
      <x:c r="H28" s="4" t="n">
        <x:f>IF($D$4="Ready",MIN($D$8,MAX(0,E28+F28-G28)),"n.a.")</x:f>
        <x:v>50</x:v>
      </x:c>
      <x:c r="I28" s="4" t="n">
        <x:f>IF($D$4="Ready",ROUND(G28+H28,2),"n.a.")</x:f>
        <x:v>363.36</x:v>
      </x:c>
      <x:c r="J28" s="4" t="n">
        <x:f>IF($D$4="Ready",ROUND(I28-F28,2),"n.a.")</x:f>
        <x:v>319.19</x:v>
      </x:c>
      <x:c r="K28" s="4" t="n">
        <x:f>IF($D$4="Ready",MAX(0,ROUND(E28+F28-I28,2)),"n.a.")</x:f>
        <x:v>6306.19</x:v>
      </x:c>
      <x:c r="L28" s="4"/>
    </x:row>
    <x:row r="29" ht="22" customHeight="1">
      <x:c r="A29" s="2"/>
      <x:c r="B29" s="2"/>
      <x:c r="C29" s="21" t="n">
        <x:f>13</x:f>
        <x:v>13</x:v>
      </x:c>
      <x:c r="D29" s="22" t="n">
        <x:f>IF($D$4="Ready",EDATE($D$9,C29-1),"n.a.")</x:f>
        <x:v>46692</x:v>
      </x:c>
      <x:c r="E29" s="4" t="n">
        <x:f>IF($D$4="Ready",K28,"n.a.")</x:f>
        <x:v>6306.19</x:v>
      </x:c>
      <x:c r="F29" s="4" t="n">
        <x:f>IF($D$4="Ready",ROUND(E29*$D$6/12,2),"n.a.")</x:f>
        <x:v>42.04</x:v>
      </x:c>
      <x:c r="G29" s="4" t="n">
        <x:f>IF($D$4="Ready",IF(C29&gt;$D$7,0,IF(C29=$D$7,E29+F29,MIN($D$11,E29+F29))),"n.a.")</x:f>
        <x:v>313.36</x:v>
      </x:c>
      <x:c r="H29" s="4" t="n">
        <x:f>IF($D$4="Ready",MIN($D$8,MAX(0,E29+F29-G29)),"n.a.")</x:f>
        <x:v>50</x:v>
      </x:c>
      <x:c r="I29" s="4" t="n">
        <x:f>IF($D$4="Ready",ROUND(G29+H29,2),"n.a.")</x:f>
        <x:v>363.36</x:v>
      </x:c>
      <x:c r="J29" s="4" t="n">
        <x:f>IF($D$4="Ready",ROUND(I29-F29,2),"n.a.")</x:f>
        <x:v>321.32</x:v>
      </x:c>
      <x:c r="K29" s="4" t="n">
        <x:f>IF($D$4="Ready",MAX(0,ROUND(E29+F29-I29,2)),"n.a.")</x:f>
        <x:v>5984.87</x:v>
      </x:c>
      <x:c r="L29" s="4"/>
    </x:row>
    <x:row r="30" ht="22" customHeight="1">
      <x:c r="A30" s="2"/>
      <x:c r="B30" s="2"/>
      <x:c r="C30" s="21" t="n">
        <x:f>14</x:f>
        <x:v>14</x:v>
      </x:c>
      <x:c r="D30" s="22" t="n">
        <x:f>IF($D$4="Ready",EDATE($D$9,C30-1),"n.a.")</x:f>
        <x:v>46722</x:v>
      </x:c>
      <x:c r="E30" s="4" t="n">
        <x:f>IF($D$4="Ready",K29,"n.a.")</x:f>
        <x:v>5984.87</x:v>
      </x:c>
      <x:c r="F30" s="4" t="n">
        <x:f>IF($D$4="Ready",ROUND(E30*$D$6/12,2),"n.a.")</x:f>
        <x:v>39.9</x:v>
      </x:c>
      <x:c r="G30" s="4" t="n">
        <x:f>IF($D$4="Ready",IF(C30&gt;$D$7,0,IF(C30=$D$7,E30+F30,MIN($D$11,E30+F30))),"n.a.")</x:f>
        <x:v>313.36</x:v>
      </x:c>
      <x:c r="H30" s="4" t="n">
        <x:f>IF($D$4="Ready",MIN($D$8,MAX(0,E30+F30-G30)),"n.a.")</x:f>
        <x:v>50</x:v>
      </x:c>
      <x:c r="I30" s="4" t="n">
        <x:f>IF($D$4="Ready",ROUND(G30+H30,2),"n.a.")</x:f>
        <x:v>363.36</x:v>
      </x:c>
      <x:c r="J30" s="4" t="n">
        <x:f>IF($D$4="Ready",ROUND(I30-F30,2),"n.a.")</x:f>
        <x:v>323.46</x:v>
      </x:c>
      <x:c r="K30" s="4" t="n">
        <x:f>IF($D$4="Ready",MAX(0,ROUND(E30+F30-I30,2)),"n.a.")</x:f>
        <x:v>5661.41</x:v>
      </x:c>
      <x:c r="L30" s="4"/>
    </x:row>
    <x:row r="31" ht="22" customHeight="1">
      <x:c r="A31" s="2"/>
      <x:c r="B31" s="2"/>
      <x:c r="C31" s="21" t="n">
        <x:f>15</x:f>
        <x:v>15</x:v>
      </x:c>
      <x:c r="D31" s="22" t="n">
        <x:f>IF($D$4="Ready",EDATE($D$9,C31-1),"n.a.")</x:f>
        <x:v>46753</x:v>
      </x:c>
      <x:c r="E31" s="4" t="n">
        <x:f>IF($D$4="Ready",K30,"n.a.")</x:f>
        <x:v>5661.41</x:v>
      </x:c>
      <x:c r="F31" s="4" t="n">
        <x:f>IF($D$4="Ready",ROUND(E31*$D$6/12,2),"n.a.")</x:f>
        <x:v>37.74</x:v>
      </x:c>
      <x:c r="G31" s="4" t="n">
        <x:f>IF($D$4="Ready",IF(C31&gt;$D$7,0,IF(C31=$D$7,E31+F31,MIN($D$11,E31+F31))),"n.a.")</x:f>
        <x:v>313.36</x:v>
      </x:c>
      <x:c r="H31" s="4" t="n">
        <x:f>IF($D$4="Ready",MIN($D$8,MAX(0,E31+F31-G31)),"n.a.")</x:f>
        <x:v>50</x:v>
      </x:c>
      <x:c r="I31" s="4" t="n">
        <x:f>IF($D$4="Ready",ROUND(G31+H31,2),"n.a.")</x:f>
        <x:v>363.36</x:v>
      </x:c>
      <x:c r="J31" s="4" t="n">
        <x:f>IF($D$4="Ready",ROUND(I31-F31,2),"n.a.")</x:f>
        <x:v>325.62</x:v>
      </x:c>
      <x:c r="K31" s="4" t="n">
        <x:f>IF($D$4="Ready",MAX(0,ROUND(E31+F31-I31,2)),"n.a.")</x:f>
        <x:v>5335.79</x:v>
      </x:c>
      <x:c r="L31" s="4"/>
    </x:row>
    <x:row r="32" ht="22" customHeight="1">
      <x:c r="A32" s="2"/>
      <x:c r="B32" s="2"/>
      <x:c r="C32" s="21" t="n">
        <x:f>16</x:f>
        <x:v>16</x:v>
      </x:c>
      <x:c r="D32" s="22" t="n">
        <x:f>IF($D$4="Ready",EDATE($D$9,C32-1),"n.a.")</x:f>
        <x:v>46784</x:v>
      </x:c>
      <x:c r="E32" s="4" t="n">
        <x:f>IF($D$4="Ready",K31,"n.a.")</x:f>
        <x:v>5335.79</x:v>
      </x:c>
      <x:c r="F32" s="4" t="n">
        <x:f>IF($D$4="Ready",ROUND(E32*$D$6/12,2),"n.a.")</x:f>
        <x:v>35.57</x:v>
      </x:c>
      <x:c r="G32" s="4" t="n">
        <x:f>IF($D$4="Ready",IF(C32&gt;$D$7,0,IF(C32=$D$7,E32+F32,MIN($D$11,E32+F32))),"n.a.")</x:f>
        <x:v>313.36</x:v>
      </x:c>
      <x:c r="H32" s="4" t="n">
        <x:f>IF($D$4="Ready",MIN($D$8,MAX(0,E32+F32-G32)),"n.a.")</x:f>
        <x:v>50</x:v>
      </x:c>
      <x:c r="I32" s="4" t="n">
        <x:f>IF($D$4="Ready",ROUND(G32+H32,2),"n.a.")</x:f>
        <x:v>363.36</x:v>
      </x:c>
      <x:c r="J32" s="4" t="n">
        <x:f>IF($D$4="Ready",ROUND(I32-F32,2),"n.a.")</x:f>
        <x:v>327.79</x:v>
      </x:c>
      <x:c r="K32" s="4" t="n">
        <x:f>IF($D$4="Ready",MAX(0,ROUND(E32+F32-I32,2)),"n.a.")</x:f>
        <x:v>5008</x:v>
      </x:c>
      <x:c r="L32" s="4"/>
    </x:row>
    <x:row r="33" ht="22" customHeight="1">
      <x:c r="A33" s="2"/>
      <x:c r="B33" s="2"/>
      <x:c r="C33" s="21" t="n">
        <x:f>17</x:f>
        <x:v>17</x:v>
      </x:c>
      <x:c r="D33" s="22" t="n">
        <x:f>IF($D$4="Ready",EDATE($D$9,C33-1),"n.a.")</x:f>
        <x:v>46813</x:v>
      </x:c>
      <x:c r="E33" s="4" t="n">
        <x:f>IF($D$4="Ready",K32,"n.a.")</x:f>
        <x:v>5008</x:v>
      </x:c>
      <x:c r="F33" s="4" t="n">
        <x:f>IF($D$4="Ready",ROUND(E33*$D$6/12,2),"n.a.")</x:f>
        <x:v>33.39</x:v>
      </x:c>
      <x:c r="G33" s="4" t="n">
        <x:f>IF($D$4="Ready",IF(C33&gt;$D$7,0,IF(C33=$D$7,E33+F33,MIN($D$11,E33+F33))),"n.a.")</x:f>
        <x:v>313.36</x:v>
      </x:c>
      <x:c r="H33" s="4" t="n">
        <x:f>IF($D$4="Ready",MIN($D$8,MAX(0,E33+F33-G33)),"n.a.")</x:f>
        <x:v>50</x:v>
      </x:c>
      <x:c r="I33" s="4" t="n">
        <x:f>IF($D$4="Ready",ROUND(G33+H33,2),"n.a.")</x:f>
        <x:v>363.36</x:v>
      </x:c>
      <x:c r="J33" s="4" t="n">
        <x:f>IF($D$4="Ready",ROUND(I33-F33,2),"n.a.")</x:f>
        <x:v>329.97</x:v>
      </x:c>
      <x:c r="K33" s="4" t="n">
        <x:f>IF($D$4="Ready",MAX(0,ROUND(E33+F33-I33,2)),"n.a.")</x:f>
        <x:v>4678.03</x:v>
      </x:c>
      <x:c r="L33" s="4"/>
    </x:row>
    <x:row r="34" ht="22" customHeight="1">
      <x:c r="A34" s="2"/>
      <x:c r="B34" s="2"/>
      <x:c r="C34" s="21" t="n">
        <x:f>18</x:f>
        <x:v>18</x:v>
      </x:c>
      <x:c r="D34" s="22" t="n">
        <x:f>IF($D$4="Ready",EDATE($D$9,C34-1),"n.a.")</x:f>
        <x:v>46844</x:v>
      </x:c>
      <x:c r="E34" s="4" t="n">
        <x:f>IF($D$4="Ready",K33,"n.a.")</x:f>
        <x:v>4678.03</x:v>
      </x:c>
      <x:c r="F34" s="4" t="n">
        <x:f>IF($D$4="Ready",ROUND(E34*$D$6/12,2),"n.a.")</x:f>
        <x:v>31.19</x:v>
      </x:c>
      <x:c r="G34" s="4" t="n">
        <x:f>IF($D$4="Ready",IF(C34&gt;$D$7,0,IF(C34=$D$7,E34+F34,MIN($D$11,E34+F34))),"n.a.")</x:f>
        <x:v>313.36</x:v>
      </x:c>
      <x:c r="H34" s="4" t="n">
        <x:f>IF($D$4="Ready",MIN($D$8,MAX(0,E34+F34-G34)),"n.a.")</x:f>
        <x:v>50</x:v>
      </x:c>
      <x:c r="I34" s="4" t="n">
        <x:f>IF($D$4="Ready",ROUND(G34+H34,2),"n.a.")</x:f>
        <x:v>363.36</x:v>
      </x:c>
      <x:c r="J34" s="4" t="n">
        <x:f>IF($D$4="Ready",ROUND(I34-F34,2),"n.a.")</x:f>
        <x:v>332.17</x:v>
      </x:c>
      <x:c r="K34" s="4" t="n">
        <x:f>IF($D$4="Ready",MAX(0,ROUND(E34+F34-I34,2)),"n.a.")</x:f>
        <x:v>4345.86</x:v>
      </x:c>
      <x:c r="L34" s="4"/>
    </x:row>
    <x:row r="35" ht="22" customHeight="1">
      <x:c r="A35" s="2"/>
      <x:c r="B35" s="2"/>
      <x:c r="C35" s="21" t="n">
        <x:f>19</x:f>
        <x:v>19</x:v>
      </x:c>
      <x:c r="D35" s="22" t="n">
        <x:f>IF($D$4="Ready",EDATE($D$9,C35-1),"n.a.")</x:f>
        <x:v>46874</x:v>
      </x:c>
      <x:c r="E35" s="4" t="n">
        <x:f>IF($D$4="Ready",K34,"n.a.")</x:f>
        <x:v>4345.86</x:v>
      </x:c>
      <x:c r="F35" s="4" t="n">
        <x:f>IF($D$4="Ready",ROUND(E35*$D$6/12,2),"n.a.")</x:f>
        <x:v>28.97</x:v>
      </x:c>
      <x:c r="G35" s="4" t="n">
        <x:f>IF($D$4="Ready",IF(C35&gt;$D$7,0,IF(C35=$D$7,E35+F35,MIN($D$11,E35+F35))),"n.a.")</x:f>
        <x:v>313.36</x:v>
      </x:c>
      <x:c r="H35" s="4" t="n">
        <x:f>IF($D$4="Ready",MIN($D$8,MAX(0,E35+F35-G35)),"n.a.")</x:f>
        <x:v>50</x:v>
      </x:c>
      <x:c r="I35" s="4" t="n">
        <x:f>IF($D$4="Ready",ROUND(G35+H35,2),"n.a.")</x:f>
        <x:v>363.36</x:v>
      </x:c>
      <x:c r="J35" s="4" t="n">
        <x:f>IF($D$4="Ready",ROUND(I35-F35,2),"n.a.")</x:f>
        <x:v>334.39</x:v>
      </x:c>
      <x:c r="K35" s="4" t="n">
        <x:f>IF($D$4="Ready",MAX(0,ROUND(E35+F35-I35,2)),"n.a.")</x:f>
        <x:v>4011.47</x:v>
      </x:c>
      <x:c r="L35" s="4"/>
    </x:row>
    <x:row r="36" ht="22" customHeight="1">
      <x:c r="A36" s="2"/>
      <x:c r="B36" s="2"/>
      <x:c r="C36" s="21" t="n">
        <x:f>20</x:f>
        <x:v>20</x:v>
      </x:c>
      <x:c r="D36" s="22" t="n">
        <x:f>IF($D$4="Ready",EDATE($D$9,C36-1),"n.a.")</x:f>
        <x:v>46905</x:v>
      </x:c>
      <x:c r="E36" s="4" t="n">
        <x:f>IF($D$4="Ready",K35,"n.a.")</x:f>
        <x:v>4011.47</x:v>
      </x:c>
      <x:c r="F36" s="4" t="n">
        <x:f>IF($D$4="Ready",ROUND(E36*$D$6/12,2),"n.a.")</x:f>
        <x:v>26.74</x:v>
      </x:c>
      <x:c r="G36" s="4" t="n">
        <x:f>IF($D$4="Ready",IF(C36&gt;$D$7,0,IF(C36=$D$7,E36+F36,MIN($D$11,E36+F36))),"n.a.")</x:f>
        <x:v>313.36</x:v>
      </x:c>
      <x:c r="H36" s="4" t="n">
        <x:f>IF($D$4="Ready",MIN($D$8,MAX(0,E36+F36-G36)),"n.a.")</x:f>
        <x:v>50</x:v>
      </x:c>
      <x:c r="I36" s="4" t="n">
        <x:f>IF($D$4="Ready",ROUND(G36+H36,2),"n.a.")</x:f>
        <x:v>363.36</x:v>
      </x:c>
      <x:c r="J36" s="4" t="n">
        <x:f>IF($D$4="Ready",ROUND(I36-F36,2),"n.a.")</x:f>
        <x:v>336.62</x:v>
      </x:c>
      <x:c r="K36" s="4" t="n">
        <x:f>IF($D$4="Ready",MAX(0,ROUND(E36+F36-I36,2)),"n.a.")</x:f>
        <x:v>3674.85</x:v>
      </x:c>
      <x:c r="L36" s="4"/>
    </x:row>
    <x:row r="37" ht="22" customHeight="1">
      <x:c r="A37" s="2"/>
      <x:c r="B37" s="2"/>
      <x:c r="C37" s="21" t="n">
        <x:f>21</x:f>
        <x:v>21</x:v>
      </x:c>
      <x:c r="D37" s="22" t="n">
        <x:f>IF($D$4="Ready",EDATE($D$9,C37-1),"n.a.")</x:f>
        <x:v>46935</x:v>
      </x:c>
      <x:c r="E37" s="4" t="n">
        <x:f>IF($D$4="Ready",K36,"n.a.")</x:f>
        <x:v>3674.85</x:v>
      </x:c>
      <x:c r="F37" s="4" t="n">
        <x:f>IF($D$4="Ready",ROUND(E37*$D$6/12,2),"n.a.")</x:f>
        <x:v>24.5</x:v>
      </x:c>
      <x:c r="G37" s="4" t="n">
        <x:f>IF($D$4="Ready",IF(C37&gt;$D$7,0,IF(C37=$D$7,E37+F37,MIN($D$11,E37+F37))),"n.a.")</x:f>
        <x:v>313.36</x:v>
      </x:c>
      <x:c r="H37" s="4" t="n">
        <x:f>IF($D$4="Ready",MIN($D$8,MAX(0,E37+F37-G37)),"n.a.")</x:f>
        <x:v>50</x:v>
      </x:c>
      <x:c r="I37" s="4" t="n">
        <x:f>IF($D$4="Ready",ROUND(G37+H37,2),"n.a.")</x:f>
        <x:v>363.36</x:v>
      </x:c>
      <x:c r="J37" s="4" t="n">
        <x:f>IF($D$4="Ready",ROUND(I37-F37,2),"n.a.")</x:f>
        <x:v>338.86</x:v>
      </x:c>
      <x:c r="K37" s="4" t="n">
        <x:f>IF($D$4="Ready",MAX(0,ROUND(E37+F37-I37,2)),"n.a.")</x:f>
        <x:v>3335.99</x:v>
      </x:c>
      <x:c r="L37" s="4"/>
    </x:row>
    <x:row r="38" ht="22" customHeight="1">
      <x:c r="A38" s="2"/>
      <x:c r="B38" s="2"/>
      <x:c r="C38" s="21" t="n">
        <x:f>22</x:f>
        <x:v>22</x:v>
      </x:c>
      <x:c r="D38" s="22" t="n">
        <x:f>IF($D$4="Ready",EDATE($D$9,C38-1),"n.a.")</x:f>
        <x:v>46966</x:v>
      </x:c>
      <x:c r="E38" s="4" t="n">
        <x:f>IF($D$4="Ready",K37,"n.a.")</x:f>
        <x:v>3335.99</x:v>
      </x:c>
      <x:c r="F38" s="4" t="n">
        <x:f>IF($D$4="Ready",ROUND(E38*$D$6/12,2),"n.a.")</x:f>
        <x:v>22.24</x:v>
      </x:c>
      <x:c r="G38" s="4" t="n">
        <x:f>IF($D$4="Ready",IF(C38&gt;$D$7,0,IF(C38=$D$7,E38+F38,MIN($D$11,E38+F38))),"n.a.")</x:f>
        <x:v>313.36</x:v>
      </x:c>
      <x:c r="H38" s="4" t="n">
        <x:f>IF($D$4="Ready",MIN($D$8,MAX(0,E38+F38-G38)),"n.a.")</x:f>
        <x:v>50</x:v>
      </x:c>
      <x:c r="I38" s="4" t="n">
        <x:f>IF($D$4="Ready",ROUND(G38+H38,2),"n.a.")</x:f>
        <x:v>363.36</x:v>
      </x:c>
      <x:c r="J38" s="4" t="n">
        <x:f>IF($D$4="Ready",ROUND(I38-F38,2),"n.a.")</x:f>
        <x:v>341.12</x:v>
      </x:c>
      <x:c r="K38" s="4" t="n">
        <x:f>IF($D$4="Ready",MAX(0,ROUND(E38+F38-I38,2)),"n.a.")</x:f>
        <x:v>2994.87</x:v>
      </x:c>
      <x:c r="L38" s="4"/>
    </x:row>
    <x:row r="39" ht="22" customHeight="1">
      <x:c r="A39" s="2"/>
      <x:c r="B39" s="2"/>
      <x:c r="C39" s="21" t="n">
        <x:f>23</x:f>
        <x:v>23</x:v>
      </x:c>
      <x:c r="D39" s="22" t="n">
        <x:f>IF($D$4="Ready",EDATE($D$9,C39-1),"n.a.")</x:f>
        <x:v>46997</x:v>
      </x:c>
      <x:c r="E39" s="4" t="n">
        <x:f>IF($D$4="Ready",K38,"n.a.")</x:f>
        <x:v>2994.87</x:v>
      </x:c>
      <x:c r="F39" s="4" t="n">
        <x:f>IF($D$4="Ready",ROUND(E39*$D$6/12,2),"n.a.")</x:f>
        <x:v>19.97</x:v>
      </x:c>
      <x:c r="G39" s="4" t="n">
        <x:f>IF($D$4="Ready",IF(C39&gt;$D$7,0,IF(C39=$D$7,E39+F39,MIN($D$11,E39+F39))),"n.a.")</x:f>
        <x:v>313.36</x:v>
      </x:c>
      <x:c r="H39" s="4" t="n">
        <x:f>IF($D$4="Ready",MIN($D$8,MAX(0,E39+F39-G39)),"n.a.")</x:f>
        <x:v>50</x:v>
      </x:c>
      <x:c r="I39" s="4" t="n">
        <x:f>IF($D$4="Ready",ROUND(G39+H39,2),"n.a.")</x:f>
        <x:v>363.36</x:v>
      </x:c>
      <x:c r="J39" s="4" t="n">
        <x:f>IF($D$4="Ready",ROUND(I39-F39,2),"n.a.")</x:f>
        <x:v>343.39</x:v>
      </x:c>
      <x:c r="K39" s="4" t="n">
        <x:f>IF($D$4="Ready",MAX(0,ROUND(E39+F39-I39,2)),"n.a.")</x:f>
        <x:v>2651.48</x:v>
      </x:c>
      <x:c r="L39" s="4"/>
    </x:row>
    <x:row r="40" ht="22" customHeight="1">
      <x:c r="A40" s="2"/>
      <x:c r="B40" s="2"/>
      <x:c r="C40" s="21" t="n">
        <x:f>24</x:f>
        <x:v>24</x:v>
      </x:c>
      <x:c r="D40" s="22" t="n">
        <x:f>IF($D$4="Ready",EDATE($D$9,C40-1),"n.a.")</x:f>
        <x:v>47027</x:v>
      </x:c>
      <x:c r="E40" s="4" t="n">
        <x:f>IF($D$4="Ready",K39,"n.a.")</x:f>
        <x:v>2651.48</x:v>
      </x:c>
      <x:c r="F40" s="4" t="n">
        <x:f>IF($D$4="Ready",ROUND(E40*$D$6/12,2),"n.a.")</x:f>
        <x:v>17.68</x:v>
      </x:c>
      <x:c r="G40" s="4" t="n">
        <x:f>IF($D$4="Ready",IF(C40&gt;$D$7,0,IF(C40=$D$7,E40+F40,MIN($D$11,E40+F40))),"n.a.")</x:f>
        <x:v>313.36</x:v>
      </x:c>
      <x:c r="H40" s="4" t="n">
        <x:f>IF($D$4="Ready",MIN($D$8,MAX(0,E40+F40-G40)),"n.a.")</x:f>
        <x:v>50</x:v>
      </x:c>
      <x:c r="I40" s="4" t="n">
        <x:f>IF($D$4="Ready",ROUND(G40+H40,2),"n.a.")</x:f>
        <x:v>363.36</x:v>
      </x:c>
      <x:c r="J40" s="4" t="n">
        <x:f>IF($D$4="Ready",ROUND(I40-F40,2),"n.a.")</x:f>
        <x:v>345.68</x:v>
      </x:c>
      <x:c r="K40" s="4" t="n">
        <x:f>IF($D$4="Ready",MAX(0,ROUND(E40+F40-I40,2)),"n.a.")</x:f>
        <x:v>2305.8</x:v>
      </x:c>
      <x:c r="L40" s="4"/>
    </x:row>
    <x:row r="41" ht="22" customHeight="1">
      <x:c r="A41" s="2"/>
      <x:c r="B41" s="2"/>
      <x:c r="C41" s="21" t="n">
        <x:f>25</x:f>
        <x:v>25</x:v>
      </x:c>
      <x:c r="D41" s="22" t="n">
        <x:f>IF($D$4="Ready",EDATE($D$9,C41-1),"n.a.")</x:f>
        <x:v>47058</x:v>
      </x:c>
      <x:c r="E41" s="4" t="n">
        <x:f>IF($D$4="Ready",K40,"n.a.")</x:f>
        <x:v>2305.8</x:v>
      </x:c>
      <x:c r="F41" s="4" t="n">
        <x:f>IF($D$4="Ready",ROUND(E41*$D$6/12,2),"n.a.")</x:f>
        <x:v>15.37</x:v>
      </x:c>
      <x:c r="G41" s="4" t="n">
        <x:f>IF($D$4="Ready",IF(C41&gt;$D$7,0,IF(C41=$D$7,E41+F41,MIN($D$11,E41+F41))),"n.a.")</x:f>
        <x:v>313.36</x:v>
      </x:c>
      <x:c r="H41" s="4" t="n">
        <x:f>IF($D$4="Ready",MIN($D$8,MAX(0,E41+F41-G41)),"n.a.")</x:f>
        <x:v>50</x:v>
      </x:c>
      <x:c r="I41" s="4" t="n">
        <x:f>IF($D$4="Ready",ROUND(G41+H41,2),"n.a.")</x:f>
        <x:v>363.36</x:v>
      </x:c>
      <x:c r="J41" s="4" t="n">
        <x:f>IF($D$4="Ready",ROUND(I41-F41,2),"n.a.")</x:f>
        <x:v>347.99</x:v>
      </x:c>
      <x:c r="K41" s="4" t="n">
        <x:f>IF($D$4="Ready",MAX(0,ROUND(E41+F41-I41,2)),"n.a.")</x:f>
        <x:v>1957.81</x:v>
      </x:c>
      <x:c r="L41" s="4"/>
    </x:row>
    <x:row r="42" ht="22" customHeight="1">
      <x:c r="A42" s="2"/>
      <x:c r="B42" s="2"/>
      <x:c r="C42" s="21" t="n">
        <x:f>26</x:f>
        <x:v>26</x:v>
      </x:c>
      <x:c r="D42" s="22" t="n">
        <x:f>IF($D$4="Ready",EDATE($D$9,C42-1),"n.a.")</x:f>
        <x:v>47088</x:v>
      </x:c>
      <x:c r="E42" s="4" t="n">
        <x:f>IF($D$4="Ready",K41,"n.a.")</x:f>
        <x:v>1957.81</x:v>
      </x:c>
      <x:c r="F42" s="4" t="n">
        <x:f>IF($D$4="Ready",ROUND(E42*$D$6/12,2),"n.a.")</x:f>
        <x:v>13.05</x:v>
      </x:c>
      <x:c r="G42" s="4" t="n">
        <x:f>IF($D$4="Ready",IF(C42&gt;$D$7,0,IF(C42=$D$7,E42+F42,MIN($D$11,E42+F42))),"n.a.")</x:f>
        <x:v>313.36</x:v>
      </x:c>
      <x:c r="H42" s="4" t="n">
        <x:f>IF($D$4="Ready",MIN($D$8,MAX(0,E42+F42-G42)),"n.a.")</x:f>
        <x:v>50</x:v>
      </x:c>
      <x:c r="I42" s="4" t="n">
        <x:f>IF($D$4="Ready",ROUND(G42+H42,2),"n.a.")</x:f>
        <x:v>363.36</x:v>
      </x:c>
      <x:c r="J42" s="4" t="n">
        <x:f>IF($D$4="Ready",ROUND(I42-F42,2),"n.a.")</x:f>
        <x:v>350.31</x:v>
      </x:c>
      <x:c r="K42" s="4" t="n">
        <x:f>IF($D$4="Ready",MAX(0,ROUND(E42+F42-I42,2)),"n.a.")</x:f>
        <x:v>1607.5</x:v>
      </x:c>
      <x:c r="L42" s="4"/>
    </x:row>
    <x:row r="43" ht="22" customHeight="1">
      <x:c r="A43" s="2"/>
      <x:c r="B43" s="2"/>
      <x:c r="C43" s="21" t="n">
        <x:f>27</x:f>
        <x:v>27</x:v>
      </x:c>
      <x:c r="D43" s="22" t="n">
        <x:f>IF($D$4="Ready",EDATE($D$9,C43-1),"n.a.")</x:f>
        <x:v>47119</x:v>
      </x:c>
      <x:c r="E43" s="4" t="n">
        <x:f>IF($D$4="Ready",K42,"n.a.")</x:f>
        <x:v>1607.5</x:v>
      </x:c>
      <x:c r="F43" s="4" t="n">
        <x:f>IF($D$4="Ready",ROUND(E43*$D$6/12,2),"n.a.")</x:f>
        <x:v>10.72</x:v>
      </x:c>
      <x:c r="G43" s="4" t="n">
        <x:f>IF($D$4="Ready",IF(C43&gt;$D$7,0,IF(C43=$D$7,E43+F43,MIN($D$11,E43+F43))),"n.a.")</x:f>
        <x:v>313.36</x:v>
      </x:c>
      <x:c r="H43" s="4" t="n">
        <x:f>IF($D$4="Ready",MIN($D$8,MAX(0,E43+F43-G43)),"n.a.")</x:f>
        <x:v>50</x:v>
      </x:c>
      <x:c r="I43" s="4" t="n">
        <x:f>IF($D$4="Ready",ROUND(G43+H43,2),"n.a.")</x:f>
        <x:v>363.36</x:v>
      </x:c>
      <x:c r="J43" s="4" t="n">
        <x:f>IF($D$4="Ready",ROUND(I43-F43,2),"n.a.")</x:f>
        <x:v>352.64</x:v>
      </x:c>
      <x:c r="K43" s="4" t="n">
        <x:f>IF($D$4="Ready",MAX(0,ROUND(E43+F43-I43,2)),"n.a.")</x:f>
        <x:v>1254.86</x:v>
      </x:c>
      <x:c r="L43" s="4"/>
    </x:row>
    <x:row r="44" ht="22" customHeight="1">
      <x:c r="A44" s="2"/>
      <x:c r="B44" s="2"/>
      <x:c r="C44" s="21" t="n">
        <x:f>28</x:f>
        <x:v>28</x:v>
      </x:c>
      <x:c r="D44" s="22" t="n">
        <x:f>IF($D$4="Ready",EDATE($D$9,C44-1),"n.a.")</x:f>
        <x:v>47150</x:v>
      </x:c>
      <x:c r="E44" s="4" t="n">
        <x:f>IF($D$4="Ready",K43,"n.a.")</x:f>
        <x:v>1254.86</x:v>
      </x:c>
      <x:c r="F44" s="4" t="n">
        <x:f>IF($D$4="Ready",ROUND(E44*$D$6/12,2),"n.a.")</x:f>
        <x:v>8.37</x:v>
      </x:c>
      <x:c r="G44" s="4" t="n">
        <x:f>IF($D$4="Ready",IF(C44&gt;$D$7,0,IF(C44=$D$7,E44+F44,MIN($D$11,E44+F44))),"n.a.")</x:f>
        <x:v>313.36</x:v>
      </x:c>
      <x:c r="H44" s="4" t="n">
        <x:f>IF($D$4="Ready",MIN($D$8,MAX(0,E44+F44-G44)),"n.a.")</x:f>
        <x:v>50</x:v>
      </x:c>
      <x:c r="I44" s="4" t="n">
        <x:f>IF($D$4="Ready",ROUND(G44+H44,2),"n.a.")</x:f>
        <x:v>363.36</x:v>
      </x:c>
      <x:c r="J44" s="4" t="n">
        <x:f>IF($D$4="Ready",ROUND(I44-F44,2),"n.a.")</x:f>
        <x:v>354.99</x:v>
      </x:c>
      <x:c r="K44" s="4" t="n">
        <x:f>IF($D$4="Ready",MAX(0,ROUND(E44+F44-I44,2)),"n.a.")</x:f>
        <x:v>899.87</x:v>
      </x:c>
      <x:c r="L44" s="4"/>
    </x:row>
    <x:row r="45" ht="22" customHeight="1">
      <x:c r="A45" s="2"/>
      <x:c r="B45" s="2"/>
      <x:c r="C45" s="21" t="n">
        <x:f>29</x:f>
        <x:v>29</x:v>
      </x:c>
      <x:c r="D45" s="22" t="n">
        <x:f>IF($D$4="Ready",EDATE($D$9,C45-1),"n.a.")</x:f>
        <x:v>47178</x:v>
      </x:c>
      <x:c r="E45" s="4" t="n">
        <x:f>IF($D$4="Ready",K44,"n.a.")</x:f>
        <x:v>899.87</x:v>
      </x:c>
      <x:c r="F45" s="4" t="n">
        <x:f>IF($D$4="Ready",ROUND(E45*$D$6/12,2),"n.a.")</x:f>
        <x:v>6</x:v>
      </x:c>
      <x:c r="G45" s="4" t="n">
        <x:f>IF($D$4="Ready",IF(C45&gt;$D$7,0,IF(C45=$D$7,E45+F45,MIN($D$11,E45+F45))),"n.a.")</x:f>
        <x:v>313.36</x:v>
      </x:c>
      <x:c r="H45" s="4" t="n">
        <x:f>IF($D$4="Ready",MIN($D$8,MAX(0,E45+F45-G45)),"n.a.")</x:f>
        <x:v>50</x:v>
      </x:c>
      <x:c r="I45" s="4" t="n">
        <x:f>IF($D$4="Ready",ROUND(G45+H45,2),"n.a.")</x:f>
        <x:v>363.36</x:v>
      </x:c>
      <x:c r="J45" s="4" t="n">
        <x:f>IF($D$4="Ready",ROUND(I45-F45,2),"n.a.")</x:f>
        <x:v>357.36</x:v>
      </x:c>
      <x:c r="K45" s="4" t="n">
        <x:f>IF($D$4="Ready",MAX(0,ROUND(E45+F45-I45,2)),"n.a.")</x:f>
        <x:v>542.51</x:v>
      </x:c>
      <x:c r="L45" s="4"/>
    </x:row>
    <x:row r="46" ht="22" customHeight="1">
      <x:c r="A46" s="2"/>
      <x:c r="B46" s="2"/>
      <x:c r="C46" s="21" t="n">
        <x:f>30</x:f>
        <x:v>30</x:v>
      </x:c>
      <x:c r="D46" s="22" t="n">
        <x:f>IF($D$4="Ready",EDATE($D$9,C46-1),"n.a.")</x:f>
        <x:v>47209</x:v>
      </x:c>
      <x:c r="E46" s="4" t="n">
        <x:f>IF($D$4="Ready",K45,"n.a.")</x:f>
        <x:v>542.51</x:v>
      </x:c>
      <x:c r="F46" s="4" t="n">
        <x:f>IF($D$4="Ready",ROUND(E46*$D$6/12,2),"n.a.")</x:f>
        <x:v>3.62</x:v>
      </x:c>
      <x:c r="G46" s="4" t="n">
        <x:f>IF($D$4="Ready",IF(C46&gt;$D$7,0,IF(C46=$D$7,E46+F46,MIN($D$11,E46+F46))),"n.a.")</x:f>
        <x:v>313.36</x:v>
      </x:c>
      <x:c r="H46" s="4" t="n">
        <x:f>IF($D$4="Ready",MIN($D$8,MAX(0,E46+F46-G46)),"n.a.")</x:f>
        <x:v>50</x:v>
      </x:c>
      <x:c r="I46" s="4" t="n">
        <x:f>IF($D$4="Ready",ROUND(G46+H46,2),"n.a.")</x:f>
        <x:v>363.36</x:v>
      </x:c>
      <x:c r="J46" s="4" t="n">
        <x:f>IF($D$4="Ready",ROUND(I46-F46,2),"n.a.")</x:f>
        <x:v>359.74</x:v>
      </x:c>
      <x:c r="K46" s="4" t="n">
        <x:f>IF($D$4="Ready",MAX(0,ROUND(E46+F46-I46,2)),"n.a.")</x:f>
        <x:v>182.77</x:v>
      </x:c>
      <x:c r="L46" s="4"/>
    </x:row>
    <x:row r="47" ht="22" customHeight="1">
      <x:c r="A47" s="2"/>
      <x:c r="B47" s="2"/>
      <x:c r="C47" s="21" t="n">
        <x:f>31</x:f>
        <x:v>31</x:v>
      </x:c>
      <x:c r="D47" s="22" t="n">
        <x:f>IF($D$4="Ready",EDATE($D$9,C47-1),"n.a.")</x:f>
        <x:v>47239</x:v>
      </x:c>
      <x:c r="E47" s="4" t="n">
        <x:f>IF($D$4="Ready",K46,"n.a.")</x:f>
        <x:v>182.77</x:v>
      </x:c>
      <x:c r="F47" s="4" t="n">
        <x:f>IF($D$4="Ready",ROUND(E47*$D$6/12,2),"n.a.")</x:f>
        <x:v>1.22</x:v>
      </x:c>
      <x:c r="G47" s="4" t="n">
        <x:f>IF($D$4="Ready",IF(C47&gt;$D$7,0,IF(C47=$D$7,E47+F47,MIN($D$11,E47+F47))),"n.a.")</x:f>
        <x:v>183.99</x:v>
      </x:c>
      <x:c r="H47" s="4" t="n">
        <x:f>IF($D$4="Ready",MIN($D$8,MAX(0,E47+F47-G47)),"n.a.")</x:f>
        <x:v>0</x:v>
      </x:c>
      <x:c r="I47" s="4" t="n">
        <x:f>IF($D$4="Ready",ROUND(G47+H47,2),"n.a.")</x:f>
        <x:v>183.99</x:v>
      </x:c>
      <x:c r="J47" s="4" t="n">
        <x:f>IF($D$4="Ready",ROUND(I47-F47,2),"n.a.")</x:f>
        <x:v>182.77</x:v>
      </x:c>
      <x:c r="K47" s="4" t="n">
        <x:f>IF($D$4="Ready",MAX(0,ROUND(E47+F47-I47,2)),"n.a.")</x:f>
        <x:v>0</x:v>
      </x:c>
      <x:c r="L47" s="4"/>
    </x:row>
    <x:row r="48" ht="22" customHeight="1">
      <x:c r="A48" s="2"/>
      <x:c r="B48" s="2"/>
      <x:c r="C48" s="21" t="n">
        <x:f>32</x:f>
        <x:v>32</x:v>
      </x:c>
      <x:c r="D48" s="22" t="n">
        <x:f>IF($D$4="Ready",EDATE($D$9,C48-1),"n.a.")</x:f>
        <x:v>47270</x:v>
      </x:c>
      <x:c r="E48" s="4" t="n">
        <x:f>IF($D$4="Ready",K47,"n.a.")</x:f>
        <x:v>0</x:v>
      </x:c>
      <x:c r="F48" s="4" t="n">
        <x:f>IF($D$4="Ready",ROUND(E48*$D$6/12,2),"n.a.")</x:f>
        <x:v>0</x:v>
      </x:c>
      <x:c r="G48" s="4" t="n">
        <x:f>IF($D$4="Ready",IF(C48&gt;$D$7,0,IF(C48=$D$7,E48+F48,MIN($D$11,E48+F48))),"n.a.")</x:f>
        <x:v>0</x:v>
      </x:c>
      <x:c r="H48" s="4" t="n">
        <x:f>IF($D$4="Ready",MIN($D$8,MAX(0,E48+F48-G48)),"n.a.")</x:f>
        <x:v>0</x:v>
      </x:c>
      <x:c r="I48" s="4" t="n">
        <x:f>IF($D$4="Ready",ROUND(G48+H48,2),"n.a.")</x:f>
        <x:v>0</x:v>
      </x:c>
      <x:c r="J48" s="4" t="n">
        <x:f>IF($D$4="Ready",ROUND(I48-F48,2),"n.a.")</x:f>
        <x:v>0</x:v>
      </x:c>
      <x:c r="K48" s="4" t="n">
        <x:f>IF($D$4="Ready",MAX(0,ROUND(E48+F48-I48,2)),"n.a.")</x:f>
        <x:v>0</x:v>
      </x:c>
      <x:c r="L48" s="4"/>
    </x:row>
    <x:row r="49" ht="22" customHeight="1">
      <x:c r="A49" s="2"/>
      <x:c r="B49" s="2"/>
      <x:c r="C49" s="21" t="n">
        <x:f>33</x:f>
        <x:v>33</x:v>
      </x:c>
      <x:c r="D49" s="22" t="n">
        <x:f>IF($D$4="Ready",EDATE($D$9,C49-1),"n.a.")</x:f>
        <x:v>47300</x:v>
      </x:c>
      <x:c r="E49" s="4" t="n">
        <x:f>IF($D$4="Ready",K48,"n.a.")</x:f>
        <x:v>0</x:v>
      </x:c>
      <x:c r="F49" s="4" t="n">
        <x:f>IF($D$4="Ready",ROUND(E49*$D$6/12,2),"n.a.")</x:f>
        <x:v>0</x:v>
      </x:c>
      <x:c r="G49" s="4" t="n">
        <x:f>IF($D$4="Ready",IF(C49&gt;$D$7,0,IF(C49=$D$7,E49+F49,MIN($D$11,E49+F49))),"n.a.")</x:f>
        <x:v>0</x:v>
      </x:c>
      <x:c r="H49" s="4" t="n">
        <x:f>IF($D$4="Ready",MIN($D$8,MAX(0,E49+F49-G49)),"n.a.")</x:f>
        <x:v>0</x:v>
      </x:c>
      <x:c r="I49" s="4" t="n">
        <x:f>IF($D$4="Ready",ROUND(G49+H49,2),"n.a.")</x:f>
        <x:v>0</x:v>
      </x:c>
      <x:c r="J49" s="4" t="n">
        <x:f>IF($D$4="Ready",ROUND(I49-F49,2),"n.a.")</x:f>
        <x:v>0</x:v>
      </x:c>
      <x:c r="K49" s="4" t="n">
        <x:f>IF($D$4="Ready",MAX(0,ROUND(E49+F49-I49,2)),"n.a.")</x:f>
        <x:v>0</x:v>
      </x:c>
      <x:c r="L49" s="4"/>
    </x:row>
    <x:row r="50" ht="22" customHeight="1">
      <x:c r="A50" s="2"/>
      <x:c r="B50" s="2"/>
      <x:c r="C50" s="21" t="n">
        <x:f>34</x:f>
        <x:v>34</x:v>
      </x:c>
      <x:c r="D50" s="22" t="n">
        <x:f>IF($D$4="Ready",EDATE($D$9,C50-1),"n.a.")</x:f>
        <x:v>47331</x:v>
      </x:c>
      <x:c r="E50" s="4" t="n">
        <x:f>IF($D$4="Ready",K49,"n.a.")</x:f>
        <x:v>0</x:v>
      </x:c>
      <x:c r="F50" s="4" t="n">
        <x:f>IF($D$4="Ready",ROUND(E50*$D$6/12,2),"n.a.")</x:f>
        <x:v>0</x:v>
      </x:c>
      <x:c r="G50" s="4" t="n">
        <x:f>IF($D$4="Ready",IF(C50&gt;$D$7,0,IF(C50=$D$7,E50+F50,MIN($D$11,E50+F50))),"n.a.")</x:f>
        <x:v>0</x:v>
      </x:c>
      <x:c r="H50" s="4" t="n">
        <x:f>IF($D$4="Ready",MIN($D$8,MAX(0,E50+F50-G50)),"n.a.")</x:f>
        <x:v>0</x:v>
      </x:c>
      <x:c r="I50" s="4" t="n">
        <x:f>IF($D$4="Ready",ROUND(G50+H50,2),"n.a.")</x:f>
        <x:v>0</x:v>
      </x:c>
      <x:c r="J50" s="4" t="n">
        <x:f>IF($D$4="Ready",ROUND(I50-F50,2),"n.a.")</x:f>
        <x:v>0</x:v>
      </x:c>
      <x:c r="K50" s="4" t="n">
        <x:f>IF($D$4="Ready",MAX(0,ROUND(E50+F50-I50,2)),"n.a.")</x:f>
        <x:v>0</x:v>
      </x:c>
      <x:c r="L50" s="4"/>
    </x:row>
    <x:row r="51" ht="22" customHeight="1">
      <x:c r="A51" s="2"/>
      <x:c r="B51" s="2"/>
      <x:c r="C51" s="21" t="n">
        <x:f>35</x:f>
        <x:v>35</x:v>
      </x:c>
      <x:c r="D51" s="22" t="n">
        <x:f>IF($D$4="Ready",EDATE($D$9,C51-1),"n.a.")</x:f>
        <x:v>47362</x:v>
      </x:c>
      <x:c r="E51" s="4" t="n">
        <x:f>IF($D$4="Ready",K50,"n.a.")</x:f>
        <x:v>0</x:v>
      </x:c>
      <x:c r="F51" s="4" t="n">
        <x:f>IF($D$4="Ready",ROUND(E51*$D$6/12,2),"n.a.")</x:f>
        <x:v>0</x:v>
      </x:c>
      <x:c r="G51" s="4" t="n">
        <x:f>IF($D$4="Ready",IF(C51&gt;$D$7,0,IF(C51=$D$7,E51+F51,MIN($D$11,E51+F51))),"n.a.")</x:f>
        <x:v>0</x:v>
      </x:c>
      <x:c r="H51" s="4" t="n">
        <x:f>IF($D$4="Ready",MIN($D$8,MAX(0,E51+F51-G51)),"n.a.")</x:f>
        <x:v>0</x:v>
      </x:c>
      <x:c r="I51" s="4" t="n">
        <x:f>IF($D$4="Ready",ROUND(G51+H51,2),"n.a.")</x:f>
        <x:v>0</x:v>
      </x:c>
      <x:c r="J51" s="4" t="n">
        <x:f>IF($D$4="Ready",ROUND(I51-F51,2),"n.a.")</x:f>
        <x:v>0</x:v>
      </x:c>
      <x:c r="K51" s="4" t="n">
        <x:f>IF($D$4="Ready",MAX(0,ROUND(E51+F51-I51,2)),"n.a.")</x:f>
        <x:v>0</x:v>
      </x:c>
      <x:c r="L51" s="4"/>
    </x:row>
    <x:row r="52" ht="22" customHeight="1">
      <x:c r="A52" s="2"/>
      <x:c r="B52" s="2"/>
      <x:c r="C52" s="21" t="n">
        <x:f>36</x:f>
        <x:v>36</x:v>
      </x:c>
      <x:c r="D52" s="22" t="n">
        <x:f>IF($D$4="Ready",EDATE($D$9,C52-1),"n.a.")</x:f>
        <x:v>47392</x:v>
      </x:c>
      <x:c r="E52" s="4" t="n">
        <x:f>IF($D$4="Ready",K51,"n.a.")</x:f>
        <x:v>0</x:v>
      </x:c>
      <x:c r="F52" s="4" t="n">
        <x:f>IF($D$4="Ready",ROUND(E52*$D$6/12,2),"n.a.")</x:f>
        <x:v>0</x:v>
      </x:c>
      <x:c r="G52" s="4" t="n">
        <x:f>IF($D$4="Ready",IF(C52&gt;$D$7,0,IF(C52=$D$7,E52+F52,MIN($D$11,E52+F52))),"n.a.")</x:f>
        <x:v>0</x:v>
      </x:c>
      <x:c r="H52" s="4" t="n">
        <x:f>IF($D$4="Ready",MIN($D$8,MAX(0,E52+F52-G52)),"n.a.")</x:f>
        <x:v>0</x:v>
      </x:c>
      <x:c r="I52" s="4" t="n">
        <x:f>IF($D$4="Ready",ROUND(G52+H52,2),"n.a.")</x:f>
        <x:v>0</x:v>
      </x:c>
      <x:c r="J52" s="4" t="n">
        <x:f>IF($D$4="Ready",ROUND(I52-F52,2),"n.a.")</x:f>
        <x:v>0</x:v>
      </x:c>
      <x:c r="K52" s="4" t="n">
        <x:f>IF($D$4="Ready",MAX(0,ROUND(E52+F52-I52,2)),"n.a.")</x:f>
        <x:v>0</x:v>
      </x:c>
      <x:c r="L52" s="4"/>
    </x:row>
    <x:row r="53" ht="22" customHeight="1">
      <x:c r="A53" s="2"/>
      <x:c r="B53" s="2"/>
      <x:c r="C53" s="21" t="n">
        <x:f>37</x:f>
        <x:v>37</x:v>
      </x:c>
      <x:c r="D53" s="22" t="n">
        <x:f>IF($D$4="Ready",EDATE($D$9,C53-1),"n.a.")</x:f>
        <x:v>47423</x:v>
      </x:c>
      <x:c r="E53" s="4" t="n">
        <x:f>IF($D$4="Ready",K52,"n.a.")</x:f>
        <x:v>0</x:v>
      </x:c>
      <x:c r="F53" s="4" t="n">
        <x:f>IF($D$4="Ready",ROUND(E53*$D$6/12,2),"n.a.")</x:f>
        <x:v>0</x:v>
      </x:c>
      <x:c r="G53" s="4" t="n">
        <x:f>IF($D$4="Ready",IF(C53&gt;$D$7,0,IF(C53=$D$7,E53+F53,MIN($D$11,E53+F53))),"n.a.")</x:f>
        <x:v>0</x:v>
      </x:c>
      <x:c r="H53" s="4" t="n">
        <x:f>IF($D$4="Ready",MIN($D$8,MAX(0,E53+F53-G53)),"n.a.")</x:f>
        <x:v>0</x:v>
      </x:c>
      <x:c r="I53" s="4" t="n">
        <x:f>IF($D$4="Ready",ROUND(G53+H53,2),"n.a.")</x:f>
        <x:v>0</x:v>
      </x:c>
      <x:c r="J53" s="4" t="n">
        <x:f>IF($D$4="Ready",ROUND(I53-F53,2),"n.a.")</x:f>
        <x:v>0</x:v>
      </x:c>
      <x:c r="K53" s="4" t="n">
        <x:f>IF($D$4="Ready",MAX(0,ROUND(E53+F53-I53,2)),"n.a.")</x:f>
        <x:v>0</x:v>
      </x:c>
      <x:c r="L53" s="4"/>
    </x:row>
    <x:row r="54" ht="22" customHeight="1">
      <x:c r="A54" s="2"/>
      <x:c r="B54" s="2"/>
      <x:c r="C54" s="21" t="n">
        <x:f>38</x:f>
        <x:v>38</x:v>
      </x:c>
      <x:c r="D54" s="22" t="n">
        <x:f>IF($D$4="Ready",EDATE($D$9,C54-1),"n.a.")</x:f>
        <x:v>47453</x:v>
      </x:c>
      <x:c r="E54" s="4" t="n">
        <x:f>IF($D$4="Ready",K53,"n.a.")</x:f>
        <x:v>0</x:v>
      </x:c>
      <x:c r="F54" s="4" t="n">
        <x:f>IF($D$4="Ready",ROUND(E54*$D$6/12,2),"n.a.")</x:f>
        <x:v>0</x:v>
      </x:c>
      <x:c r="G54" s="4" t="n">
        <x:f>IF($D$4="Ready",IF(C54&gt;$D$7,0,IF(C54=$D$7,E54+F54,MIN($D$11,E54+F54))),"n.a.")</x:f>
        <x:v>0</x:v>
      </x:c>
      <x:c r="H54" s="4" t="n">
        <x:f>IF($D$4="Ready",MIN($D$8,MAX(0,E54+F54-G54)),"n.a.")</x:f>
        <x:v>0</x:v>
      </x:c>
      <x:c r="I54" s="4" t="n">
        <x:f>IF($D$4="Ready",ROUND(G54+H54,2),"n.a.")</x:f>
        <x:v>0</x:v>
      </x:c>
      <x:c r="J54" s="4" t="n">
        <x:f>IF($D$4="Ready",ROUND(I54-F54,2),"n.a.")</x:f>
        <x:v>0</x:v>
      </x:c>
      <x:c r="K54" s="4" t="n">
        <x:f>IF($D$4="Ready",MAX(0,ROUND(E54+F54-I54,2)),"n.a.")</x:f>
        <x:v>0</x:v>
      </x:c>
      <x:c r="L54" s="4"/>
    </x:row>
    <x:row r="55" ht="22" customHeight="1">
      <x:c r="A55" s="2"/>
      <x:c r="B55" s="2"/>
      <x:c r="C55" s="21" t="n">
        <x:f>39</x:f>
        <x:v>39</x:v>
      </x:c>
      <x:c r="D55" s="22" t="n">
        <x:f>IF($D$4="Ready",EDATE($D$9,C55-1),"n.a.")</x:f>
        <x:v>47484</x:v>
      </x:c>
      <x:c r="E55" s="4" t="n">
        <x:f>IF($D$4="Ready",K54,"n.a.")</x:f>
        <x:v>0</x:v>
      </x:c>
      <x:c r="F55" s="4" t="n">
        <x:f>IF($D$4="Ready",ROUND(E55*$D$6/12,2),"n.a.")</x:f>
        <x:v>0</x:v>
      </x:c>
      <x:c r="G55" s="4" t="n">
        <x:f>IF($D$4="Ready",IF(C55&gt;$D$7,0,IF(C55=$D$7,E55+F55,MIN($D$11,E55+F55))),"n.a.")</x:f>
        <x:v>0</x:v>
      </x:c>
      <x:c r="H55" s="4" t="n">
        <x:f>IF($D$4="Ready",MIN($D$8,MAX(0,E55+F55-G55)),"n.a.")</x:f>
        <x:v>0</x:v>
      </x:c>
      <x:c r="I55" s="4" t="n">
        <x:f>IF($D$4="Ready",ROUND(G55+H55,2),"n.a.")</x:f>
        <x:v>0</x:v>
      </x:c>
      <x:c r="J55" s="4" t="n">
        <x:f>IF($D$4="Ready",ROUND(I55-F55,2),"n.a.")</x:f>
        <x:v>0</x:v>
      </x:c>
      <x:c r="K55" s="4" t="n">
        <x:f>IF($D$4="Ready",MAX(0,ROUND(E55+F55-I55,2)),"n.a.")</x:f>
        <x:v>0</x:v>
      </x:c>
      <x:c r="L55" s="4"/>
    </x:row>
    <x:row r="56" ht="22" customHeight="1">
      <x:c r="A56" s="2"/>
      <x:c r="B56" s="2"/>
      <x:c r="C56" s="21" t="n">
        <x:f>40</x:f>
        <x:v>40</x:v>
      </x:c>
      <x:c r="D56" s="22" t="n">
        <x:f>IF($D$4="Ready",EDATE($D$9,C56-1),"n.a.")</x:f>
        <x:v>47515</x:v>
      </x:c>
      <x:c r="E56" s="4" t="n">
        <x:f>IF($D$4="Ready",K55,"n.a.")</x:f>
        <x:v>0</x:v>
      </x:c>
      <x:c r="F56" s="4" t="n">
        <x:f>IF($D$4="Ready",ROUND(E56*$D$6/12,2),"n.a.")</x:f>
        <x:v>0</x:v>
      </x:c>
      <x:c r="G56" s="4" t="n">
        <x:f>IF($D$4="Ready",IF(C56&gt;$D$7,0,IF(C56=$D$7,E56+F56,MIN($D$11,E56+F56))),"n.a.")</x:f>
        <x:v>0</x:v>
      </x:c>
      <x:c r="H56" s="4" t="n">
        <x:f>IF($D$4="Ready",MIN($D$8,MAX(0,E56+F56-G56)),"n.a.")</x:f>
        <x:v>0</x:v>
      </x:c>
      <x:c r="I56" s="4" t="n">
        <x:f>IF($D$4="Ready",ROUND(G56+H56,2),"n.a.")</x:f>
        <x:v>0</x:v>
      </x:c>
      <x:c r="J56" s="4" t="n">
        <x:f>IF($D$4="Ready",ROUND(I56-F56,2),"n.a.")</x:f>
        <x:v>0</x:v>
      </x:c>
      <x:c r="K56" s="4" t="n">
        <x:f>IF($D$4="Ready",MAX(0,ROUND(E56+F56-I56,2)),"n.a.")</x:f>
        <x:v>0</x:v>
      </x:c>
      <x:c r="L56" s="4"/>
    </x:row>
    <x:row r="57" ht="22" customHeight="1">
      <x:c r="A57" s="2"/>
      <x:c r="B57" s="2"/>
      <x:c r="C57" s="21" t="n">
        <x:f>41</x:f>
        <x:v>41</x:v>
      </x:c>
      <x:c r="D57" s="22" t="n">
        <x:f>IF($D$4="Ready",EDATE($D$9,C57-1),"n.a.")</x:f>
        <x:v>47543</x:v>
      </x:c>
      <x:c r="E57" s="4" t="n">
        <x:f>IF($D$4="Ready",K56,"n.a.")</x:f>
        <x:v>0</x:v>
      </x:c>
      <x:c r="F57" s="4" t="n">
        <x:f>IF($D$4="Ready",ROUND(E57*$D$6/12,2),"n.a.")</x:f>
        <x:v>0</x:v>
      </x:c>
      <x:c r="G57" s="4" t="n">
        <x:f>IF($D$4="Ready",IF(C57&gt;$D$7,0,IF(C57=$D$7,E57+F57,MIN($D$11,E57+F57))),"n.a.")</x:f>
        <x:v>0</x:v>
      </x:c>
      <x:c r="H57" s="4" t="n">
        <x:f>IF($D$4="Ready",MIN($D$8,MAX(0,E57+F57-G57)),"n.a.")</x:f>
        <x:v>0</x:v>
      </x:c>
      <x:c r="I57" s="4" t="n">
        <x:f>IF($D$4="Ready",ROUND(G57+H57,2),"n.a.")</x:f>
        <x:v>0</x:v>
      </x:c>
      <x:c r="J57" s="4" t="n">
        <x:f>IF($D$4="Ready",ROUND(I57-F57,2),"n.a.")</x:f>
        <x:v>0</x:v>
      </x:c>
      <x:c r="K57" s="4" t="n">
        <x:f>IF($D$4="Ready",MAX(0,ROUND(E57+F57-I57,2)),"n.a.")</x:f>
        <x:v>0</x:v>
      </x:c>
      <x:c r="L57" s="4"/>
    </x:row>
    <x:row r="58" ht="22" customHeight="1">
      <x:c r="A58" s="2"/>
      <x:c r="B58" s="2"/>
      <x:c r="C58" s="21" t="n">
        <x:f>42</x:f>
        <x:v>42</x:v>
      </x:c>
      <x:c r="D58" s="22" t="n">
        <x:f>IF($D$4="Ready",EDATE($D$9,C58-1),"n.a.")</x:f>
        <x:v>47574</x:v>
      </x:c>
      <x:c r="E58" s="4" t="n">
        <x:f>IF($D$4="Ready",K57,"n.a.")</x:f>
        <x:v>0</x:v>
      </x:c>
      <x:c r="F58" s="4" t="n">
        <x:f>IF($D$4="Ready",ROUND(E58*$D$6/12,2),"n.a.")</x:f>
        <x:v>0</x:v>
      </x:c>
      <x:c r="G58" s="4" t="n">
        <x:f>IF($D$4="Ready",IF(C58&gt;$D$7,0,IF(C58=$D$7,E58+F58,MIN($D$11,E58+F58))),"n.a.")</x:f>
        <x:v>0</x:v>
      </x:c>
      <x:c r="H58" s="4" t="n">
        <x:f>IF($D$4="Ready",MIN($D$8,MAX(0,E58+F58-G58)),"n.a.")</x:f>
        <x:v>0</x:v>
      </x:c>
      <x:c r="I58" s="4" t="n">
        <x:f>IF($D$4="Ready",ROUND(G58+H58,2),"n.a.")</x:f>
        <x:v>0</x:v>
      </x:c>
      <x:c r="J58" s="4" t="n">
        <x:f>IF($D$4="Ready",ROUND(I58-F58,2),"n.a.")</x:f>
        <x:v>0</x:v>
      </x:c>
      <x:c r="K58" s="4" t="n">
        <x:f>IF($D$4="Ready",MAX(0,ROUND(E58+F58-I58,2)),"n.a.")</x:f>
        <x:v>0</x:v>
      </x:c>
      <x:c r="L58" s="4"/>
    </x:row>
    <x:row r="59" ht="22" customHeight="1">
      <x:c r="A59" s="2"/>
      <x:c r="B59" s="2"/>
      <x:c r="C59" s="21" t="n">
        <x:f>43</x:f>
        <x:v>43</x:v>
      </x:c>
      <x:c r="D59" s="22" t="n">
        <x:f>IF($D$4="Ready",EDATE($D$9,C59-1),"n.a.")</x:f>
        <x:v>47604</x:v>
      </x:c>
      <x:c r="E59" s="4" t="n">
        <x:f>IF($D$4="Ready",K58,"n.a.")</x:f>
        <x:v>0</x:v>
      </x:c>
      <x:c r="F59" s="4" t="n">
        <x:f>IF($D$4="Ready",ROUND(E59*$D$6/12,2),"n.a.")</x:f>
        <x:v>0</x:v>
      </x:c>
      <x:c r="G59" s="4" t="n">
        <x:f>IF($D$4="Ready",IF(C59&gt;$D$7,0,IF(C59=$D$7,E59+F59,MIN($D$11,E59+F59))),"n.a.")</x:f>
        <x:v>0</x:v>
      </x:c>
      <x:c r="H59" s="4" t="n">
        <x:f>IF($D$4="Ready",MIN($D$8,MAX(0,E59+F59-G59)),"n.a.")</x:f>
        <x:v>0</x:v>
      </x:c>
      <x:c r="I59" s="4" t="n">
        <x:f>IF($D$4="Ready",ROUND(G59+H59,2),"n.a.")</x:f>
        <x:v>0</x:v>
      </x:c>
      <x:c r="J59" s="4" t="n">
        <x:f>IF($D$4="Ready",ROUND(I59-F59,2),"n.a.")</x:f>
        <x:v>0</x:v>
      </x:c>
      <x:c r="K59" s="4" t="n">
        <x:f>IF($D$4="Ready",MAX(0,ROUND(E59+F59-I59,2)),"n.a.")</x:f>
        <x:v>0</x:v>
      </x:c>
      <x:c r="L59" s="4"/>
    </x:row>
    <x:row r="60" ht="22" customHeight="1">
      <x:c r="A60" s="2"/>
      <x:c r="B60" s="2"/>
      <x:c r="C60" s="21" t="n">
        <x:f>44</x:f>
        <x:v>44</x:v>
      </x:c>
      <x:c r="D60" s="22" t="n">
        <x:f>IF($D$4="Ready",EDATE($D$9,C60-1),"n.a.")</x:f>
        <x:v>47635</x:v>
      </x:c>
      <x:c r="E60" s="4" t="n">
        <x:f>IF($D$4="Ready",K59,"n.a.")</x:f>
        <x:v>0</x:v>
      </x:c>
      <x:c r="F60" s="4" t="n">
        <x:f>IF($D$4="Ready",ROUND(E60*$D$6/12,2),"n.a.")</x:f>
        <x:v>0</x:v>
      </x:c>
      <x:c r="G60" s="4" t="n">
        <x:f>IF($D$4="Ready",IF(C60&gt;$D$7,0,IF(C60=$D$7,E60+F60,MIN($D$11,E60+F60))),"n.a.")</x:f>
        <x:v>0</x:v>
      </x:c>
      <x:c r="H60" s="4" t="n">
        <x:f>IF($D$4="Ready",MIN($D$8,MAX(0,E60+F60-G60)),"n.a.")</x:f>
        <x:v>0</x:v>
      </x:c>
      <x:c r="I60" s="4" t="n">
        <x:f>IF($D$4="Ready",ROUND(G60+H60,2),"n.a.")</x:f>
        <x:v>0</x:v>
      </x:c>
      <x:c r="J60" s="4" t="n">
        <x:f>IF($D$4="Ready",ROUND(I60-F60,2),"n.a.")</x:f>
        <x:v>0</x:v>
      </x:c>
      <x:c r="K60" s="4" t="n">
        <x:f>IF($D$4="Ready",MAX(0,ROUND(E60+F60-I60,2)),"n.a.")</x:f>
        <x:v>0</x:v>
      </x:c>
      <x:c r="L60" s="4"/>
    </x:row>
    <x:row r="61" ht="22" customHeight="1">
      <x:c r="A61" s="2"/>
      <x:c r="B61" s="2"/>
      <x:c r="C61" s="21" t="n">
        <x:f>45</x:f>
        <x:v>45</x:v>
      </x:c>
      <x:c r="D61" s="22" t="n">
        <x:f>IF($D$4="Ready",EDATE($D$9,C61-1),"n.a.")</x:f>
        <x:v>47665</x:v>
      </x:c>
      <x:c r="E61" s="4" t="n">
        <x:f>IF($D$4="Ready",K60,"n.a.")</x:f>
        <x:v>0</x:v>
      </x:c>
      <x:c r="F61" s="4" t="n">
        <x:f>IF($D$4="Ready",ROUND(E61*$D$6/12,2),"n.a.")</x:f>
        <x:v>0</x:v>
      </x:c>
      <x:c r="G61" s="4" t="n">
        <x:f>IF($D$4="Ready",IF(C61&gt;$D$7,0,IF(C61=$D$7,E61+F61,MIN($D$11,E61+F61))),"n.a.")</x:f>
        <x:v>0</x:v>
      </x:c>
      <x:c r="H61" s="4" t="n">
        <x:f>IF($D$4="Ready",MIN($D$8,MAX(0,E61+F61-G61)),"n.a.")</x:f>
        <x:v>0</x:v>
      </x:c>
      <x:c r="I61" s="4" t="n">
        <x:f>IF($D$4="Ready",ROUND(G61+H61,2),"n.a.")</x:f>
        <x:v>0</x:v>
      </x:c>
      <x:c r="J61" s="4" t="n">
        <x:f>IF($D$4="Ready",ROUND(I61-F61,2),"n.a.")</x:f>
        <x:v>0</x:v>
      </x:c>
      <x:c r="K61" s="4" t="n">
        <x:f>IF($D$4="Ready",MAX(0,ROUND(E61+F61-I61,2)),"n.a.")</x:f>
        <x:v>0</x:v>
      </x:c>
      <x:c r="L61" s="4"/>
    </x:row>
    <x:row r="62" ht="22" customHeight="1">
      <x:c r="A62" s="2"/>
      <x:c r="B62" s="2"/>
      <x:c r="C62" s="21" t="n">
        <x:f>46</x:f>
        <x:v>46</x:v>
      </x:c>
      <x:c r="D62" s="22" t="n">
        <x:f>IF($D$4="Ready",EDATE($D$9,C62-1),"n.a.")</x:f>
        <x:v>47696</x:v>
      </x:c>
      <x:c r="E62" s="4" t="n">
        <x:f>IF($D$4="Ready",K61,"n.a.")</x:f>
        <x:v>0</x:v>
      </x:c>
      <x:c r="F62" s="4" t="n">
        <x:f>IF($D$4="Ready",ROUND(E62*$D$6/12,2),"n.a.")</x:f>
        <x:v>0</x:v>
      </x:c>
      <x:c r="G62" s="4" t="n">
        <x:f>IF($D$4="Ready",IF(C62&gt;$D$7,0,IF(C62=$D$7,E62+F62,MIN($D$11,E62+F62))),"n.a.")</x:f>
        <x:v>0</x:v>
      </x:c>
      <x:c r="H62" s="4" t="n">
        <x:f>IF($D$4="Ready",MIN($D$8,MAX(0,E62+F62-G62)),"n.a.")</x:f>
        <x:v>0</x:v>
      </x:c>
      <x:c r="I62" s="4" t="n">
        <x:f>IF($D$4="Ready",ROUND(G62+H62,2),"n.a.")</x:f>
        <x:v>0</x:v>
      </x:c>
      <x:c r="J62" s="4" t="n">
        <x:f>IF($D$4="Ready",ROUND(I62-F62,2),"n.a.")</x:f>
        <x:v>0</x:v>
      </x:c>
      <x:c r="K62" s="4" t="n">
        <x:f>IF($D$4="Ready",MAX(0,ROUND(E62+F62-I62,2)),"n.a.")</x:f>
        <x:v>0</x:v>
      </x:c>
      <x:c r="L62" s="4"/>
    </x:row>
    <x:row r="63" ht="22" customHeight="1">
      <x:c r="A63" s="2"/>
      <x:c r="B63" s="2"/>
      <x:c r="C63" s="21" t="n">
        <x:f>47</x:f>
        <x:v>47</x:v>
      </x:c>
      <x:c r="D63" s="22" t="n">
        <x:f>IF($D$4="Ready",EDATE($D$9,C63-1),"n.a.")</x:f>
        <x:v>47727</x:v>
      </x:c>
      <x:c r="E63" s="4" t="n">
        <x:f>IF($D$4="Ready",K62,"n.a.")</x:f>
        <x:v>0</x:v>
      </x:c>
      <x:c r="F63" s="4" t="n">
        <x:f>IF($D$4="Ready",ROUND(E63*$D$6/12,2),"n.a.")</x:f>
        <x:v>0</x:v>
      </x:c>
      <x:c r="G63" s="4" t="n">
        <x:f>IF($D$4="Ready",IF(C63&gt;$D$7,0,IF(C63=$D$7,E63+F63,MIN($D$11,E63+F63))),"n.a.")</x:f>
        <x:v>0</x:v>
      </x:c>
      <x:c r="H63" s="4" t="n">
        <x:f>IF($D$4="Ready",MIN($D$8,MAX(0,E63+F63-G63)),"n.a.")</x:f>
        <x:v>0</x:v>
      </x:c>
      <x:c r="I63" s="4" t="n">
        <x:f>IF($D$4="Ready",ROUND(G63+H63,2),"n.a.")</x:f>
        <x:v>0</x:v>
      </x:c>
      <x:c r="J63" s="4" t="n">
        <x:f>IF($D$4="Ready",ROUND(I63-F63,2),"n.a.")</x:f>
        <x:v>0</x:v>
      </x:c>
      <x:c r="K63" s="4" t="n">
        <x:f>IF($D$4="Ready",MAX(0,ROUND(E63+F63-I63,2)),"n.a.")</x:f>
        <x:v>0</x:v>
      </x:c>
      <x:c r="L63" s="4"/>
    </x:row>
    <x:row r="64" ht="22" customHeight="1">
      <x:c r="A64" s="2"/>
      <x:c r="B64" s="2"/>
      <x:c r="C64" s="21" t="n">
        <x:f>48</x:f>
        <x:v>48</x:v>
      </x:c>
      <x:c r="D64" s="22" t="n">
        <x:f>IF($D$4="Ready",EDATE($D$9,C64-1),"n.a.")</x:f>
        <x:v>47757</x:v>
      </x:c>
      <x:c r="E64" s="4" t="n">
        <x:f>IF($D$4="Ready",K63,"n.a.")</x:f>
        <x:v>0</x:v>
      </x:c>
      <x:c r="F64" s="4" t="n">
        <x:f>IF($D$4="Ready",ROUND(E64*$D$6/12,2),"n.a.")</x:f>
        <x:v>0</x:v>
      </x:c>
      <x:c r="G64" s="4" t="n">
        <x:f>IF($D$4="Ready",IF(C64&gt;$D$7,0,IF(C64=$D$7,E64+F64,MIN($D$11,E64+F64))),"n.a.")</x:f>
        <x:v>0</x:v>
      </x:c>
      <x:c r="H64" s="4" t="n">
        <x:f>IF($D$4="Ready",MIN($D$8,MAX(0,E64+F64-G64)),"n.a.")</x:f>
        <x:v>0</x:v>
      </x:c>
      <x:c r="I64" s="4" t="n">
        <x:f>IF($D$4="Ready",ROUND(G64+H64,2),"n.a.")</x:f>
        <x:v>0</x:v>
      </x:c>
      <x:c r="J64" s="4" t="n">
        <x:f>IF($D$4="Ready",ROUND(I64-F64,2),"n.a.")</x:f>
        <x:v>0</x:v>
      </x:c>
      <x:c r="K64" s="4" t="n">
        <x:f>IF($D$4="Ready",MAX(0,ROUND(E64+F64-I64,2)),"n.a.")</x:f>
        <x:v>0</x:v>
      </x:c>
      <x:c r="L64" s="4"/>
    </x:row>
    <x:row r="65" ht="22" customHeight="1">
      <x:c r="A65" s="2"/>
      <x:c r="B65" s="2"/>
      <x:c r="C65" s="21" t="n">
        <x:f>49</x:f>
        <x:v>49</x:v>
      </x:c>
      <x:c r="D65" s="22" t="n">
        <x:f>IF($D$4="Ready",EDATE($D$9,C65-1),"n.a.")</x:f>
        <x:v>47788</x:v>
      </x:c>
      <x:c r="E65" s="4" t="n">
        <x:f>IF($D$4="Ready",K64,"n.a.")</x:f>
        <x:v>0</x:v>
      </x:c>
      <x:c r="F65" s="4" t="n">
        <x:f>IF($D$4="Ready",ROUND(E65*$D$6/12,2),"n.a.")</x:f>
        <x:v>0</x:v>
      </x:c>
      <x:c r="G65" s="4" t="n">
        <x:f>IF($D$4="Ready",IF(C65&gt;$D$7,0,IF(C65=$D$7,E65+F65,MIN($D$11,E65+F65))),"n.a.")</x:f>
        <x:v>0</x:v>
      </x:c>
      <x:c r="H65" s="4" t="n">
        <x:f>IF($D$4="Ready",MIN($D$8,MAX(0,E65+F65-G65)),"n.a.")</x:f>
        <x:v>0</x:v>
      </x:c>
      <x:c r="I65" s="4" t="n">
        <x:f>IF($D$4="Ready",ROUND(G65+H65,2),"n.a.")</x:f>
        <x:v>0</x:v>
      </x:c>
      <x:c r="J65" s="4" t="n">
        <x:f>IF($D$4="Ready",ROUND(I65-F65,2),"n.a.")</x:f>
        <x:v>0</x:v>
      </x:c>
      <x:c r="K65" s="4" t="n">
        <x:f>IF($D$4="Ready",MAX(0,ROUND(E65+F65-I65,2)),"n.a.")</x:f>
        <x:v>0</x:v>
      </x:c>
      <x:c r="L65" s="4"/>
    </x:row>
    <x:row r="66" ht="22" customHeight="1">
      <x:c r="A66" s="2"/>
      <x:c r="B66" s="2"/>
      <x:c r="C66" s="21" t="n">
        <x:f>50</x:f>
        <x:v>50</x:v>
      </x:c>
      <x:c r="D66" s="22" t="n">
        <x:f>IF($D$4="Ready",EDATE($D$9,C66-1),"n.a.")</x:f>
        <x:v>47818</x:v>
      </x:c>
      <x:c r="E66" s="4" t="n">
        <x:f>IF($D$4="Ready",K65,"n.a.")</x:f>
        <x:v>0</x:v>
      </x:c>
      <x:c r="F66" s="4" t="n">
        <x:f>IF($D$4="Ready",ROUND(E66*$D$6/12,2),"n.a.")</x:f>
        <x:v>0</x:v>
      </x:c>
      <x:c r="G66" s="4" t="n">
        <x:f>IF($D$4="Ready",IF(C66&gt;$D$7,0,IF(C66=$D$7,E66+F66,MIN($D$11,E66+F66))),"n.a.")</x:f>
        <x:v>0</x:v>
      </x:c>
      <x:c r="H66" s="4" t="n">
        <x:f>IF($D$4="Ready",MIN($D$8,MAX(0,E66+F66-G66)),"n.a.")</x:f>
        <x:v>0</x:v>
      </x:c>
      <x:c r="I66" s="4" t="n">
        <x:f>IF($D$4="Ready",ROUND(G66+H66,2),"n.a.")</x:f>
        <x:v>0</x:v>
      </x:c>
      <x:c r="J66" s="4" t="n">
        <x:f>IF($D$4="Ready",ROUND(I66-F66,2),"n.a.")</x:f>
        <x:v>0</x:v>
      </x:c>
      <x:c r="K66" s="4" t="n">
        <x:f>IF($D$4="Ready",MAX(0,ROUND(E66+F66-I66,2)),"n.a.")</x:f>
        <x:v>0</x:v>
      </x:c>
      <x:c r="L66" s="4"/>
    </x:row>
    <x:row r="67" ht="22" customHeight="1">
      <x:c r="A67" s="2"/>
      <x:c r="B67" s="2"/>
      <x:c r="C67" s="21" t="n">
        <x:f>51</x:f>
        <x:v>51</x:v>
      </x:c>
      <x:c r="D67" s="22" t="n">
        <x:f>IF($D$4="Ready",EDATE($D$9,C67-1),"n.a.")</x:f>
        <x:v>47849</x:v>
      </x:c>
      <x:c r="E67" s="4" t="n">
        <x:f>IF($D$4="Ready",K66,"n.a.")</x:f>
        <x:v>0</x:v>
      </x:c>
      <x:c r="F67" s="4" t="n">
        <x:f>IF($D$4="Ready",ROUND(E67*$D$6/12,2),"n.a.")</x:f>
        <x:v>0</x:v>
      </x:c>
      <x:c r="G67" s="4" t="n">
        <x:f>IF($D$4="Ready",IF(C67&gt;$D$7,0,IF(C67=$D$7,E67+F67,MIN($D$11,E67+F67))),"n.a.")</x:f>
        <x:v>0</x:v>
      </x:c>
      <x:c r="H67" s="4" t="n">
        <x:f>IF($D$4="Ready",MIN($D$8,MAX(0,E67+F67-G67)),"n.a.")</x:f>
        <x:v>0</x:v>
      </x:c>
      <x:c r="I67" s="4" t="n">
        <x:f>IF($D$4="Ready",ROUND(G67+H67,2),"n.a.")</x:f>
        <x:v>0</x:v>
      </x:c>
      <x:c r="J67" s="4" t="n">
        <x:f>IF($D$4="Ready",ROUND(I67-F67,2),"n.a.")</x:f>
        <x:v>0</x:v>
      </x:c>
      <x:c r="K67" s="4" t="n">
        <x:f>IF($D$4="Ready",MAX(0,ROUND(E67+F67-I67,2)),"n.a.")</x:f>
        <x:v>0</x:v>
      </x:c>
      <x:c r="L67" s="4"/>
    </x:row>
    <x:row r="68" ht="22" customHeight="1">
      <x:c r="A68" s="2"/>
      <x:c r="B68" s="2"/>
      <x:c r="C68" s="21" t="n">
        <x:f>52</x:f>
        <x:v>52</x:v>
      </x:c>
      <x:c r="D68" s="22" t="n">
        <x:f>IF($D$4="Ready",EDATE($D$9,C68-1),"n.a.")</x:f>
        <x:v>47880</x:v>
      </x:c>
      <x:c r="E68" s="4" t="n">
        <x:f>IF($D$4="Ready",K67,"n.a.")</x:f>
        <x:v>0</x:v>
      </x:c>
      <x:c r="F68" s="4" t="n">
        <x:f>IF($D$4="Ready",ROUND(E68*$D$6/12,2),"n.a.")</x:f>
        <x:v>0</x:v>
      </x:c>
      <x:c r="G68" s="4" t="n">
        <x:f>IF($D$4="Ready",IF(C68&gt;$D$7,0,IF(C68=$D$7,E68+F68,MIN($D$11,E68+F68))),"n.a.")</x:f>
        <x:v>0</x:v>
      </x:c>
      <x:c r="H68" s="4" t="n">
        <x:f>IF($D$4="Ready",MIN($D$8,MAX(0,E68+F68-G68)),"n.a.")</x:f>
        <x:v>0</x:v>
      </x:c>
      <x:c r="I68" s="4" t="n">
        <x:f>IF($D$4="Ready",ROUND(G68+H68,2),"n.a.")</x:f>
        <x:v>0</x:v>
      </x:c>
      <x:c r="J68" s="4" t="n">
        <x:f>IF($D$4="Ready",ROUND(I68-F68,2),"n.a.")</x:f>
        <x:v>0</x:v>
      </x:c>
      <x:c r="K68" s="4" t="n">
        <x:f>IF($D$4="Ready",MAX(0,ROUND(E68+F68-I68,2)),"n.a.")</x:f>
        <x:v>0</x:v>
      </x:c>
      <x:c r="L68" s="4"/>
    </x:row>
    <x:row r="69" ht="22" customHeight="1">
      <x:c r="A69" s="2"/>
      <x:c r="B69" s="2"/>
      <x:c r="C69" s="21" t="n">
        <x:f>53</x:f>
        <x:v>53</x:v>
      </x:c>
      <x:c r="D69" s="22" t="n">
        <x:f>IF($D$4="Ready",EDATE($D$9,C69-1),"n.a.")</x:f>
        <x:v>47908</x:v>
      </x:c>
      <x:c r="E69" s="4" t="n">
        <x:f>IF($D$4="Ready",K68,"n.a.")</x:f>
        <x:v>0</x:v>
      </x:c>
      <x:c r="F69" s="4" t="n">
        <x:f>IF($D$4="Ready",ROUND(E69*$D$6/12,2),"n.a.")</x:f>
        <x:v>0</x:v>
      </x:c>
      <x:c r="G69" s="4" t="n">
        <x:f>IF($D$4="Ready",IF(C69&gt;$D$7,0,IF(C69=$D$7,E69+F69,MIN($D$11,E69+F69))),"n.a.")</x:f>
        <x:v>0</x:v>
      </x:c>
      <x:c r="H69" s="4" t="n">
        <x:f>IF($D$4="Ready",MIN($D$8,MAX(0,E69+F69-G69)),"n.a.")</x:f>
        <x:v>0</x:v>
      </x:c>
      <x:c r="I69" s="4" t="n">
        <x:f>IF($D$4="Ready",ROUND(G69+H69,2),"n.a.")</x:f>
        <x:v>0</x:v>
      </x:c>
      <x:c r="J69" s="4" t="n">
        <x:f>IF($D$4="Ready",ROUND(I69-F69,2),"n.a.")</x:f>
        <x:v>0</x:v>
      </x:c>
      <x:c r="K69" s="4" t="n">
        <x:f>IF($D$4="Ready",MAX(0,ROUND(E69+F69-I69,2)),"n.a.")</x:f>
        <x:v>0</x:v>
      </x:c>
      <x:c r="L69" s="4"/>
    </x:row>
    <x:row r="70" ht="22" customHeight="1">
      <x:c r="A70" s="2"/>
      <x:c r="B70" s="2"/>
      <x:c r="C70" s="21" t="n">
        <x:f>54</x:f>
        <x:v>54</x:v>
      </x:c>
      <x:c r="D70" s="22" t="n">
        <x:f>IF($D$4="Ready",EDATE($D$9,C70-1),"n.a.")</x:f>
        <x:v>47939</x:v>
      </x:c>
      <x:c r="E70" s="4" t="n">
        <x:f>IF($D$4="Ready",K69,"n.a.")</x:f>
        <x:v>0</x:v>
      </x:c>
      <x:c r="F70" s="4" t="n">
        <x:f>IF($D$4="Ready",ROUND(E70*$D$6/12,2),"n.a.")</x:f>
        <x:v>0</x:v>
      </x:c>
      <x:c r="G70" s="4" t="n">
        <x:f>IF($D$4="Ready",IF(C70&gt;$D$7,0,IF(C70=$D$7,E70+F70,MIN($D$11,E70+F70))),"n.a.")</x:f>
        <x:v>0</x:v>
      </x:c>
      <x:c r="H70" s="4" t="n">
        <x:f>IF($D$4="Ready",MIN($D$8,MAX(0,E70+F70-G70)),"n.a.")</x:f>
        <x:v>0</x:v>
      </x:c>
      <x:c r="I70" s="4" t="n">
        <x:f>IF($D$4="Ready",ROUND(G70+H70,2),"n.a.")</x:f>
        <x:v>0</x:v>
      </x:c>
      <x:c r="J70" s="4" t="n">
        <x:f>IF($D$4="Ready",ROUND(I70-F70,2),"n.a.")</x:f>
        <x:v>0</x:v>
      </x:c>
      <x:c r="K70" s="4" t="n">
        <x:f>IF($D$4="Ready",MAX(0,ROUND(E70+F70-I70,2)),"n.a.")</x:f>
        <x:v>0</x:v>
      </x:c>
      <x:c r="L70" s="4"/>
    </x:row>
    <x:row r="71" ht="22" customHeight="1">
      <x:c r="A71" s="2"/>
      <x:c r="B71" s="2"/>
      <x:c r="C71" s="21" t="n">
        <x:f>55</x:f>
        <x:v>55</x:v>
      </x:c>
      <x:c r="D71" s="22" t="n">
        <x:f>IF($D$4="Ready",EDATE($D$9,C71-1),"n.a.")</x:f>
        <x:v>47969</x:v>
      </x:c>
      <x:c r="E71" s="4" t="n">
        <x:f>IF($D$4="Ready",K70,"n.a.")</x:f>
        <x:v>0</x:v>
      </x:c>
      <x:c r="F71" s="4" t="n">
        <x:f>IF($D$4="Ready",ROUND(E71*$D$6/12,2),"n.a.")</x:f>
        <x:v>0</x:v>
      </x:c>
      <x:c r="G71" s="4" t="n">
        <x:f>IF($D$4="Ready",IF(C71&gt;$D$7,0,IF(C71=$D$7,E71+F71,MIN($D$11,E71+F71))),"n.a.")</x:f>
        <x:v>0</x:v>
      </x:c>
      <x:c r="H71" s="4" t="n">
        <x:f>IF($D$4="Ready",MIN($D$8,MAX(0,E71+F71-G71)),"n.a.")</x:f>
        <x:v>0</x:v>
      </x:c>
      <x:c r="I71" s="4" t="n">
        <x:f>IF($D$4="Ready",ROUND(G71+H71,2),"n.a.")</x:f>
        <x:v>0</x:v>
      </x:c>
      <x:c r="J71" s="4" t="n">
        <x:f>IF($D$4="Ready",ROUND(I71-F71,2),"n.a.")</x:f>
        <x:v>0</x:v>
      </x:c>
      <x:c r="K71" s="4" t="n">
        <x:f>IF($D$4="Ready",MAX(0,ROUND(E71+F71-I71,2)),"n.a.")</x:f>
        <x:v>0</x:v>
      </x:c>
      <x:c r="L71" s="4"/>
    </x:row>
    <x:row r="72" ht="22" customHeight="1">
      <x:c r="A72" s="2"/>
      <x:c r="B72" s="2"/>
      <x:c r="C72" s="21" t="n">
        <x:f>56</x:f>
        <x:v>56</x:v>
      </x:c>
      <x:c r="D72" s="22" t="n">
        <x:f>IF($D$4="Ready",EDATE($D$9,C72-1),"n.a.")</x:f>
        <x:v>48000</x:v>
      </x:c>
      <x:c r="E72" s="4" t="n">
        <x:f>IF($D$4="Ready",K71,"n.a.")</x:f>
        <x:v>0</x:v>
      </x:c>
      <x:c r="F72" s="4" t="n">
        <x:f>IF($D$4="Ready",ROUND(E72*$D$6/12,2),"n.a.")</x:f>
        <x:v>0</x:v>
      </x:c>
      <x:c r="G72" s="4" t="n">
        <x:f>IF($D$4="Ready",IF(C72&gt;$D$7,0,IF(C72=$D$7,E72+F72,MIN($D$11,E72+F72))),"n.a.")</x:f>
        <x:v>0</x:v>
      </x:c>
      <x:c r="H72" s="4" t="n">
        <x:f>IF($D$4="Ready",MIN($D$8,MAX(0,E72+F72-G72)),"n.a.")</x:f>
        <x:v>0</x:v>
      </x:c>
      <x:c r="I72" s="4" t="n">
        <x:f>IF($D$4="Ready",ROUND(G72+H72,2),"n.a.")</x:f>
        <x:v>0</x:v>
      </x:c>
      <x:c r="J72" s="4" t="n">
        <x:f>IF($D$4="Ready",ROUND(I72-F72,2),"n.a.")</x:f>
        <x:v>0</x:v>
      </x:c>
      <x:c r="K72" s="4" t="n">
        <x:f>IF($D$4="Ready",MAX(0,ROUND(E72+F72-I72,2)),"n.a.")</x:f>
        <x:v>0</x:v>
      </x:c>
      <x:c r="L72" s="4"/>
    </x:row>
    <x:row r="73" ht="22" customHeight="1">
      <x:c r="A73" s="2"/>
      <x:c r="B73" s="2"/>
      <x:c r="C73" s="21" t="n">
        <x:f>57</x:f>
        <x:v>57</x:v>
      </x:c>
      <x:c r="D73" s="22" t="n">
        <x:f>IF($D$4="Ready",EDATE($D$9,C73-1),"n.a.")</x:f>
        <x:v>48030</x:v>
      </x:c>
      <x:c r="E73" s="4" t="n">
        <x:f>IF($D$4="Ready",K72,"n.a.")</x:f>
        <x:v>0</x:v>
      </x:c>
      <x:c r="F73" s="4" t="n">
        <x:f>IF($D$4="Ready",ROUND(E73*$D$6/12,2),"n.a.")</x:f>
        <x:v>0</x:v>
      </x:c>
      <x:c r="G73" s="4" t="n">
        <x:f>IF($D$4="Ready",IF(C73&gt;$D$7,0,IF(C73=$D$7,E73+F73,MIN($D$11,E73+F73))),"n.a.")</x:f>
        <x:v>0</x:v>
      </x:c>
      <x:c r="H73" s="4" t="n">
        <x:f>IF($D$4="Ready",MIN($D$8,MAX(0,E73+F73-G73)),"n.a.")</x:f>
        <x:v>0</x:v>
      </x:c>
      <x:c r="I73" s="4" t="n">
        <x:f>IF($D$4="Ready",ROUND(G73+H73,2),"n.a.")</x:f>
        <x:v>0</x:v>
      </x:c>
      <x:c r="J73" s="4" t="n">
        <x:f>IF($D$4="Ready",ROUND(I73-F73,2),"n.a.")</x:f>
        <x:v>0</x:v>
      </x:c>
      <x:c r="K73" s="4" t="n">
        <x:f>IF($D$4="Ready",MAX(0,ROUND(E73+F73-I73,2)),"n.a.")</x:f>
        <x:v>0</x:v>
      </x:c>
      <x:c r="L73" s="4"/>
    </x:row>
    <x:row r="74" ht="22" customHeight="1">
      <x:c r="A74" s="2"/>
      <x:c r="B74" s="2"/>
      <x:c r="C74" s="21" t="n">
        <x:f>58</x:f>
        <x:v>58</x:v>
      </x:c>
      <x:c r="D74" s="22" t="n">
        <x:f>IF($D$4="Ready",EDATE($D$9,C74-1),"n.a.")</x:f>
        <x:v>48061</x:v>
      </x:c>
      <x:c r="E74" s="4" t="n">
        <x:f>IF($D$4="Ready",K73,"n.a.")</x:f>
        <x:v>0</x:v>
      </x:c>
      <x:c r="F74" s="4" t="n">
        <x:f>IF($D$4="Ready",ROUND(E74*$D$6/12,2),"n.a.")</x:f>
        <x:v>0</x:v>
      </x:c>
      <x:c r="G74" s="4" t="n">
        <x:f>IF($D$4="Ready",IF(C74&gt;$D$7,0,IF(C74=$D$7,E74+F74,MIN($D$11,E74+F74))),"n.a.")</x:f>
        <x:v>0</x:v>
      </x:c>
      <x:c r="H74" s="4" t="n">
        <x:f>IF($D$4="Ready",MIN($D$8,MAX(0,E74+F74-G74)),"n.a.")</x:f>
        <x:v>0</x:v>
      </x:c>
      <x:c r="I74" s="4" t="n">
        <x:f>IF($D$4="Ready",ROUND(G74+H74,2),"n.a.")</x:f>
        <x:v>0</x:v>
      </x:c>
      <x:c r="J74" s="4" t="n">
        <x:f>IF($D$4="Ready",ROUND(I74-F74,2),"n.a.")</x:f>
        <x:v>0</x:v>
      </x:c>
      <x:c r="K74" s="4" t="n">
        <x:f>IF($D$4="Ready",MAX(0,ROUND(E74+F74-I74,2)),"n.a.")</x:f>
        <x:v>0</x:v>
      </x:c>
      <x:c r="L74" s="4"/>
    </x:row>
    <x:row r="75" ht="22" customHeight="1">
      <x:c r="A75" s="2"/>
      <x:c r="B75" s="2"/>
      <x:c r="C75" s="21" t="n">
        <x:f>59</x:f>
        <x:v>59</x:v>
      </x:c>
      <x:c r="D75" s="22" t="n">
        <x:f>IF($D$4="Ready",EDATE($D$9,C75-1),"n.a.")</x:f>
        <x:v>48092</x:v>
      </x:c>
      <x:c r="E75" s="4" t="n">
        <x:f>IF($D$4="Ready",K74,"n.a.")</x:f>
        <x:v>0</x:v>
      </x:c>
      <x:c r="F75" s="4" t="n">
        <x:f>IF($D$4="Ready",ROUND(E75*$D$6/12,2),"n.a.")</x:f>
        <x:v>0</x:v>
      </x:c>
      <x:c r="G75" s="4" t="n">
        <x:f>IF($D$4="Ready",IF(C75&gt;$D$7,0,IF(C75=$D$7,E75+F75,MIN($D$11,E75+F75))),"n.a.")</x:f>
        <x:v>0</x:v>
      </x:c>
      <x:c r="H75" s="4" t="n">
        <x:f>IF($D$4="Ready",MIN($D$8,MAX(0,E75+F75-G75)),"n.a.")</x:f>
        <x:v>0</x:v>
      </x:c>
      <x:c r="I75" s="4" t="n">
        <x:f>IF($D$4="Ready",ROUND(G75+H75,2),"n.a.")</x:f>
        <x:v>0</x:v>
      </x:c>
      <x:c r="J75" s="4" t="n">
        <x:f>IF($D$4="Ready",ROUND(I75-F75,2),"n.a.")</x:f>
        <x:v>0</x:v>
      </x:c>
      <x:c r="K75" s="4" t="n">
        <x:f>IF($D$4="Ready",MAX(0,ROUND(E75+F75-I75,2)),"n.a.")</x:f>
        <x:v>0</x:v>
      </x:c>
      <x:c r="L75" s="4"/>
    </x:row>
    <x:row r="76" ht="22" customHeight="1">
      <x:c r="A76" s="2"/>
      <x:c r="B76" s="2"/>
      <x:c r="C76" s="21" t="n">
        <x:f>60</x:f>
        <x:v>60</x:v>
      </x:c>
      <x:c r="D76" s="22" t="n">
        <x:f>IF($D$4="Ready",EDATE($D$9,C76-1),"n.a.")</x:f>
        <x:v>48122</x:v>
      </x:c>
      <x:c r="E76" s="4" t="n">
        <x:f>IF($D$4="Ready",K75,"n.a.")</x:f>
        <x:v>0</x:v>
      </x:c>
      <x:c r="F76" s="4" t="n">
        <x:f>IF($D$4="Ready",ROUND(E76*$D$6/12,2),"n.a.")</x:f>
        <x:v>0</x:v>
      </x:c>
      <x:c r="G76" s="4" t="n">
        <x:f>IF($D$4="Ready",IF(C76&gt;$D$7,0,IF(C76=$D$7,E76+F76,MIN($D$11,E76+F76))),"n.a.")</x:f>
        <x:v>0</x:v>
      </x:c>
      <x:c r="H76" s="4" t="n">
        <x:f>IF($D$4="Ready",MIN($D$8,MAX(0,E76+F76-G76)),"n.a.")</x:f>
        <x:v>0</x:v>
      </x:c>
      <x:c r="I76" s="4" t="n">
        <x:f>IF($D$4="Ready",ROUND(G76+H76,2),"n.a.")</x:f>
        <x:v>0</x:v>
      </x:c>
      <x:c r="J76" s="4" t="n">
        <x:f>IF($D$4="Ready",ROUND(I76-F76,2),"n.a.")</x:f>
        <x:v>0</x:v>
      </x:c>
      <x:c r="K76" s="4" t="n">
        <x:f>IF($D$4="Ready",MAX(0,ROUND(E76+F76-I76,2)),"n.a.")</x:f>
        <x:v>0</x:v>
      </x:c>
      <x:c r="L76" s="4"/>
    </x:row>
    <x:row r="77" ht="22" customHeight="1">
      <x:c r="A77" s="2"/>
      <x:c r="B77" s="2"/>
      <x:c r="C77" s="21" t="n">
        <x:f>61</x:f>
        <x:v>61</x:v>
      </x:c>
      <x:c r="D77" s="22" t="n">
        <x:f>IF($D$4="Ready",EDATE($D$9,C77-1),"n.a.")</x:f>
        <x:v>48153</x:v>
      </x:c>
      <x:c r="E77" s="4" t="n">
        <x:f>IF($D$4="Ready",K76,"n.a.")</x:f>
        <x:v>0</x:v>
      </x:c>
      <x:c r="F77" s="4" t="n">
        <x:f>IF($D$4="Ready",ROUND(E77*$D$6/12,2),"n.a.")</x:f>
        <x:v>0</x:v>
      </x:c>
      <x:c r="G77" s="4" t="n">
        <x:f>IF($D$4="Ready",IF(C77&gt;$D$7,0,IF(C77=$D$7,E77+F77,MIN($D$11,E77+F77))),"n.a.")</x:f>
        <x:v>0</x:v>
      </x:c>
      <x:c r="H77" s="4" t="n">
        <x:f>IF($D$4="Ready",MIN($D$8,MAX(0,E77+F77-G77)),"n.a.")</x:f>
        <x:v>0</x:v>
      </x:c>
      <x:c r="I77" s="4" t="n">
        <x:f>IF($D$4="Ready",ROUND(G77+H77,2),"n.a.")</x:f>
        <x:v>0</x:v>
      </x:c>
      <x:c r="J77" s="4" t="n">
        <x:f>IF($D$4="Ready",ROUND(I77-F77,2),"n.a.")</x:f>
        <x:v>0</x:v>
      </x:c>
      <x:c r="K77" s="4" t="n">
        <x:f>IF($D$4="Ready",MAX(0,ROUND(E77+F77-I77,2)),"n.a.")</x:f>
        <x:v>0</x:v>
      </x:c>
      <x:c r="L77" s="4"/>
    </x:row>
    <x:row r="78" ht="22" customHeight="1">
      <x:c r="A78" s="2"/>
      <x:c r="B78" s="2"/>
      <x:c r="C78" s="21" t="n">
        <x:f>62</x:f>
        <x:v>62</x:v>
      </x:c>
      <x:c r="D78" s="22" t="n">
        <x:f>IF($D$4="Ready",EDATE($D$9,C78-1),"n.a.")</x:f>
        <x:v>48183</x:v>
      </x:c>
      <x:c r="E78" s="4" t="n">
        <x:f>IF($D$4="Ready",K77,"n.a.")</x:f>
        <x:v>0</x:v>
      </x:c>
      <x:c r="F78" s="4" t="n">
        <x:f>IF($D$4="Ready",ROUND(E78*$D$6/12,2),"n.a.")</x:f>
        <x:v>0</x:v>
      </x:c>
      <x:c r="G78" s="4" t="n">
        <x:f>IF($D$4="Ready",IF(C78&gt;$D$7,0,IF(C78=$D$7,E78+F78,MIN($D$11,E78+F78))),"n.a.")</x:f>
        <x:v>0</x:v>
      </x:c>
      <x:c r="H78" s="4" t="n">
        <x:f>IF($D$4="Ready",MIN($D$8,MAX(0,E78+F78-G78)),"n.a.")</x:f>
        <x:v>0</x:v>
      </x:c>
      <x:c r="I78" s="4" t="n">
        <x:f>IF($D$4="Ready",ROUND(G78+H78,2),"n.a.")</x:f>
        <x:v>0</x:v>
      </x:c>
      <x:c r="J78" s="4" t="n">
        <x:f>IF($D$4="Ready",ROUND(I78-F78,2),"n.a.")</x:f>
        <x:v>0</x:v>
      </x:c>
      <x:c r="K78" s="4" t="n">
        <x:f>IF($D$4="Ready",MAX(0,ROUND(E78+F78-I78,2)),"n.a.")</x:f>
        <x:v>0</x:v>
      </x:c>
      <x:c r="L78" s="4"/>
    </x:row>
    <x:row r="79" ht="22" customHeight="1">
      <x:c r="A79" s="2"/>
      <x:c r="B79" s="2"/>
      <x:c r="C79" s="21" t="n">
        <x:f>63</x:f>
        <x:v>63</x:v>
      </x:c>
      <x:c r="D79" s="22" t="n">
        <x:f>IF($D$4="Ready",EDATE($D$9,C79-1),"n.a.")</x:f>
        <x:v>48214</x:v>
      </x:c>
      <x:c r="E79" s="4" t="n">
        <x:f>IF($D$4="Ready",K78,"n.a.")</x:f>
        <x:v>0</x:v>
      </x:c>
      <x:c r="F79" s="4" t="n">
        <x:f>IF($D$4="Ready",ROUND(E79*$D$6/12,2),"n.a.")</x:f>
        <x:v>0</x:v>
      </x:c>
      <x:c r="G79" s="4" t="n">
        <x:f>IF($D$4="Ready",IF(C79&gt;$D$7,0,IF(C79=$D$7,E79+F79,MIN($D$11,E79+F79))),"n.a.")</x:f>
        <x:v>0</x:v>
      </x:c>
      <x:c r="H79" s="4" t="n">
        <x:f>IF($D$4="Ready",MIN($D$8,MAX(0,E79+F79-G79)),"n.a.")</x:f>
        <x:v>0</x:v>
      </x:c>
      <x:c r="I79" s="4" t="n">
        <x:f>IF($D$4="Ready",ROUND(G79+H79,2),"n.a.")</x:f>
        <x:v>0</x:v>
      </x:c>
      <x:c r="J79" s="4" t="n">
        <x:f>IF($D$4="Ready",ROUND(I79-F79,2),"n.a.")</x:f>
        <x:v>0</x:v>
      </x:c>
      <x:c r="K79" s="4" t="n">
        <x:f>IF($D$4="Ready",MAX(0,ROUND(E79+F79-I79,2)),"n.a.")</x:f>
        <x:v>0</x:v>
      </x:c>
      <x:c r="L79" s="4"/>
    </x:row>
    <x:row r="80" ht="22" customHeight="1">
      <x:c r="A80" s="2"/>
      <x:c r="B80" s="2"/>
      <x:c r="C80" s="21" t="n">
        <x:f>64</x:f>
        <x:v>64</x:v>
      </x:c>
      <x:c r="D80" s="22" t="n">
        <x:f>IF($D$4="Ready",EDATE($D$9,C80-1),"n.a.")</x:f>
        <x:v>48245</x:v>
      </x:c>
      <x:c r="E80" s="4" t="n">
        <x:f>IF($D$4="Ready",K79,"n.a.")</x:f>
        <x:v>0</x:v>
      </x:c>
      <x:c r="F80" s="4" t="n">
        <x:f>IF($D$4="Ready",ROUND(E80*$D$6/12,2),"n.a.")</x:f>
        <x:v>0</x:v>
      </x:c>
      <x:c r="G80" s="4" t="n">
        <x:f>IF($D$4="Ready",IF(C80&gt;$D$7,0,IF(C80=$D$7,E80+F80,MIN($D$11,E80+F80))),"n.a.")</x:f>
        <x:v>0</x:v>
      </x:c>
      <x:c r="H80" s="4" t="n">
        <x:f>IF($D$4="Ready",MIN($D$8,MAX(0,E80+F80-G80)),"n.a.")</x:f>
        <x:v>0</x:v>
      </x:c>
      <x:c r="I80" s="4" t="n">
        <x:f>IF($D$4="Ready",ROUND(G80+H80,2),"n.a.")</x:f>
        <x:v>0</x:v>
      </x:c>
      <x:c r="J80" s="4" t="n">
        <x:f>IF($D$4="Ready",ROUND(I80-F80,2),"n.a.")</x:f>
        <x:v>0</x:v>
      </x:c>
      <x:c r="K80" s="4" t="n">
        <x:f>IF($D$4="Ready",MAX(0,ROUND(E80+F80-I80,2)),"n.a.")</x:f>
        <x:v>0</x:v>
      </x:c>
      <x:c r="L80" s="4"/>
    </x:row>
    <x:row r="81" ht="22" customHeight="1">
      <x:c r="A81" s="2"/>
      <x:c r="B81" s="2"/>
      <x:c r="C81" s="21" t="n">
        <x:f>65</x:f>
        <x:v>65</x:v>
      </x:c>
      <x:c r="D81" s="22" t="n">
        <x:f>IF($D$4="Ready",EDATE($D$9,C81-1),"n.a.")</x:f>
        <x:v>48274</x:v>
      </x:c>
      <x:c r="E81" s="4" t="n">
        <x:f>IF($D$4="Ready",K80,"n.a.")</x:f>
        <x:v>0</x:v>
      </x:c>
      <x:c r="F81" s="4" t="n">
        <x:f>IF($D$4="Ready",ROUND(E81*$D$6/12,2),"n.a.")</x:f>
        <x:v>0</x:v>
      </x:c>
      <x:c r="G81" s="4" t="n">
        <x:f>IF($D$4="Ready",IF(C81&gt;$D$7,0,IF(C81=$D$7,E81+F81,MIN($D$11,E81+F81))),"n.a.")</x:f>
        <x:v>0</x:v>
      </x:c>
      <x:c r="H81" s="4" t="n">
        <x:f>IF($D$4="Ready",MIN($D$8,MAX(0,E81+F81-G81)),"n.a.")</x:f>
        <x:v>0</x:v>
      </x:c>
      <x:c r="I81" s="4" t="n">
        <x:f>IF($D$4="Ready",ROUND(G81+H81,2),"n.a.")</x:f>
        <x:v>0</x:v>
      </x:c>
      <x:c r="J81" s="4" t="n">
        <x:f>IF($D$4="Ready",ROUND(I81-F81,2),"n.a.")</x:f>
        <x:v>0</x:v>
      </x:c>
      <x:c r="K81" s="4" t="n">
        <x:f>IF($D$4="Ready",MAX(0,ROUND(E81+F81-I81,2)),"n.a.")</x:f>
        <x:v>0</x:v>
      </x:c>
      <x:c r="L81" s="4"/>
    </x:row>
    <x:row r="82" ht="22" customHeight="1">
      <x:c r="A82" s="2"/>
      <x:c r="B82" s="2"/>
      <x:c r="C82" s="21" t="n">
        <x:f>66</x:f>
        <x:v>66</x:v>
      </x:c>
      <x:c r="D82" s="22" t="n">
        <x:f>IF($D$4="Ready",EDATE($D$9,C82-1),"n.a.")</x:f>
        <x:v>48305</x:v>
      </x:c>
      <x:c r="E82" s="4" t="n">
        <x:f>IF($D$4="Ready",K81,"n.a.")</x:f>
        <x:v>0</x:v>
      </x:c>
      <x:c r="F82" s="4" t="n">
        <x:f>IF($D$4="Ready",ROUND(E82*$D$6/12,2),"n.a.")</x:f>
        <x:v>0</x:v>
      </x:c>
      <x:c r="G82" s="4" t="n">
        <x:f>IF($D$4="Ready",IF(C82&gt;$D$7,0,IF(C82=$D$7,E82+F82,MIN($D$11,E82+F82))),"n.a.")</x:f>
        <x:v>0</x:v>
      </x:c>
      <x:c r="H82" s="4" t="n">
        <x:f>IF($D$4="Ready",MIN($D$8,MAX(0,E82+F82-G82)),"n.a.")</x:f>
        <x:v>0</x:v>
      </x:c>
      <x:c r="I82" s="4" t="n">
        <x:f>IF($D$4="Ready",ROUND(G82+H82,2),"n.a.")</x:f>
        <x:v>0</x:v>
      </x:c>
      <x:c r="J82" s="4" t="n">
        <x:f>IF($D$4="Ready",ROUND(I82-F82,2),"n.a.")</x:f>
        <x:v>0</x:v>
      </x:c>
      <x:c r="K82" s="4" t="n">
        <x:f>IF($D$4="Ready",MAX(0,ROUND(E82+F82-I82,2)),"n.a.")</x:f>
        <x:v>0</x:v>
      </x:c>
      <x:c r="L82" s="4"/>
    </x:row>
    <x:row r="83" ht="22" customHeight="1">
      <x:c r="A83" s="2"/>
      <x:c r="B83" s="2"/>
      <x:c r="C83" s="21" t="n">
        <x:f>67</x:f>
        <x:v>67</x:v>
      </x:c>
      <x:c r="D83" s="22" t="n">
        <x:f>IF($D$4="Ready",EDATE($D$9,C83-1),"n.a.")</x:f>
        <x:v>48335</x:v>
      </x:c>
      <x:c r="E83" s="4" t="n">
        <x:f>IF($D$4="Ready",K82,"n.a.")</x:f>
        <x:v>0</x:v>
      </x:c>
      <x:c r="F83" s="4" t="n">
        <x:f>IF($D$4="Ready",ROUND(E83*$D$6/12,2),"n.a.")</x:f>
        <x:v>0</x:v>
      </x:c>
      <x:c r="G83" s="4" t="n">
        <x:f>IF($D$4="Ready",IF(C83&gt;$D$7,0,IF(C83=$D$7,E83+F83,MIN($D$11,E83+F83))),"n.a.")</x:f>
        <x:v>0</x:v>
      </x:c>
      <x:c r="H83" s="4" t="n">
        <x:f>IF($D$4="Ready",MIN($D$8,MAX(0,E83+F83-G83)),"n.a.")</x:f>
        <x:v>0</x:v>
      </x:c>
      <x:c r="I83" s="4" t="n">
        <x:f>IF($D$4="Ready",ROUND(G83+H83,2),"n.a.")</x:f>
        <x:v>0</x:v>
      </x:c>
      <x:c r="J83" s="4" t="n">
        <x:f>IF($D$4="Ready",ROUND(I83-F83,2),"n.a.")</x:f>
        <x:v>0</x:v>
      </x:c>
      <x:c r="K83" s="4" t="n">
        <x:f>IF($D$4="Ready",MAX(0,ROUND(E83+F83-I83,2)),"n.a.")</x:f>
        <x:v>0</x:v>
      </x:c>
      <x:c r="L83" s="4"/>
    </x:row>
    <x:row r="84" ht="22" customHeight="1">
      <x:c r="A84" s="2"/>
      <x:c r="B84" s="2"/>
      <x:c r="C84" s="21" t="n">
        <x:f>68</x:f>
        <x:v>68</x:v>
      </x:c>
      <x:c r="D84" s="22" t="n">
        <x:f>IF($D$4="Ready",EDATE($D$9,C84-1),"n.a.")</x:f>
        <x:v>48366</x:v>
      </x:c>
      <x:c r="E84" s="4" t="n">
        <x:f>IF($D$4="Ready",K83,"n.a.")</x:f>
        <x:v>0</x:v>
      </x:c>
      <x:c r="F84" s="4" t="n">
        <x:f>IF($D$4="Ready",ROUND(E84*$D$6/12,2),"n.a.")</x:f>
        <x:v>0</x:v>
      </x:c>
      <x:c r="G84" s="4" t="n">
        <x:f>IF($D$4="Ready",IF(C84&gt;$D$7,0,IF(C84=$D$7,E84+F84,MIN($D$11,E84+F84))),"n.a.")</x:f>
        <x:v>0</x:v>
      </x:c>
      <x:c r="H84" s="4" t="n">
        <x:f>IF($D$4="Ready",MIN($D$8,MAX(0,E84+F84-G84)),"n.a.")</x:f>
        <x:v>0</x:v>
      </x:c>
      <x:c r="I84" s="4" t="n">
        <x:f>IF($D$4="Ready",ROUND(G84+H84,2),"n.a.")</x:f>
        <x:v>0</x:v>
      </x:c>
      <x:c r="J84" s="4" t="n">
        <x:f>IF($D$4="Ready",ROUND(I84-F84,2),"n.a.")</x:f>
        <x:v>0</x:v>
      </x:c>
      <x:c r="K84" s="4" t="n">
        <x:f>IF($D$4="Ready",MAX(0,ROUND(E84+F84-I84,2)),"n.a.")</x:f>
        <x:v>0</x:v>
      </x:c>
      <x:c r="L84" s="4"/>
    </x:row>
    <x:row r="85" ht="22" customHeight="1">
      <x:c r="A85" s="2"/>
      <x:c r="B85" s="2"/>
      <x:c r="C85" s="21" t="n">
        <x:f>69</x:f>
        <x:v>69</x:v>
      </x:c>
      <x:c r="D85" s="22" t="n">
        <x:f>IF($D$4="Ready",EDATE($D$9,C85-1),"n.a.")</x:f>
        <x:v>48396</x:v>
      </x:c>
      <x:c r="E85" s="4" t="n">
        <x:f>IF($D$4="Ready",K84,"n.a.")</x:f>
        <x:v>0</x:v>
      </x:c>
      <x:c r="F85" s="4" t="n">
        <x:f>IF($D$4="Ready",ROUND(E85*$D$6/12,2),"n.a.")</x:f>
        <x:v>0</x:v>
      </x:c>
      <x:c r="G85" s="4" t="n">
        <x:f>IF($D$4="Ready",IF(C85&gt;$D$7,0,IF(C85=$D$7,E85+F85,MIN($D$11,E85+F85))),"n.a.")</x:f>
        <x:v>0</x:v>
      </x:c>
      <x:c r="H85" s="4" t="n">
        <x:f>IF($D$4="Ready",MIN($D$8,MAX(0,E85+F85-G85)),"n.a.")</x:f>
        <x:v>0</x:v>
      </x:c>
      <x:c r="I85" s="4" t="n">
        <x:f>IF($D$4="Ready",ROUND(G85+H85,2),"n.a.")</x:f>
        <x:v>0</x:v>
      </x:c>
      <x:c r="J85" s="4" t="n">
        <x:f>IF($D$4="Ready",ROUND(I85-F85,2),"n.a.")</x:f>
        <x:v>0</x:v>
      </x:c>
      <x:c r="K85" s="4" t="n">
        <x:f>IF($D$4="Ready",MAX(0,ROUND(E85+F85-I85,2)),"n.a.")</x:f>
        <x:v>0</x:v>
      </x:c>
      <x:c r="L85" s="4"/>
    </x:row>
    <x:row r="86" ht="22" customHeight="1">
      <x:c r="A86" s="2"/>
      <x:c r="B86" s="2"/>
      <x:c r="C86" s="21" t="n">
        <x:f>70</x:f>
        <x:v>70</x:v>
      </x:c>
      <x:c r="D86" s="22" t="n">
        <x:f>IF($D$4="Ready",EDATE($D$9,C86-1),"n.a.")</x:f>
        <x:v>48427</x:v>
      </x:c>
      <x:c r="E86" s="4" t="n">
        <x:f>IF($D$4="Ready",K85,"n.a.")</x:f>
        <x:v>0</x:v>
      </x:c>
      <x:c r="F86" s="4" t="n">
        <x:f>IF($D$4="Ready",ROUND(E86*$D$6/12,2),"n.a.")</x:f>
        <x:v>0</x:v>
      </x:c>
      <x:c r="G86" s="4" t="n">
        <x:f>IF($D$4="Ready",IF(C86&gt;$D$7,0,IF(C86=$D$7,E86+F86,MIN($D$11,E86+F86))),"n.a.")</x:f>
        <x:v>0</x:v>
      </x:c>
      <x:c r="H86" s="4" t="n">
        <x:f>IF($D$4="Ready",MIN($D$8,MAX(0,E86+F86-G86)),"n.a.")</x:f>
        <x:v>0</x:v>
      </x:c>
      <x:c r="I86" s="4" t="n">
        <x:f>IF($D$4="Ready",ROUND(G86+H86,2),"n.a.")</x:f>
        <x:v>0</x:v>
      </x:c>
      <x:c r="J86" s="4" t="n">
        <x:f>IF($D$4="Ready",ROUND(I86-F86,2),"n.a.")</x:f>
        <x:v>0</x:v>
      </x:c>
      <x:c r="K86" s="4" t="n">
        <x:f>IF($D$4="Ready",MAX(0,ROUND(E86+F86-I86,2)),"n.a.")</x:f>
        <x:v>0</x:v>
      </x:c>
      <x:c r="L86" s="4"/>
    </x:row>
    <x:row r="87" ht="22" customHeight="1">
      <x:c r="A87" s="2"/>
      <x:c r="B87" s="2"/>
      <x:c r="C87" s="21" t="n">
        <x:f>71</x:f>
        <x:v>71</x:v>
      </x:c>
      <x:c r="D87" s="22" t="n">
        <x:f>IF($D$4="Ready",EDATE($D$9,C87-1),"n.a.")</x:f>
        <x:v>48458</x:v>
      </x:c>
      <x:c r="E87" s="4" t="n">
        <x:f>IF($D$4="Ready",K86,"n.a.")</x:f>
        <x:v>0</x:v>
      </x:c>
      <x:c r="F87" s="4" t="n">
        <x:f>IF($D$4="Ready",ROUND(E87*$D$6/12,2),"n.a.")</x:f>
        <x:v>0</x:v>
      </x:c>
      <x:c r="G87" s="4" t="n">
        <x:f>IF($D$4="Ready",IF(C87&gt;$D$7,0,IF(C87=$D$7,E87+F87,MIN($D$11,E87+F87))),"n.a.")</x:f>
        <x:v>0</x:v>
      </x:c>
      <x:c r="H87" s="4" t="n">
        <x:f>IF($D$4="Ready",MIN($D$8,MAX(0,E87+F87-G87)),"n.a.")</x:f>
        <x:v>0</x:v>
      </x:c>
      <x:c r="I87" s="4" t="n">
        <x:f>IF($D$4="Ready",ROUND(G87+H87,2),"n.a.")</x:f>
        <x:v>0</x:v>
      </x:c>
      <x:c r="J87" s="4" t="n">
        <x:f>IF($D$4="Ready",ROUND(I87-F87,2),"n.a.")</x:f>
        <x:v>0</x:v>
      </x:c>
      <x:c r="K87" s="4" t="n">
        <x:f>IF($D$4="Ready",MAX(0,ROUND(E87+F87-I87,2)),"n.a.")</x:f>
        <x:v>0</x:v>
      </x:c>
      <x:c r="L87" s="4"/>
    </x:row>
    <x:row r="88" ht="22" customHeight="1">
      <x:c r="A88" s="2"/>
      <x:c r="B88" s="2"/>
      <x:c r="C88" s="21" t="n">
        <x:f>72</x:f>
        <x:v>72</x:v>
      </x:c>
      <x:c r="D88" s="22" t="n">
        <x:f>IF($D$4="Ready",EDATE($D$9,C88-1),"n.a.")</x:f>
        <x:v>48488</x:v>
      </x:c>
      <x:c r="E88" s="4" t="n">
        <x:f>IF($D$4="Ready",K87,"n.a.")</x:f>
        <x:v>0</x:v>
      </x:c>
      <x:c r="F88" s="4" t="n">
        <x:f>IF($D$4="Ready",ROUND(E88*$D$6/12,2),"n.a.")</x:f>
        <x:v>0</x:v>
      </x:c>
      <x:c r="G88" s="4" t="n">
        <x:f>IF($D$4="Ready",IF(C88&gt;$D$7,0,IF(C88=$D$7,E88+F88,MIN($D$11,E88+F88))),"n.a.")</x:f>
        <x:v>0</x:v>
      </x:c>
      <x:c r="H88" s="4" t="n">
        <x:f>IF($D$4="Ready",MIN($D$8,MAX(0,E88+F88-G88)),"n.a.")</x:f>
        <x:v>0</x:v>
      </x:c>
      <x:c r="I88" s="4" t="n">
        <x:f>IF($D$4="Ready",ROUND(G88+H88,2),"n.a.")</x:f>
        <x:v>0</x:v>
      </x:c>
      <x:c r="J88" s="4" t="n">
        <x:f>IF($D$4="Ready",ROUND(I88-F88,2),"n.a.")</x:f>
        <x:v>0</x:v>
      </x:c>
      <x:c r="K88" s="4" t="n">
        <x:f>IF($D$4="Ready",MAX(0,ROUND(E88+F88-I88,2)),"n.a.")</x:f>
        <x:v>0</x:v>
      </x:c>
      <x:c r="L88" s="4"/>
    </x:row>
    <x:row r="89" ht="22" customHeight="1">
      <x:c r="A89" s="2"/>
      <x:c r="B89" s="2"/>
      <x:c r="C89" s="21" t="n">
        <x:f>73</x:f>
        <x:v>73</x:v>
      </x:c>
      <x:c r="D89" s="22" t="n">
        <x:f>IF($D$4="Ready",EDATE($D$9,C89-1),"n.a.")</x:f>
        <x:v>48519</x:v>
      </x:c>
      <x:c r="E89" s="4" t="n">
        <x:f>IF($D$4="Ready",K88,"n.a.")</x:f>
        <x:v>0</x:v>
      </x:c>
      <x:c r="F89" s="4" t="n">
        <x:f>IF($D$4="Ready",ROUND(E89*$D$6/12,2),"n.a.")</x:f>
        <x:v>0</x:v>
      </x:c>
      <x:c r="G89" s="4" t="n">
        <x:f>IF($D$4="Ready",IF(C89&gt;$D$7,0,IF(C89=$D$7,E89+F89,MIN($D$11,E89+F89))),"n.a.")</x:f>
        <x:v>0</x:v>
      </x:c>
      <x:c r="H89" s="4" t="n">
        <x:f>IF($D$4="Ready",MIN($D$8,MAX(0,E89+F89-G89)),"n.a.")</x:f>
        <x:v>0</x:v>
      </x:c>
      <x:c r="I89" s="4" t="n">
        <x:f>IF($D$4="Ready",ROUND(G89+H89,2),"n.a.")</x:f>
        <x:v>0</x:v>
      </x:c>
      <x:c r="J89" s="4" t="n">
        <x:f>IF($D$4="Ready",ROUND(I89-F89,2),"n.a.")</x:f>
        <x:v>0</x:v>
      </x:c>
      <x:c r="K89" s="4" t="n">
        <x:f>IF($D$4="Ready",MAX(0,ROUND(E89+F89-I89,2)),"n.a.")</x:f>
        <x:v>0</x:v>
      </x:c>
      <x:c r="L89" s="4"/>
    </x:row>
    <x:row r="90" ht="22" customHeight="1">
      <x:c r="A90" s="2"/>
      <x:c r="B90" s="2"/>
      <x:c r="C90" s="21" t="n">
        <x:f>74</x:f>
        <x:v>74</x:v>
      </x:c>
      <x:c r="D90" s="22" t="n">
        <x:f>IF($D$4="Ready",EDATE($D$9,C90-1),"n.a.")</x:f>
        <x:v>48549</x:v>
      </x:c>
      <x:c r="E90" s="4" t="n">
        <x:f>IF($D$4="Ready",K89,"n.a.")</x:f>
        <x:v>0</x:v>
      </x:c>
      <x:c r="F90" s="4" t="n">
        <x:f>IF($D$4="Ready",ROUND(E90*$D$6/12,2),"n.a.")</x:f>
        <x:v>0</x:v>
      </x:c>
      <x:c r="G90" s="4" t="n">
        <x:f>IF($D$4="Ready",IF(C90&gt;$D$7,0,IF(C90=$D$7,E90+F90,MIN($D$11,E90+F90))),"n.a.")</x:f>
        <x:v>0</x:v>
      </x:c>
      <x:c r="H90" s="4" t="n">
        <x:f>IF($D$4="Ready",MIN($D$8,MAX(0,E90+F90-G90)),"n.a.")</x:f>
        <x:v>0</x:v>
      </x:c>
      <x:c r="I90" s="4" t="n">
        <x:f>IF($D$4="Ready",ROUND(G90+H90,2),"n.a.")</x:f>
        <x:v>0</x:v>
      </x:c>
      <x:c r="J90" s="4" t="n">
        <x:f>IF($D$4="Ready",ROUND(I90-F90,2),"n.a.")</x:f>
        <x:v>0</x:v>
      </x:c>
      <x:c r="K90" s="4" t="n">
        <x:f>IF($D$4="Ready",MAX(0,ROUND(E90+F90-I90,2)),"n.a.")</x:f>
        <x:v>0</x:v>
      </x:c>
      <x:c r="L90" s="4"/>
    </x:row>
    <x:row r="91" ht="22" customHeight="1">
      <x:c r="A91" s="2"/>
      <x:c r="B91" s="2"/>
      <x:c r="C91" s="21" t="n">
        <x:f>75</x:f>
        <x:v>75</x:v>
      </x:c>
      <x:c r="D91" s="22" t="n">
        <x:f>IF($D$4="Ready",EDATE($D$9,C91-1),"n.a.")</x:f>
        <x:v>48580</x:v>
      </x:c>
      <x:c r="E91" s="4" t="n">
        <x:f>IF($D$4="Ready",K90,"n.a.")</x:f>
        <x:v>0</x:v>
      </x:c>
      <x:c r="F91" s="4" t="n">
        <x:f>IF($D$4="Ready",ROUND(E91*$D$6/12,2),"n.a.")</x:f>
        <x:v>0</x:v>
      </x:c>
      <x:c r="G91" s="4" t="n">
        <x:f>IF($D$4="Ready",IF(C91&gt;$D$7,0,IF(C91=$D$7,E91+F91,MIN($D$11,E91+F91))),"n.a.")</x:f>
        <x:v>0</x:v>
      </x:c>
      <x:c r="H91" s="4" t="n">
        <x:f>IF($D$4="Ready",MIN($D$8,MAX(0,E91+F91-G91)),"n.a.")</x:f>
        <x:v>0</x:v>
      </x:c>
      <x:c r="I91" s="4" t="n">
        <x:f>IF($D$4="Ready",ROUND(G91+H91,2),"n.a.")</x:f>
        <x:v>0</x:v>
      </x:c>
      <x:c r="J91" s="4" t="n">
        <x:f>IF($D$4="Ready",ROUND(I91-F91,2),"n.a.")</x:f>
        <x:v>0</x:v>
      </x:c>
      <x:c r="K91" s="4" t="n">
        <x:f>IF($D$4="Ready",MAX(0,ROUND(E91+F91-I91,2)),"n.a.")</x:f>
        <x:v>0</x:v>
      </x:c>
      <x:c r="L91" s="4"/>
    </x:row>
    <x:row r="92" ht="22" customHeight="1">
      <x:c r="A92" s="2"/>
      <x:c r="B92" s="2"/>
      <x:c r="C92" s="21" t="n">
        <x:f>76</x:f>
        <x:v>76</x:v>
      </x:c>
      <x:c r="D92" s="22" t="n">
        <x:f>IF($D$4="Ready",EDATE($D$9,C92-1),"n.a.")</x:f>
        <x:v>48611</x:v>
      </x:c>
      <x:c r="E92" s="4" t="n">
        <x:f>IF($D$4="Ready",K91,"n.a.")</x:f>
        <x:v>0</x:v>
      </x:c>
      <x:c r="F92" s="4" t="n">
        <x:f>IF($D$4="Ready",ROUND(E92*$D$6/12,2),"n.a.")</x:f>
        <x:v>0</x:v>
      </x:c>
      <x:c r="G92" s="4" t="n">
        <x:f>IF($D$4="Ready",IF(C92&gt;$D$7,0,IF(C92=$D$7,E92+F92,MIN($D$11,E92+F92))),"n.a.")</x:f>
        <x:v>0</x:v>
      </x:c>
      <x:c r="H92" s="4" t="n">
        <x:f>IF($D$4="Ready",MIN($D$8,MAX(0,E92+F92-G92)),"n.a.")</x:f>
        <x:v>0</x:v>
      </x:c>
      <x:c r="I92" s="4" t="n">
        <x:f>IF($D$4="Ready",ROUND(G92+H92,2),"n.a.")</x:f>
        <x:v>0</x:v>
      </x:c>
      <x:c r="J92" s="4" t="n">
        <x:f>IF($D$4="Ready",ROUND(I92-F92,2),"n.a.")</x:f>
        <x:v>0</x:v>
      </x:c>
      <x:c r="K92" s="4" t="n">
        <x:f>IF($D$4="Ready",MAX(0,ROUND(E92+F92-I92,2)),"n.a.")</x:f>
        <x:v>0</x:v>
      </x:c>
      <x:c r="L92" s="4"/>
    </x:row>
    <x:row r="93" ht="22" customHeight="1">
      <x:c r="A93" s="2"/>
      <x:c r="B93" s="2"/>
      <x:c r="C93" s="21" t="n">
        <x:f>77</x:f>
        <x:v>77</x:v>
      </x:c>
      <x:c r="D93" s="22" t="n">
        <x:f>IF($D$4="Ready",EDATE($D$9,C93-1),"n.a.")</x:f>
        <x:v>48639</x:v>
      </x:c>
      <x:c r="E93" s="4" t="n">
        <x:f>IF($D$4="Ready",K92,"n.a.")</x:f>
        <x:v>0</x:v>
      </x:c>
      <x:c r="F93" s="4" t="n">
        <x:f>IF($D$4="Ready",ROUND(E93*$D$6/12,2),"n.a.")</x:f>
        <x:v>0</x:v>
      </x:c>
      <x:c r="G93" s="4" t="n">
        <x:f>IF($D$4="Ready",IF(C93&gt;$D$7,0,IF(C93=$D$7,E93+F93,MIN($D$11,E93+F93))),"n.a.")</x:f>
        <x:v>0</x:v>
      </x:c>
      <x:c r="H93" s="4" t="n">
        <x:f>IF($D$4="Ready",MIN($D$8,MAX(0,E93+F93-G93)),"n.a.")</x:f>
        <x:v>0</x:v>
      </x:c>
      <x:c r="I93" s="4" t="n">
        <x:f>IF($D$4="Ready",ROUND(G93+H93,2),"n.a.")</x:f>
        <x:v>0</x:v>
      </x:c>
      <x:c r="J93" s="4" t="n">
        <x:f>IF($D$4="Ready",ROUND(I93-F93,2),"n.a.")</x:f>
        <x:v>0</x:v>
      </x:c>
      <x:c r="K93" s="4" t="n">
        <x:f>IF($D$4="Ready",MAX(0,ROUND(E93+F93-I93,2)),"n.a.")</x:f>
        <x:v>0</x:v>
      </x:c>
      <x:c r="L93" s="4"/>
    </x:row>
    <x:row r="94" ht="22" customHeight="1">
      <x:c r="A94" s="2"/>
      <x:c r="B94" s="2"/>
      <x:c r="C94" s="21" t="n">
        <x:f>78</x:f>
        <x:v>78</x:v>
      </x:c>
      <x:c r="D94" s="22" t="n">
        <x:f>IF($D$4="Ready",EDATE($D$9,C94-1),"n.a.")</x:f>
        <x:v>48670</x:v>
      </x:c>
      <x:c r="E94" s="4" t="n">
        <x:f>IF($D$4="Ready",K93,"n.a.")</x:f>
        <x:v>0</x:v>
      </x:c>
      <x:c r="F94" s="4" t="n">
        <x:f>IF($D$4="Ready",ROUND(E94*$D$6/12,2),"n.a.")</x:f>
        <x:v>0</x:v>
      </x:c>
      <x:c r="G94" s="4" t="n">
        <x:f>IF($D$4="Ready",IF(C94&gt;$D$7,0,IF(C94=$D$7,E94+F94,MIN($D$11,E94+F94))),"n.a.")</x:f>
        <x:v>0</x:v>
      </x:c>
      <x:c r="H94" s="4" t="n">
        <x:f>IF($D$4="Ready",MIN($D$8,MAX(0,E94+F94-G94)),"n.a.")</x:f>
        <x:v>0</x:v>
      </x:c>
      <x:c r="I94" s="4" t="n">
        <x:f>IF($D$4="Ready",ROUND(G94+H94,2),"n.a.")</x:f>
        <x:v>0</x:v>
      </x:c>
      <x:c r="J94" s="4" t="n">
        <x:f>IF($D$4="Ready",ROUND(I94-F94,2),"n.a.")</x:f>
        <x:v>0</x:v>
      </x:c>
      <x:c r="K94" s="4" t="n">
        <x:f>IF($D$4="Ready",MAX(0,ROUND(E94+F94-I94,2)),"n.a.")</x:f>
        <x:v>0</x:v>
      </x:c>
      <x:c r="L94" s="4"/>
    </x:row>
    <x:row r="95" ht="22" customHeight="1">
      <x:c r="A95" s="2"/>
      <x:c r="B95" s="2"/>
      <x:c r="C95" s="21" t="n">
        <x:f>79</x:f>
        <x:v>79</x:v>
      </x:c>
      <x:c r="D95" s="22" t="n">
        <x:f>IF($D$4="Ready",EDATE($D$9,C95-1),"n.a.")</x:f>
        <x:v>48700</x:v>
      </x:c>
      <x:c r="E95" s="4" t="n">
        <x:f>IF($D$4="Ready",K94,"n.a.")</x:f>
        <x:v>0</x:v>
      </x:c>
      <x:c r="F95" s="4" t="n">
        <x:f>IF($D$4="Ready",ROUND(E95*$D$6/12,2),"n.a.")</x:f>
        <x:v>0</x:v>
      </x:c>
      <x:c r="G95" s="4" t="n">
        <x:f>IF($D$4="Ready",IF(C95&gt;$D$7,0,IF(C95=$D$7,E95+F95,MIN($D$11,E95+F95))),"n.a.")</x:f>
        <x:v>0</x:v>
      </x:c>
      <x:c r="H95" s="4" t="n">
        <x:f>IF($D$4="Ready",MIN($D$8,MAX(0,E95+F95-G95)),"n.a.")</x:f>
        <x:v>0</x:v>
      </x:c>
      <x:c r="I95" s="4" t="n">
        <x:f>IF($D$4="Ready",ROUND(G95+H95,2),"n.a.")</x:f>
        <x:v>0</x:v>
      </x:c>
      <x:c r="J95" s="4" t="n">
        <x:f>IF($D$4="Ready",ROUND(I95-F95,2),"n.a.")</x:f>
        <x:v>0</x:v>
      </x:c>
      <x:c r="K95" s="4" t="n">
        <x:f>IF($D$4="Ready",MAX(0,ROUND(E95+F95-I95,2)),"n.a.")</x:f>
        <x:v>0</x:v>
      </x:c>
      <x:c r="L95" s="4"/>
    </x:row>
    <x:row r="96" ht="22" customHeight="1">
      <x:c r="A96" s="2"/>
      <x:c r="B96" s="2"/>
      <x:c r="C96" s="21" t="n">
        <x:f>80</x:f>
        <x:v>80</x:v>
      </x:c>
      <x:c r="D96" s="22" t="n">
        <x:f>IF($D$4="Ready",EDATE($D$9,C96-1),"n.a.")</x:f>
        <x:v>48731</x:v>
      </x:c>
      <x:c r="E96" s="4" t="n">
        <x:f>IF($D$4="Ready",K95,"n.a.")</x:f>
        <x:v>0</x:v>
      </x:c>
      <x:c r="F96" s="4" t="n">
        <x:f>IF($D$4="Ready",ROUND(E96*$D$6/12,2),"n.a.")</x:f>
        <x:v>0</x:v>
      </x:c>
      <x:c r="G96" s="4" t="n">
        <x:f>IF($D$4="Ready",IF(C96&gt;$D$7,0,IF(C96=$D$7,E96+F96,MIN($D$11,E96+F96))),"n.a.")</x:f>
        <x:v>0</x:v>
      </x:c>
      <x:c r="H96" s="4" t="n">
        <x:f>IF($D$4="Ready",MIN($D$8,MAX(0,E96+F96-G96)),"n.a.")</x:f>
        <x:v>0</x:v>
      </x:c>
      <x:c r="I96" s="4" t="n">
        <x:f>IF($D$4="Ready",ROUND(G96+H96,2),"n.a.")</x:f>
        <x:v>0</x:v>
      </x:c>
      <x:c r="J96" s="4" t="n">
        <x:f>IF($D$4="Ready",ROUND(I96-F96,2),"n.a.")</x:f>
        <x:v>0</x:v>
      </x:c>
      <x:c r="K96" s="4" t="n">
        <x:f>IF($D$4="Ready",MAX(0,ROUND(E96+F96-I96,2)),"n.a.")</x:f>
        <x:v>0</x:v>
      </x:c>
      <x:c r="L96" s="4"/>
    </x:row>
    <x:row r="97" ht="22" customHeight="1">
      <x:c r="A97" s="2"/>
      <x:c r="B97" s="2"/>
      <x:c r="C97" s="21" t="n">
        <x:f>81</x:f>
        <x:v>81</x:v>
      </x:c>
      <x:c r="D97" s="22" t="n">
        <x:f>IF($D$4="Ready",EDATE($D$9,C97-1),"n.a.")</x:f>
        <x:v>48761</x:v>
      </x:c>
      <x:c r="E97" s="4" t="n">
        <x:f>IF($D$4="Ready",K96,"n.a.")</x:f>
        <x:v>0</x:v>
      </x:c>
      <x:c r="F97" s="4" t="n">
        <x:f>IF($D$4="Ready",ROUND(E97*$D$6/12,2),"n.a.")</x:f>
        <x:v>0</x:v>
      </x:c>
      <x:c r="G97" s="4" t="n">
        <x:f>IF($D$4="Ready",IF(C97&gt;$D$7,0,IF(C97=$D$7,E97+F97,MIN($D$11,E97+F97))),"n.a.")</x:f>
        <x:v>0</x:v>
      </x:c>
      <x:c r="H97" s="4" t="n">
        <x:f>IF($D$4="Ready",MIN($D$8,MAX(0,E97+F97-G97)),"n.a.")</x:f>
        <x:v>0</x:v>
      </x:c>
      <x:c r="I97" s="4" t="n">
        <x:f>IF($D$4="Ready",ROUND(G97+H97,2),"n.a.")</x:f>
        <x:v>0</x:v>
      </x:c>
      <x:c r="J97" s="4" t="n">
        <x:f>IF($D$4="Ready",ROUND(I97-F97,2),"n.a.")</x:f>
        <x:v>0</x:v>
      </x:c>
      <x:c r="K97" s="4" t="n">
        <x:f>IF($D$4="Ready",MAX(0,ROUND(E97+F97-I97,2)),"n.a.")</x:f>
        <x:v>0</x:v>
      </x:c>
      <x:c r="L97" s="4"/>
    </x:row>
    <x:row r="98" ht="22" customHeight="1">
      <x:c r="A98" s="2"/>
      <x:c r="B98" s="2"/>
      <x:c r="C98" s="21" t="n">
        <x:f>82</x:f>
        <x:v>82</x:v>
      </x:c>
      <x:c r="D98" s="22" t="n">
        <x:f>IF($D$4="Ready",EDATE($D$9,C98-1),"n.a.")</x:f>
        <x:v>48792</x:v>
      </x:c>
      <x:c r="E98" s="4" t="n">
        <x:f>IF($D$4="Ready",K97,"n.a.")</x:f>
        <x:v>0</x:v>
      </x:c>
      <x:c r="F98" s="4" t="n">
        <x:f>IF($D$4="Ready",ROUND(E98*$D$6/12,2),"n.a.")</x:f>
        <x:v>0</x:v>
      </x:c>
      <x:c r="G98" s="4" t="n">
        <x:f>IF($D$4="Ready",IF(C98&gt;$D$7,0,IF(C98=$D$7,E98+F98,MIN($D$11,E98+F98))),"n.a.")</x:f>
        <x:v>0</x:v>
      </x:c>
      <x:c r="H98" s="4" t="n">
        <x:f>IF($D$4="Ready",MIN($D$8,MAX(0,E98+F98-G98)),"n.a.")</x:f>
        <x:v>0</x:v>
      </x:c>
      <x:c r="I98" s="4" t="n">
        <x:f>IF($D$4="Ready",ROUND(G98+H98,2),"n.a.")</x:f>
        <x:v>0</x:v>
      </x:c>
      <x:c r="J98" s="4" t="n">
        <x:f>IF($D$4="Ready",ROUND(I98-F98,2),"n.a.")</x:f>
        <x:v>0</x:v>
      </x:c>
      <x:c r="K98" s="4" t="n">
        <x:f>IF($D$4="Ready",MAX(0,ROUND(E98+F98-I98,2)),"n.a.")</x:f>
        <x:v>0</x:v>
      </x:c>
      <x:c r="L98" s="4"/>
    </x:row>
    <x:row r="99" ht="22" customHeight="1">
      <x:c r="A99" s="2"/>
      <x:c r="B99" s="2"/>
      <x:c r="C99" s="21" t="n">
        <x:f>83</x:f>
        <x:v>83</x:v>
      </x:c>
      <x:c r="D99" s="22" t="n">
        <x:f>IF($D$4="Ready",EDATE($D$9,C99-1),"n.a.")</x:f>
        <x:v>48823</x:v>
      </x:c>
      <x:c r="E99" s="4" t="n">
        <x:f>IF($D$4="Ready",K98,"n.a.")</x:f>
        <x:v>0</x:v>
      </x:c>
      <x:c r="F99" s="4" t="n">
        <x:f>IF($D$4="Ready",ROUND(E99*$D$6/12,2),"n.a.")</x:f>
        <x:v>0</x:v>
      </x:c>
      <x:c r="G99" s="4" t="n">
        <x:f>IF($D$4="Ready",IF(C99&gt;$D$7,0,IF(C99=$D$7,E99+F99,MIN($D$11,E99+F99))),"n.a.")</x:f>
        <x:v>0</x:v>
      </x:c>
      <x:c r="H99" s="4" t="n">
        <x:f>IF($D$4="Ready",MIN($D$8,MAX(0,E99+F99-G99)),"n.a.")</x:f>
        <x:v>0</x:v>
      </x:c>
      <x:c r="I99" s="4" t="n">
        <x:f>IF($D$4="Ready",ROUND(G99+H99,2),"n.a.")</x:f>
        <x:v>0</x:v>
      </x:c>
      <x:c r="J99" s="4" t="n">
        <x:f>IF($D$4="Ready",ROUND(I99-F99,2),"n.a.")</x:f>
        <x:v>0</x:v>
      </x:c>
      <x:c r="K99" s="4" t="n">
        <x:f>IF($D$4="Ready",MAX(0,ROUND(E99+F99-I99,2)),"n.a.")</x:f>
        <x:v>0</x:v>
      </x:c>
      <x:c r="L99" s="4"/>
    </x:row>
    <x:row r="100" ht="22" customHeight="1">
      <x:c r="A100" s="2"/>
      <x:c r="B100" s="2"/>
      <x:c r="C100" s="21" t="n">
        <x:f>84</x:f>
        <x:v>84</x:v>
      </x:c>
      <x:c r="D100" s="22" t="n">
        <x:f>IF($D$4="Ready",EDATE($D$9,C100-1),"n.a.")</x:f>
        <x:v>48853</x:v>
      </x:c>
      <x:c r="E100" s="4" t="n">
        <x:f>IF($D$4="Ready",K99,"n.a.")</x:f>
        <x:v>0</x:v>
      </x:c>
      <x:c r="F100" s="4" t="n">
        <x:f>IF($D$4="Ready",ROUND(E100*$D$6/12,2),"n.a.")</x:f>
        <x:v>0</x:v>
      </x:c>
      <x:c r="G100" s="4" t="n">
        <x:f>IF($D$4="Ready",IF(C100&gt;$D$7,0,IF(C100=$D$7,E100+F100,MIN($D$11,E100+F100))),"n.a.")</x:f>
        <x:v>0</x:v>
      </x:c>
      <x:c r="H100" s="4" t="n">
        <x:f>IF($D$4="Ready",MIN($D$8,MAX(0,E100+F100-G100)),"n.a.")</x:f>
        <x:v>0</x:v>
      </x:c>
      <x:c r="I100" s="4" t="n">
        <x:f>IF($D$4="Ready",ROUND(G100+H100,2),"n.a.")</x:f>
        <x:v>0</x:v>
      </x:c>
      <x:c r="J100" s="4" t="n">
        <x:f>IF($D$4="Ready",ROUND(I100-F100,2),"n.a.")</x:f>
        <x:v>0</x:v>
      </x:c>
      <x:c r="K100" s="4" t="n">
        <x:f>IF($D$4="Ready",MAX(0,ROUND(E100+F100-I100,2)),"n.a.")</x:f>
        <x:v>0</x:v>
      </x:c>
      <x:c r="L100" s="4"/>
    </x:row>
    <x:row r="101" ht="22" customHeight="1">
      <x:c r="A101" s="2"/>
      <x:c r="B101" s="2"/>
      <x:c r="C101" s="21" t="n">
        <x:f>85</x:f>
        <x:v>85</x:v>
      </x:c>
      <x:c r="D101" s="22" t="n">
        <x:f>IF($D$4="Ready",EDATE($D$9,C101-1),"n.a.")</x:f>
        <x:v>48884</x:v>
      </x:c>
      <x:c r="E101" s="4" t="n">
        <x:f>IF($D$4="Ready",K100,"n.a.")</x:f>
        <x:v>0</x:v>
      </x:c>
      <x:c r="F101" s="4" t="n">
        <x:f>IF($D$4="Ready",ROUND(E101*$D$6/12,2),"n.a.")</x:f>
        <x:v>0</x:v>
      </x:c>
      <x:c r="G101" s="4" t="n">
        <x:f>IF($D$4="Ready",IF(C101&gt;$D$7,0,IF(C101=$D$7,E101+F101,MIN($D$11,E101+F101))),"n.a.")</x:f>
        <x:v>0</x:v>
      </x:c>
      <x:c r="H101" s="4" t="n">
        <x:f>IF($D$4="Ready",MIN($D$8,MAX(0,E101+F101-G101)),"n.a.")</x:f>
        <x:v>0</x:v>
      </x:c>
      <x:c r="I101" s="4" t="n">
        <x:f>IF($D$4="Ready",ROUND(G101+H101,2),"n.a.")</x:f>
        <x:v>0</x:v>
      </x:c>
      <x:c r="J101" s="4" t="n">
        <x:f>IF($D$4="Ready",ROUND(I101-F101,2),"n.a.")</x:f>
        <x:v>0</x:v>
      </x:c>
      <x:c r="K101" s="4" t="n">
        <x:f>IF($D$4="Ready",MAX(0,ROUND(E101+F101-I101,2)),"n.a.")</x:f>
        <x:v>0</x:v>
      </x:c>
      <x:c r="L101" s="4"/>
    </x:row>
    <x:row r="102" ht="22" customHeight="1">
      <x:c r="A102" s="2"/>
      <x:c r="B102" s="2"/>
      <x:c r="C102" s="21" t="n">
        <x:f>86</x:f>
        <x:v>86</x:v>
      </x:c>
      <x:c r="D102" s="22" t="n">
        <x:f>IF($D$4="Ready",EDATE($D$9,C102-1),"n.a.")</x:f>
        <x:v>48914</x:v>
      </x:c>
      <x:c r="E102" s="4" t="n">
        <x:f>IF($D$4="Ready",K101,"n.a.")</x:f>
        <x:v>0</x:v>
      </x:c>
      <x:c r="F102" s="4" t="n">
        <x:f>IF($D$4="Ready",ROUND(E102*$D$6/12,2),"n.a.")</x:f>
        <x:v>0</x:v>
      </x:c>
      <x:c r="G102" s="4" t="n">
        <x:f>IF($D$4="Ready",IF(C102&gt;$D$7,0,IF(C102=$D$7,E102+F102,MIN($D$11,E102+F102))),"n.a.")</x:f>
        <x:v>0</x:v>
      </x:c>
      <x:c r="H102" s="4" t="n">
        <x:f>IF($D$4="Ready",MIN($D$8,MAX(0,E102+F102-G102)),"n.a.")</x:f>
        <x:v>0</x:v>
      </x:c>
      <x:c r="I102" s="4" t="n">
        <x:f>IF($D$4="Ready",ROUND(G102+H102,2),"n.a.")</x:f>
        <x:v>0</x:v>
      </x:c>
      <x:c r="J102" s="4" t="n">
        <x:f>IF($D$4="Ready",ROUND(I102-F102,2),"n.a.")</x:f>
        <x:v>0</x:v>
      </x:c>
      <x:c r="K102" s="4" t="n">
        <x:f>IF($D$4="Ready",MAX(0,ROUND(E102+F102-I102,2)),"n.a.")</x:f>
        <x:v>0</x:v>
      </x:c>
      <x:c r="L102" s="4"/>
    </x:row>
    <x:row r="103" ht="22" customHeight="1">
      <x:c r="A103" s="2"/>
      <x:c r="B103" s="2"/>
      <x:c r="C103" s="21" t="n">
        <x:f>87</x:f>
        <x:v>87</x:v>
      </x:c>
      <x:c r="D103" s="22" t="n">
        <x:f>IF($D$4="Ready",EDATE($D$9,C103-1),"n.a.")</x:f>
        <x:v>48945</x:v>
      </x:c>
      <x:c r="E103" s="4" t="n">
        <x:f>IF($D$4="Ready",K102,"n.a.")</x:f>
        <x:v>0</x:v>
      </x:c>
      <x:c r="F103" s="4" t="n">
        <x:f>IF($D$4="Ready",ROUND(E103*$D$6/12,2),"n.a.")</x:f>
        <x:v>0</x:v>
      </x:c>
      <x:c r="G103" s="4" t="n">
        <x:f>IF($D$4="Ready",IF(C103&gt;$D$7,0,IF(C103=$D$7,E103+F103,MIN($D$11,E103+F103))),"n.a.")</x:f>
        <x:v>0</x:v>
      </x:c>
      <x:c r="H103" s="4" t="n">
        <x:f>IF($D$4="Ready",MIN($D$8,MAX(0,E103+F103-G103)),"n.a.")</x:f>
        <x:v>0</x:v>
      </x:c>
      <x:c r="I103" s="4" t="n">
        <x:f>IF($D$4="Ready",ROUND(G103+H103,2),"n.a.")</x:f>
        <x:v>0</x:v>
      </x:c>
      <x:c r="J103" s="4" t="n">
        <x:f>IF($D$4="Ready",ROUND(I103-F103,2),"n.a.")</x:f>
        <x:v>0</x:v>
      </x:c>
      <x:c r="K103" s="4" t="n">
        <x:f>IF($D$4="Ready",MAX(0,ROUND(E103+F103-I103,2)),"n.a.")</x:f>
        <x:v>0</x:v>
      </x:c>
      <x:c r="L103" s="4"/>
    </x:row>
    <x:row r="104" ht="22" customHeight="1">
      <x:c r="A104" s="2"/>
      <x:c r="B104" s="2"/>
      <x:c r="C104" s="21" t="n">
        <x:f>88</x:f>
        <x:v>88</x:v>
      </x:c>
      <x:c r="D104" s="22" t="n">
        <x:f>IF($D$4="Ready",EDATE($D$9,C104-1),"n.a.")</x:f>
        <x:v>48976</x:v>
      </x:c>
      <x:c r="E104" s="4" t="n">
        <x:f>IF($D$4="Ready",K103,"n.a.")</x:f>
        <x:v>0</x:v>
      </x:c>
      <x:c r="F104" s="4" t="n">
        <x:f>IF($D$4="Ready",ROUND(E104*$D$6/12,2),"n.a.")</x:f>
        <x:v>0</x:v>
      </x:c>
      <x:c r="G104" s="4" t="n">
        <x:f>IF($D$4="Ready",IF(C104&gt;$D$7,0,IF(C104=$D$7,E104+F104,MIN($D$11,E104+F104))),"n.a.")</x:f>
        <x:v>0</x:v>
      </x:c>
      <x:c r="H104" s="4" t="n">
        <x:f>IF($D$4="Ready",MIN($D$8,MAX(0,E104+F104-G104)),"n.a.")</x:f>
        <x:v>0</x:v>
      </x:c>
      <x:c r="I104" s="4" t="n">
        <x:f>IF($D$4="Ready",ROUND(G104+H104,2),"n.a.")</x:f>
        <x:v>0</x:v>
      </x:c>
      <x:c r="J104" s="4" t="n">
        <x:f>IF($D$4="Ready",ROUND(I104-F104,2),"n.a.")</x:f>
        <x:v>0</x:v>
      </x:c>
      <x:c r="K104" s="4" t="n">
        <x:f>IF($D$4="Ready",MAX(0,ROUND(E104+F104-I104,2)),"n.a.")</x:f>
        <x:v>0</x:v>
      </x:c>
      <x:c r="L104" s="4"/>
    </x:row>
    <x:row r="105" ht="22" customHeight="1">
      <x:c r="A105" s="2"/>
      <x:c r="B105" s="2"/>
      <x:c r="C105" s="21" t="n">
        <x:f>89</x:f>
        <x:v>89</x:v>
      </x:c>
      <x:c r="D105" s="22" t="n">
        <x:f>IF($D$4="Ready",EDATE($D$9,C105-1),"n.a.")</x:f>
        <x:v>49004</x:v>
      </x:c>
      <x:c r="E105" s="4" t="n">
        <x:f>IF($D$4="Ready",K104,"n.a.")</x:f>
        <x:v>0</x:v>
      </x:c>
      <x:c r="F105" s="4" t="n">
        <x:f>IF($D$4="Ready",ROUND(E105*$D$6/12,2),"n.a.")</x:f>
        <x:v>0</x:v>
      </x:c>
      <x:c r="G105" s="4" t="n">
        <x:f>IF($D$4="Ready",IF(C105&gt;$D$7,0,IF(C105=$D$7,E105+F105,MIN($D$11,E105+F105))),"n.a.")</x:f>
        <x:v>0</x:v>
      </x:c>
      <x:c r="H105" s="4" t="n">
        <x:f>IF($D$4="Ready",MIN($D$8,MAX(0,E105+F105-G105)),"n.a.")</x:f>
        <x:v>0</x:v>
      </x:c>
      <x:c r="I105" s="4" t="n">
        <x:f>IF($D$4="Ready",ROUND(G105+H105,2),"n.a.")</x:f>
        <x:v>0</x:v>
      </x:c>
      <x:c r="J105" s="4" t="n">
        <x:f>IF($D$4="Ready",ROUND(I105-F105,2),"n.a.")</x:f>
        <x:v>0</x:v>
      </x:c>
      <x:c r="K105" s="4" t="n">
        <x:f>IF($D$4="Ready",MAX(0,ROUND(E105+F105-I105,2)),"n.a.")</x:f>
        <x:v>0</x:v>
      </x:c>
      <x:c r="L105" s="4"/>
    </x:row>
    <x:row r="106" ht="22" customHeight="1">
      <x:c r="A106" s="2"/>
      <x:c r="B106" s="2"/>
      <x:c r="C106" s="21" t="n">
        <x:f>90</x:f>
        <x:v>90</x:v>
      </x:c>
      <x:c r="D106" s="22" t="n">
        <x:f>IF($D$4="Ready",EDATE($D$9,C106-1),"n.a.")</x:f>
        <x:v>49035</x:v>
      </x:c>
      <x:c r="E106" s="4" t="n">
        <x:f>IF($D$4="Ready",K105,"n.a.")</x:f>
        <x:v>0</x:v>
      </x:c>
      <x:c r="F106" s="4" t="n">
        <x:f>IF($D$4="Ready",ROUND(E106*$D$6/12,2),"n.a.")</x:f>
        <x:v>0</x:v>
      </x:c>
      <x:c r="G106" s="4" t="n">
        <x:f>IF($D$4="Ready",IF(C106&gt;$D$7,0,IF(C106=$D$7,E106+F106,MIN($D$11,E106+F106))),"n.a.")</x:f>
        <x:v>0</x:v>
      </x:c>
      <x:c r="H106" s="4" t="n">
        <x:f>IF($D$4="Ready",MIN($D$8,MAX(0,E106+F106-G106)),"n.a.")</x:f>
        <x:v>0</x:v>
      </x:c>
      <x:c r="I106" s="4" t="n">
        <x:f>IF($D$4="Ready",ROUND(G106+H106,2),"n.a.")</x:f>
        <x:v>0</x:v>
      </x:c>
      <x:c r="J106" s="4" t="n">
        <x:f>IF($D$4="Ready",ROUND(I106-F106,2),"n.a.")</x:f>
        <x:v>0</x:v>
      </x:c>
      <x:c r="K106" s="4" t="n">
        <x:f>IF($D$4="Ready",MAX(0,ROUND(E106+F106-I106,2)),"n.a.")</x:f>
        <x:v>0</x:v>
      </x:c>
      <x:c r="L106" s="4"/>
    </x:row>
    <x:row r="107" ht="22" customHeight="1">
      <x:c r="A107" s="2"/>
      <x:c r="B107" s="2"/>
      <x:c r="C107" s="21" t="n">
        <x:f>91</x:f>
        <x:v>91</x:v>
      </x:c>
      <x:c r="D107" s="22" t="n">
        <x:f>IF($D$4="Ready",EDATE($D$9,C107-1),"n.a.")</x:f>
        <x:v>49065</x:v>
      </x:c>
      <x:c r="E107" s="4" t="n">
        <x:f>IF($D$4="Ready",K106,"n.a.")</x:f>
        <x:v>0</x:v>
      </x:c>
      <x:c r="F107" s="4" t="n">
        <x:f>IF($D$4="Ready",ROUND(E107*$D$6/12,2),"n.a.")</x:f>
        <x:v>0</x:v>
      </x:c>
      <x:c r="G107" s="4" t="n">
        <x:f>IF($D$4="Ready",IF(C107&gt;$D$7,0,IF(C107=$D$7,E107+F107,MIN($D$11,E107+F107))),"n.a.")</x:f>
        <x:v>0</x:v>
      </x:c>
      <x:c r="H107" s="4" t="n">
        <x:f>IF($D$4="Ready",MIN($D$8,MAX(0,E107+F107-G107)),"n.a.")</x:f>
        <x:v>0</x:v>
      </x:c>
      <x:c r="I107" s="4" t="n">
        <x:f>IF($D$4="Ready",ROUND(G107+H107,2),"n.a.")</x:f>
        <x:v>0</x:v>
      </x:c>
      <x:c r="J107" s="4" t="n">
        <x:f>IF($D$4="Ready",ROUND(I107-F107,2),"n.a.")</x:f>
        <x:v>0</x:v>
      </x:c>
      <x:c r="K107" s="4" t="n">
        <x:f>IF($D$4="Ready",MAX(0,ROUND(E107+F107-I107,2)),"n.a.")</x:f>
        <x:v>0</x:v>
      </x:c>
      <x:c r="L107" s="4"/>
    </x:row>
    <x:row r="108" ht="22" customHeight="1">
      <x:c r="A108" s="2"/>
      <x:c r="B108" s="2"/>
      <x:c r="C108" s="21" t="n">
        <x:f>92</x:f>
        <x:v>92</x:v>
      </x:c>
      <x:c r="D108" s="22" t="n">
        <x:f>IF($D$4="Ready",EDATE($D$9,C108-1),"n.a.")</x:f>
        <x:v>49096</x:v>
      </x:c>
      <x:c r="E108" s="4" t="n">
        <x:f>IF($D$4="Ready",K107,"n.a.")</x:f>
        <x:v>0</x:v>
      </x:c>
      <x:c r="F108" s="4" t="n">
        <x:f>IF($D$4="Ready",ROUND(E108*$D$6/12,2),"n.a.")</x:f>
        <x:v>0</x:v>
      </x:c>
      <x:c r="G108" s="4" t="n">
        <x:f>IF($D$4="Ready",IF(C108&gt;$D$7,0,IF(C108=$D$7,E108+F108,MIN($D$11,E108+F108))),"n.a.")</x:f>
        <x:v>0</x:v>
      </x:c>
      <x:c r="H108" s="4" t="n">
        <x:f>IF($D$4="Ready",MIN($D$8,MAX(0,E108+F108-G108)),"n.a.")</x:f>
        <x:v>0</x:v>
      </x:c>
      <x:c r="I108" s="4" t="n">
        <x:f>IF($D$4="Ready",ROUND(G108+H108,2),"n.a.")</x:f>
        <x:v>0</x:v>
      </x:c>
      <x:c r="J108" s="4" t="n">
        <x:f>IF($D$4="Ready",ROUND(I108-F108,2),"n.a.")</x:f>
        <x:v>0</x:v>
      </x:c>
      <x:c r="K108" s="4" t="n">
        <x:f>IF($D$4="Ready",MAX(0,ROUND(E108+F108-I108,2)),"n.a.")</x:f>
        <x:v>0</x:v>
      </x:c>
      <x:c r="L108" s="4"/>
    </x:row>
    <x:row r="109" ht="22" customHeight="1">
      <x:c r="A109" s="2"/>
      <x:c r="B109" s="2"/>
      <x:c r="C109" s="21" t="n">
        <x:f>93</x:f>
        <x:v>93</x:v>
      </x:c>
      <x:c r="D109" s="22" t="n">
        <x:f>IF($D$4="Ready",EDATE($D$9,C109-1),"n.a.")</x:f>
        <x:v>49126</x:v>
      </x:c>
      <x:c r="E109" s="4" t="n">
        <x:f>IF($D$4="Ready",K108,"n.a.")</x:f>
        <x:v>0</x:v>
      </x:c>
      <x:c r="F109" s="4" t="n">
        <x:f>IF($D$4="Ready",ROUND(E109*$D$6/12,2),"n.a.")</x:f>
        <x:v>0</x:v>
      </x:c>
      <x:c r="G109" s="4" t="n">
        <x:f>IF($D$4="Ready",IF(C109&gt;$D$7,0,IF(C109=$D$7,E109+F109,MIN($D$11,E109+F109))),"n.a.")</x:f>
        <x:v>0</x:v>
      </x:c>
      <x:c r="H109" s="4" t="n">
        <x:f>IF($D$4="Ready",MIN($D$8,MAX(0,E109+F109-G109)),"n.a.")</x:f>
        <x:v>0</x:v>
      </x:c>
      <x:c r="I109" s="4" t="n">
        <x:f>IF($D$4="Ready",ROUND(G109+H109,2),"n.a.")</x:f>
        <x:v>0</x:v>
      </x:c>
      <x:c r="J109" s="4" t="n">
        <x:f>IF($D$4="Ready",ROUND(I109-F109,2),"n.a.")</x:f>
        <x:v>0</x:v>
      </x:c>
      <x:c r="K109" s="4" t="n">
        <x:f>IF($D$4="Ready",MAX(0,ROUND(E109+F109-I109,2)),"n.a.")</x:f>
        <x:v>0</x:v>
      </x:c>
      <x:c r="L109" s="4"/>
    </x:row>
    <x:row r="110" ht="22" customHeight="1">
      <x:c r="A110" s="2"/>
      <x:c r="B110" s="2"/>
      <x:c r="C110" s="21" t="n">
        <x:f>94</x:f>
        <x:v>94</x:v>
      </x:c>
      <x:c r="D110" s="22" t="n">
        <x:f>IF($D$4="Ready",EDATE($D$9,C110-1),"n.a.")</x:f>
        <x:v>49157</x:v>
      </x:c>
      <x:c r="E110" s="4" t="n">
        <x:f>IF($D$4="Ready",K109,"n.a.")</x:f>
        <x:v>0</x:v>
      </x:c>
      <x:c r="F110" s="4" t="n">
        <x:f>IF($D$4="Ready",ROUND(E110*$D$6/12,2),"n.a.")</x:f>
        <x:v>0</x:v>
      </x:c>
      <x:c r="G110" s="4" t="n">
        <x:f>IF($D$4="Ready",IF(C110&gt;$D$7,0,IF(C110=$D$7,E110+F110,MIN($D$11,E110+F110))),"n.a.")</x:f>
        <x:v>0</x:v>
      </x:c>
      <x:c r="H110" s="4" t="n">
        <x:f>IF($D$4="Ready",MIN($D$8,MAX(0,E110+F110-G110)),"n.a.")</x:f>
        <x:v>0</x:v>
      </x:c>
      <x:c r="I110" s="4" t="n">
        <x:f>IF($D$4="Ready",ROUND(G110+H110,2),"n.a.")</x:f>
        <x:v>0</x:v>
      </x:c>
      <x:c r="J110" s="4" t="n">
        <x:f>IF($D$4="Ready",ROUND(I110-F110,2),"n.a.")</x:f>
        <x:v>0</x:v>
      </x:c>
      <x:c r="K110" s="4" t="n">
        <x:f>IF($D$4="Ready",MAX(0,ROUND(E110+F110-I110,2)),"n.a.")</x:f>
        <x:v>0</x:v>
      </x:c>
      <x:c r="L110" s="4"/>
    </x:row>
    <x:row r="111" ht="22" customHeight="1">
      <x:c r="A111" s="2"/>
      <x:c r="B111" s="2"/>
      <x:c r="C111" s="21" t="n">
        <x:f>95</x:f>
        <x:v>95</x:v>
      </x:c>
      <x:c r="D111" s="22" t="n">
        <x:f>IF($D$4="Ready",EDATE($D$9,C111-1),"n.a.")</x:f>
        <x:v>49188</x:v>
      </x:c>
      <x:c r="E111" s="4" t="n">
        <x:f>IF($D$4="Ready",K110,"n.a.")</x:f>
        <x:v>0</x:v>
      </x:c>
      <x:c r="F111" s="4" t="n">
        <x:f>IF($D$4="Ready",ROUND(E111*$D$6/12,2),"n.a.")</x:f>
        <x:v>0</x:v>
      </x:c>
      <x:c r="G111" s="4" t="n">
        <x:f>IF($D$4="Ready",IF(C111&gt;$D$7,0,IF(C111=$D$7,E111+F111,MIN($D$11,E111+F111))),"n.a.")</x:f>
        <x:v>0</x:v>
      </x:c>
      <x:c r="H111" s="4" t="n">
        <x:f>IF($D$4="Ready",MIN($D$8,MAX(0,E111+F111-G111)),"n.a.")</x:f>
        <x:v>0</x:v>
      </x:c>
      <x:c r="I111" s="4" t="n">
        <x:f>IF($D$4="Ready",ROUND(G111+H111,2),"n.a.")</x:f>
        <x:v>0</x:v>
      </x:c>
      <x:c r="J111" s="4" t="n">
        <x:f>IF($D$4="Ready",ROUND(I111-F111,2),"n.a.")</x:f>
        <x:v>0</x:v>
      </x:c>
      <x:c r="K111" s="4" t="n">
        <x:f>IF($D$4="Ready",MAX(0,ROUND(E111+F111-I111,2)),"n.a.")</x:f>
        <x:v>0</x:v>
      </x:c>
      <x:c r="L111" s="4"/>
    </x:row>
    <x:row r="112" ht="22" customHeight="1">
      <x:c r="A112" s="2"/>
      <x:c r="B112" s="2"/>
      <x:c r="C112" s="21" t="n">
        <x:f>96</x:f>
        <x:v>96</x:v>
      </x:c>
      <x:c r="D112" s="22" t="n">
        <x:f>IF($D$4="Ready",EDATE($D$9,C112-1),"n.a.")</x:f>
        <x:v>49218</x:v>
      </x:c>
      <x:c r="E112" s="4" t="n">
        <x:f>IF($D$4="Ready",K111,"n.a.")</x:f>
        <x:v>0</x:v>
      </x:c>
      <x:c r="F112" s="4" t="n">
        <x:f>IF($D$4="Ready",ROUND(E112*$D$6/12,2),"n.a.")</x:f>
        <x:v>0</x:v>
      </x:c>
      <x:c r="G112" s="4" t="n">
        <x:f>IF($D$4="Ready",IF(C112&gt;$D$7,0,IF(C112=$D$7,E112+F112,MIN($D$11,E112+F112))),"n.a.")</x:f>
        <x:v>0</x:v>
      </x:c>
      <x:c r="H112" s="4" t="n">
        <x:f>IF($D$4="Ready",MIN($D$8,MAX(0,E112+F112-G112)),"n.a.")</x:f>
        <x:v>0</x:v>
      </x:c>
      <x:c r="I112" s="4" t="n">
        <x:f>IF($D$4="Ready",ROUND(G112+H112,2),"n.a.")</x:f>
        <x:v>0</x:v>
      </x:c>
      <x:c r="J112" s="4" t="n">
        <x:f>IF($D$4="Ready",ROUND(I112-F112,2),"n.a.")</x:f>
        <x:v>0</x:v>
      </x:c>
      <x:c r="K112" s="4" t="n">
        <x:f>IF($D$4="Ready",MAX(0,ROUND(E112+F112-I112,2)),"n.a.")</x:f>
        <x:v>0</x:v>
      </x:c>
      <x:c r="L112" s="4"/>
    </x:row>
    <x:row r="113" ht="22" customHeight="1">
      <x:c r="A113" s="2"/>
      <x:c r="B113" s="2"/>
      <x:c r="C113" s="21" t="n">
        <x:f>97</x:f>
        <x:v>97</x:v>
      </x:c>
      <x:c r="D113" s="22" t="n">
        <x:f>IF($D$4="Ready",EDATE($D$9,C113-1),"n.a.")</x:f>
        <x:v>49249</x:v>
      </x:c>
      <x:c r="E113" s="4" t="n">
        <x:f>IF($D$4="Ready",K112,"n.a.")</x:f>
        <x:v>0</x:v>
      </x:c>
      <x:c r="F113" s="4" t="n">
        <x:f>IF($D$4="Ready",ROUND(E113*$D$6/12,2),"n.a.")</x:f>
        <x:v>0</x:v>
      </x:c>
      <x:c r="G113" s="4" t="n">
        <x:f>IF($D$4="Ready",IF(C113&gt;$D$7,0,IF(C113=$D$7,E113+F113,MIN($D$11,E113+F113))),"n.a.")</x:f>
        <x:v>0</x:v>
      </x:c>
      <x:c r="H113" s="4" t="n">
        <x:f>IF($D$4="Ready",MIN($D$8,MAX(0,E113+F113-G113)),"n.a.")</x:f>
        <x:v>0</x:v>
      </x:c>
      <x:c r="I113" s="4" t="n">
        <x:f>IF($D$4="Ready",ROUND(G113+H113,2),"n.a.")</x:f>
        <x:v>0</x:v>
      </x:c>
      <x:c r="J113" s="4" t="n">
        <x:f>IF($D$4="Ready",ROUND(I113-F113,2),"n.a.")</x:f>
        <x:v>0</x:v>
      </x:c>
      <x:c r="K113" s="4" t="n">
        <x:f>IF($D$4="Ready",MAX(0,ROUND(E113+F113-I113,2)),"n.a.")</x:f>
        <x:v>0</x:v>
      </x:c>
      <x:c r="L113" s="4"/>
    </x:row>
    <x:row r="114" ht="22" customHeight="1">
      <x:c r="A114" s="2"/>
      <x:c r="B114" s="2"/>
      <x:c r="C114" s="21" t="n">
        <x:f>98</x:f>
        <x:v>98</x:v>
      </x:c>
      <x:c r="D114" s="22" t="n">
        <x:f>IF($D$4="Ready",EDATE($D$9,C114-1),"n.a.")</x:f>
        <x:v>49279</x:v>
      </x:c>
      <x:c r="E114" s="4" t="n">
        <x:f>IF($D$4="Ready",K113,"n.a.")</x:f>
        <x:v>0</x:v>
      </x:c>
      <x:c r="F114" s="4" t="n">
        <x:f>IF($D$4="Ready",ROUND(E114*$D$6/12,2),"n.a.")</x:f>
        <x:v>0</x:v>
      </x:c>
      <x:c r="G114" s="4" t="n">
        <x:f>IF($D$4="Ready",IF(C114&gt;$D$7,0,IF(C114=$D$7,E114+F114,MIN($D$11,E114+F114))),"n.a.")</x:f>
        <x:v>0</x:v>
      </x:c>
      <x:c r="H114" s="4" t="n">
        <x:f>IF($D$4="Ready",MIN($D$8,MAX(0,E114+F114-G114)),"n.a.")</x:f>
        <x:v>0</x:v>
      </x:c>
      <x:c r="I114" s="4" t="n">
        <x:f>IF($D$4="Ready",ROUND(G114+H114,2),"n.a.")</x:f>
        <x:v>0</x:v>
      </x:c>
      <x:c r="J114" s="4" t="n">
        <x:f>IF($D$4="Ready",ROUND(I114-F114,2),"n.a.")</x:f>
        <x:v>0</x:v>
      </x:c>
      <x:c r="K114" s="4" t="n">
        <x:f>IF($D$4="Ready",MAX(0,ROUND(E114+F114-I114,2)),"n.a.")</x:f>
        <x:v>0</x:v>
      </x:c>
      <x:c r="L114" s="4"/>
    </x:row>
    <x:row r="115" ht="22" customHeight="1">
      <x:c r="A115" s="2"/>
      <x:c r="B115" s="2"/>
      <x:c r="C115" s="21" t="n">
        <x:f>99</x:f>
        <x:v>99</x:v>
      </x:c>
      <x:c r="D115" s="22" t="n">
        <x:f>IF($D$4="Ready",EDATE($D$9,C115-1),"n.a.")</x:f>
        <x:v>49310</x:v>
      </x:c>
      <x:c r="E115" s="4" t="n">
        <x:f>IF($D$4="Ready",K114,"n.a.")</x:f>
        <x:v>0</x:v>
      </x:c>
      <x:c r="F115" s="4" t="n">
        <x:f>IF($D$4="Ready",ROUND(E115*$D$6/12,2),"n.a.")</x:f>
        <x:v>0</x:v>
      </x:c>
      <x:c r="G115" s="4" t="n">
        <x:f>IF($D$4="Ready",IF(C115&gt;$D$7,0,IF(C115=$D$7,E115+F115,MIN($D$11,E115+F115))),"n.a.")</x:f>
        <x:v>0</x:v>
      </x:c>
      <x:c r="H115" s="4" t="n">
        <x:f>IF($D$4="Ready",MIN($D$8,MAX(0,E115+F115-G115)),"n.a.")</x:f>
        <x:v>0</x:v>
      </x:c>
      <x:c r="I115" s="4" t="n">
        <x:f>IF($D$4="Ready",ROUND(G115+H115,2),"n.a.")</x:f>
        <x:v>0</x:v>
      </x:c>
      <x:c r="J115" s="4" t="n">
        <x:f>IF($D$4="Ready",ROUND(I115-F115,2),"n.a.")</x:f>
        <x:v>0</x:v>
      </x:c>
      <x:c r="K115" s="4" t="n">
        <x:f>IF($D$4="Ready",MAX(0,ROUND(E115+F115-I115,2)),"n.a.")</x:f>
        <x:v>0</x:v>
      </x:c>
      <x:c r="L115" s="4"/>
    </x:row>
    <x:row r="116" ht="22" customHeight="1">
      <x:c r="A116" s="2"/>
      <x:c r="B116" s="2"/>
      <x:c r="C116" s="21" t="n">
        <x:f>100</x:f>
        <x:v>100</x:v>
      </x:c>
      <x:c r="D116" s="22" t="n">
        <x:f>IF($D$4="Ready",EDATE($D$9,C116-1),"n.a.")</x:f>
        <x:v>49341</x:v>
      </x:c>
      <x:c r="E116" s="4" t="n">
        <x:f>IF($D$4="Ready",K115,"n.a.")</x:f>
        <x:v>0</x:v>
      </x:c>
      <x:c r="F116" s="4" t="n">
        <x:f>IF($D$4="Ready",ROUND(E116*$D$6/12,2),"n.a.")</x:f>
        <x:v>0</x:v>
      </x:c>
      <x:c r="G116" s="4" t="n">
        <x:f>IF($D$4="Ready",IF(C116&gt;$D$7,0,IF(C116=$D$7,E116+F116,MIN($D$11,E116+F116))),"n.a.")</x:f>
        <x:v>0</x:v>
      </x:c>
      <x:c r="H116" s="4" t="n">
        <x:f>IF($D$4="Ready",MIN($D$8,MAX(0,E116+F116-G116)),"n.a.")</x:f>
        <x:v>0</x:v>
      </x:c>
      <x:c r="I116" s="4" t="n">
        <x:f>IF($D$4="Ready",ROUND(G116+H116,2),"n.a.")</x:f>
        <x:v>0</x:v>
      </x:c>
      <x:c r="J116" s="4" t="n">
        <x:f>IF($D$4="Ready",ROUND(I116-F116,2),"n.a.")</x:f>
        <x:v>0</x:v>
      </x:c>
      <x:c r="K116" s="4" t="n">
        <x:f>IF($D$4="Ready",MAX(0,ROUND(E116+F116-I116,2)),"n.a.")</x:f>
        <x:v>0</x:v>
      </x:c>
      <x:c r="L116" s="4"/>
    </x:row>
    <x:row r="117" ht="22" customHeight="1">
      <x:c r="A117" s="2"/>
      <x:c r="B117" s="2"/>
      <x:c r="C117" s="21" t="n">
        <x:f>101</x:f>
        <x:v>101</x:v>
      </x:c>
      <x:c r="D117" s="22" t="n">
        <x:f>IF($D$4="Ready",EDATE($D$9,C117-1),"n.a.")</x:f>
        <x:v>49369</x:v>
      </x:c>
      <x:c r="E117" s="4" t="n">
        <x:f>IF($D$4="Ready",K116,"n.a.")</x:f>
        <x:v>0</x:v>
      </x:c>
      <x:c r="F117" s="4" t="n">
        <x:f>IF($D$4="Ready",ROUND(E117*$D$6/12,2),"n.a.")</x:f>
        <x:v>0</x:v>
      </x:c>
      <x:c r="G117" s="4" t="n">
        <x:f>IF($D$4="Ready",IF(C117&gt;$D$7,0,IF(C117=$D$7,E117+F117,MIN($D$11,E117+F117))),"n.a.")</x:f>
        <x:v>0</x:v>
      </x:c>
      <x:c r="H117" s="4" t="n">
        <x:f>IF($D$4="Ready",MIN($D$8,MAX(0,E117+F117-G117)),"n.a.")</x:f>
        <x:v>0</x:v>
      </x:c>
      <x:c r="I117" s="4" t="n">
        <x:f>IF($D$4="Ready",ROUND(G117+H117,2),"n.a.")</x:f>
        <x:v>0</x:v>
      </x:c>
      <x:c r="J117" s="4" t="n">
        <x:f>IF($D$4="Ready",ROUND(I117-F117,2),"n.a.")</x:f>
        <x:v>0</x:v>
      </x:c>
      <x:c r="K117" s="4" t="n">
        <x:f>IF($D$4="Ready",MAX(0,ROUND(E117+F117-I117,2)),"n.a.")</x:f>
        <x:v>0</x:v>
      </x:c>
      <x:c r="L117" s="4"/>
    </x:row>
    <x:row r="118" ht="22" customHeight="1">
      <x:c r="A118" s="2"/>
      <x:c r="B118" s="2"/>
      <x:c r="C118" s="21" t="n">
        <x:f>102</x:f>
        <x:v>102</x:v>
      </x:c>
      <x:c r="D118" s="22" t="n">
        <x:f>IF($D$4="Ready",EDATE($D$9,C118-1),"n.a.")</x:f>
        <x:v>49400</x:v>
      </x:c>
      <x:c r="E118" s="4" t="n">
        <x:f>IF($D$4="Ready",K117,"n.a.")</x:f>
        <x:v>0</x:v>
      </x:c>
      <x:c r="F118" s="4" t="n">
        <x:f>IF($D$4="Ready",ROUND(E118*$D$6/12,2),"n.a.")</x:f>
        <x:v>0</x:v>
      </x:c>
      <x:c r="G118" s="4" t="n">
        <x:f>IF($D$4="Ready",IF(C118&gt;$D$7,0,IF(C118=$D$7,E118+F118,MIN($D$11,E118+F118))),"n.a.")</x:f>
        <x:v>0</x:v>
      </x:c>
      <x:c r="H118" s="4" t="n">
        <x:f>IF($D$4="Ready",MIN($D$8,MAX(0,E118+F118-G118)),"n.a.")</x:f>
        <x:v>0</x:v>
      </x:c>
      <x:c r="I118" s="4" t="n">
        <x:f>IF($D$4="Ready",ROUND(G118+H118,2),"n.a.")</x:f>
        <x:v>0</x:v>
      </x:c>
      <x:c r="J118" s="4" t="n">
        <x:f>IF($D$4="Ready",ROUND(I118-F118,2),"n.a.")</x:f>
        <x:v>0</x:v>
      </x:c>
      <x:c r="K118" s="4" t="n">
        <x:f>IF($D$4="Ready",MAX(0,ROUND(E118+F118-I118,2)),"n.a.")</x:f>
        <x:v>0</x:v>
      </x:c>
      <x:c r="L118" s="4"/>
    </x:row>
    <x:row r="119" ht="22" customHeight="1">
      <x:c r="A119" s="2"/>
      <x:c r="B119" s="2"/>
      <x:c r="C119" s="21" t="n">
        <x:f>103</x:f>
        <x:v>103</x:v>
      </x:c>
      <x:c r="D119" s="22" t="n">
        <x:f>IF($D$4="Ready",EDATE($D$9,C119-1),"n.a.")</x:f>
        <x:v>49430</x:v>
      </x:c>
      <x:c r="E119" s="4" t="n">
        <x:f>IF($D$4="Ready",K118,"n.a.")</x:f>
        <x:v>0</x:v>
      </x:c>
      <x:c r="F119" s="4" t="n">
        <x:f>IF($D$4="Ready",ROUND(E119*$D$6/12,2),"n.a.")</x:f>
        <x:v>0</x:v>
      </x:c>
      <x:c r="G119" s="4" t="n">
        <x:f>IF($D$4="Ready",IF(C119&gt;$D$7,0,IF(C119=$D$7,E119+F119,MIN($D$11,E119+F119))),"n.a.")</x:f>
        <x:v>0</x:v>
      </x:c>
      <x:c r="H119" s="4" t="n">
        <x:f>IF($D$4="Ready",MIN($D$8,MAX(0,E119+F119-G119)),"n.a.")</x:f>
        <x:v>0</x:v>
      </x:c>
      <x:c r="I119" s="4" t="n">
        <x:f>IF($D$4="Ready",ROUND(G119+H119,2),"n.a.")</x:f>
        <x:v>0</x:v>
      </x:c>
      <x:c r="J119" s="4" t="n">
        <x:f>IF($D$4="Ready",ROUND(I119-F119,2),"n.a.")</x:f>
        <x:v>0</x:v>
      </x:c>
      <x:c r="K119" s="4" t="n">
        <x:f>IF($D$4="Ready",MAX(0,ROUND(E119+F119-I119,2)),"n.a.")</x:f>
        <x:v>0</x:v>
      </x:c>
      <x:c r="L119" s="4"/>
    </x:row>
    <x:row r="120" ht="22" customHeight="1">
      <x:c r="A120" s="2"/>
      <x:c r="B120" s="2"/>
      <x:c r="C120" s="21" t="n">
        <x:f>104</x:f>
        <x:v>104</x:v>
      </x:c>
      <x:c r="D120" s="22" t="n">
        <x:f>IF($D$4="Ready",EDATE($D$9,C120-1),"n.a.")</x:f>
        <x:v>49461</x:v>
      </x:c>
      <x:c r="E120" s="4" t="n">
        <x:f>IF($D$4="Ready",K119,"n.a.")</x:f>
        <x:v>0</x:v>
      </x:c>
      <x:c r="F120" s="4" t="n">
        <x:f>IF($D$4="Ready",ROUND(E120*$D$6/12,2),"n.a.")</x:f>
        <x:v>0</x:v>
      </x:c>
      <x:c r="G120" s="4" t="n">
        <x:f>IF($D$4="Ready",IF(C120&gt;$D$7,0,IF(C120=$D$7,E120+F120,MIN($D$11,E120+F120))),"n.a.")</x:f>
        <x:v>0</x:v>
      </x:c>
      <x:c r="H120" s="4" t="n">
        <x:f>IF($D$4="Ready",MIN($D$8,MAX(0,E120+F120-G120)),"n.a.")</x:f>
        <x:v>0</x:v>
      </x:c>
      <x:c r="I120" s="4" t="n">
        <x:f>IF($D$4="Ready",ROUND(G120+H120,2),"n.a.")</x:f>
        <x:v>0</x:v>
      </x:c>
      <x:c r="J120" s="4" t="n">
        <x:f>IF($D$4="Ready",ROUND(I120-F120,2),"n.a.")</x:f>
        <x:v>0</x:v>
      </x:c>
      <x:c r="K120" s="4" t="n">
        <x:f>IF($D$4="Ready",MAX(0,ROUND(E120+F120-I120,2)),"n.a.")</x:f>
        <x:v>0</x:v>
      </x:c>
      <x:c r="L120" s="4"/>
    </x:row>
    <x:row r="121" ht="22" customHeight="1">
      <x:c r="A121" s="2"/>
      <x:c r="B121" s="2"/>
      <x:c r="C121" s="21" t="n">
        <x:f>105</x:f>
        <x:v>105</x:v>
      </x:c>
      <x:c r="D121" s="22" t="n">
        <x:f>IF($D$4="Ready",EDATE($D$9,C121-1),"n.a.")</x:f>
        <x:v>49491</x:v>
      </x:c>
      <x:c r="E121" s="4" t="n">
        <x:f>IF($D$4="Ready",K120,"n.a.")</x:f>
        <x:v>0</x:v>
      </x:c>
      <x:c r="F121" s="4" t="n">
        <x:f>IF($D$4="Ready",ROUND(E121*$D$6/12,2),"n.a.")</x:f>
        <x:v>0</x:v>
      </x:c>
      <x:c r="G121" s="4" t="n">
        <x:f>IF($D$4="Ready",IF(C121&gt;$D$7,0,IF(C121=$D$7,E121+F121,MIN($D$11,E121+F121))),"n.a.")</x:f>
        <x:v>0</x:v>
      </x:c>
      <x:c r="H121" s="4" t="n">
        <x:f>IF($D$4="Ready",MIN($D$8,MAX(0,E121+F121-G121)),"n.a.")</x:f>
        <x:v>0</x:v>
      </x:c>
      <x:c r="I121" s="4" t="n">
        <x:f>IF($D$4="Ready",ROUND(G121+H121,2),"n.a.")</x:f>
        <x:v>0</x:v>
      </x:c>
      <x:c r="J121" s="4" t="n">
        <x:f>IF($D$4="Ready",ROUND(I121-F121,2),"n.a.")</x:f>
        <x:v>0</x:v>
      </x:c>
      <x:c r="K121" s="4" t="n">
        <x:f>IF($D$4="Ready",MAX(0,ROUND(E121+F121-I121,2)),"n.a.")</x:f>
        <x:v>0</x:v>
      </x:c>
      <x:c r="L121" s="4"/>
    </x:row>
    <x:row r="122" ht="22" customHeight="1">
      <x:c r="A122" s="2"/>
      <x:c r="B122" s="2"/>
      <x:c r="C122" s="21" t="n">
        <x:f>106</x:f>
        <x:v>106</x:v>
      </x:c>
      <x:c r="D122" s="22" t="n">
        <x:f>IF($D$4="Ready",EDATE($D$9,C122-1),"n.a.")</x:f>
        <x:v>49522</x:v>
      </x:c>
      <x:c r="E122" s="4" t="n">
        <x:f>IF($D$4="Ready",K121,"n.a.")</x:f>
        <x:v>0</x:v>
      </x:c>
      <x:c r="F122" s="4" t="n">
        <x:f>IF($D$4="Ready",ROUND(E122*$D$6/12,2),"n.a.")</x:f>
        <x:v>0</x:v>
      </x:c>
      <x:c r="G122" s="4" t="n">
        <x:f>IF($D$4="Ready",IF(C122&gt;$D$7,0,IF(C122=$D$7,E122+F122,MIN($D$11,E122+F122))),"n.a.")</x:f>
        <x:v>0</x:v>
      </x:c>
      <x:c r="H122" s="4" t="n">
        <x:f>IF($D$4="Ready",MIN($D$8,MAX(0,E122+F122-G122)),"n.a.")</x:f>
        <x:v>0</x:v>
      </x:c>
      <x:c r="I122" s="4" t="n">
        <x:f>IF($D$4="Ready",ROUND(G122+H122,2),"n.a.")</x:f>
        <x:v>0</x:v>
      </x:c>
      <x:c r="J122" s="4" t="n">
        <x:f>IF($D$4="Ready",ROUND(I122-F122,2),"n.a.")</x:f>
        <x:v>0</x:v>
      </x:c>
      <x:c r="K122" s="4" t="n">
        <x:f>IF($D$4="Ready",MAX(0,ROUND(E122+F122-I122,2)),"n.a.")</x:f>
        <x:v>0</x:v>
      </x:c>
      <x:c r="L122" s="4"/>
    </x:row>
    <x:row r="123" ht="22" customHeight="1">
      <x:c r="A123" s="2"/>
      <x:c r="B123" s="2"/>
      <x:c r="C123" s="21" t="n">
        <x:f>107</x:f>
        <x:v>107</x:v>
      </x:c>
      <x:c r="D123" s="22" t="n">
        <x:f>IF($D$4="Ready",EDATE($D$9,C123-1),"n.a.")</x:f>
        <x:v>49553</x:v>
      </x:c>
      <x:c r="E123" s="4" t="n">
        <x:f>IF($D$4="Ready",K122,"n.a.")</x:f>
        <x:v>0</x:v>
      </x:c>
      <x:c r="F123" s="4" t="n">
        <x:f>IF($D$4="Ready",ROUND(E123*$D$6/12,2),"n.a.")</x:f>
        <x:v>0</x:v>
      </x:c>
      <x:c r="G123" s="4" t="n">
        <x:f>IF($D$4="Ready",IF(C123&gt;$D$7,0,IF(C123=$D$7,E123+F123,MIN($D$11,E123+F123))),"n.a.")</x:f>
        <x:v>0</x:v>
      </x:c>
      <x:c r="H123" s="4" t="n">
        <x:f>IF($D$4="Ready",MIN($D$8,MAX(0,E123+F123-G123)),"n.a.")</x:f>
        <x:v>0</x:v>
      </x:c>
      <x:c r="I123" s="4" t="n">
        <x:f>IF($D$4="Ready",ROUND(G123+H123,2),"n.a.")</x:f>
        <x:v>0</x:v>
      </x:c>
      <x:c r="J123" s="4" t="n">
        <x:f>IF($D$4="Ready",ROUND(I123-F123,2),"n.a.")</x:f>
        <x:v>0</x:v>
      </x:c>
      <x:c r="K123" s="4" t="n">
        <x:f>IF($D$4="Ready",MAX(0,ROUND(E123+F123-I123,2)),"n.a.")</x:f>
        <x:v>0</x:v>
      </x:c>
      <x:c r="L123" s="4"/>
    </x:row>
    <x:row r="124" ht="22" customHeight="1">
      <x:c r="A124" s="2"/>
      <x:c r="B124" s="2"/>
      <x:c r="C124" s="21" t="n">
        <x:f>108</x:f>
        <x:v>108</x:v>
      </x:c>
      <x:c r="D124" s="22" t="n">
        <x:f>IF($D$4="Ready",EDATE($D$9,C124-1),"n.a.")</x:f>
        <x:v>49583</x:v>
      </x:c>
      <x:c r="E124" s="4" t="n">
        <x:f>IF($D$4="Ready",K123,"n.a.")</x:f>
        <x:v>0</x:v>
      </x:c>
      <x:c r="F124" s="4" t="n">
        <x:f>IF($D$4="Ready",ROUND(E124*$D$6/12,2),"n.a.")</x:f>
        <x:v>0</x:v>
      </x:c>
      <x:c r="G124" s="4" t="n">
        <x:f>IF($D$4="Ready",IF(C124&gt;$D$7,0,IF(C124=$D$7,E124+F124,MIN($D$11,E124+F124))),"n.a.")</x:f>
        <x:v>0</x:v>
      </x:c>
      <x:c r="H124" s="4" t="n">
        <x:f>IF($D$4="Ready",MIN($D$8,MAX(0,E124+F124-G124)),"n.a.")</x:f>
        <x:v>0</x:v>
      </x:c>
      <x:c r="I124" s="4" t="n">
        <x:f>IF($D$4="Ready",ROUND(G124+H124,2),"n.a.")</x:f>
        <x:v>0</x:v>
      </x:c>
      <x:c r="J124" s="4" t="n">
        <x:f>IF($D$4="Ready",ROUND(I124-F124,2),"n.a.")</x:f>
        <x:v>0</x:v>
      </x:c>
      <x:c r="K124" s="4" t="n">
        <x:f>IF($D$4="Ready",MAX(0,ROUND(E124+F124-I124,2)),"n.a.")</x:f>
        <x:v>0</x:v>
      </x:c>
      <x:c r="L124" s="4"/>
    </x:row>
    <x:row r="125" ht="22" customHeight="1">
      <x:c r="A125" s="2"/>
      <x:c r="B125" s="2"/>
      <x:c r="C125" s="21" t="n">
        <x:f>109</x:f>
        <x:v>109</x:v>
      </x:c>
      <x:c r="D125" s="22" t="n">
        <x:f>IF($D$4="Ready",EDATE($D$9,C125-1),"n.a.")</x:f>
        <x:v>49614</x:v>
      </x:c>
      <x:c r="E125" s="4" t="n">
        <x:f>IF($D$4="Ready",K124,"n.a.")</x:f>
        <x:v>0</x:v>
      </x:c>
      <x:c r="F125" s="4" t="n">
        <x:f>IF($D$4="Ready",ROUND(E125*$D$6/12,2),"n.a.")</x:f>
        <x:v>0</x:v>
      </x:c>
      <x:c r="G125" s="4" t="n">
        <x:f>IF($D$4="Ready",IF(C125&gt;$D$7,0,IF(C125=$D$7,E125+F125,MIN($D$11,E125+F125))),"n.a.")</x:f>
        <x:v>0</x:v>
      </x:c>
      <x:c r="H125" s="4" t="n">
        <x:f>IF($D$4="Ready",MIN($D$8,MAX(0,E125+F125-G125)),"n.a.")</x:f>
        <x:v>0</x:v>
      </x:c>
      <x:c r="I125" s="4" t="n">
        <x:f>IF($D$4="Ready",ROUND(G125+H125,2),"n.a.")</x:f>
        <x:v>0</x:v>
      </x:c>
      <x:c r="J125" s="4" t="n">
        <x:f>IF($D$4="Ready",ROUND(I125-F125,2),"n.a.")</x:f>
        <x:v>0</x:v>
      </x:c>
      <x:c r="K125" s="4" t="n">
        <x:f>IF($D$4="Ready",MAX(0,ROUND(E125+F125-I125,2)),"n.a.")</x:f>
        <x:v>0</x:v>
      </x:c>
      <x:c r="L125" s="4"/>
    </x:row>
    <x:row r="126" ht="22" customHeight="1">
      <x:c r="A126" s="2"/>
      <x:c r="B126" s="2"/>
      <x:c r="C126" s="21" t="n">
        <x:f>110</x:f>
        <x:v>110</x:v>
      </x:c>
      <x:c r="D126" s="22" t="n">
        <x:f>IF($D$4="Ready",EDATE($D$9,C126-1),"n.a.")</x:f>
        <x:v>49644</x:v>
      </x:c>
      <x:c r="E126" s="4" t="n">
        <x:f>IF($D$4="Ready",K125,"n.a.")</x:f>
        <x:v>0</x:v>
      </x:c>
      <x:c r="F126" s="4" t="n">
        <x:f>IF($D$4="Ready",ROUND(E126*$D$6/12,2),"n.a.")</x:f>
        <x:v>0</x:v>
      </x:c>
      <x:c r="G126" s="4" t="n">
        <x:f>IF($D$4="Ready",IF(C126&gt;$D$7,0,IF(C126=$D$7,E126+F126,MIN($D$11,E126+F126))),"n.a.")</x:f>
        <x:v>0</x:v>
      </x:c>
      <x:c r="H126" s="4" t="n">
        <x:f>IF($D$4="Ready",MIN($D$8,MAX(0,E126+F126-G126)),"n.a.")</x:f>
        <x:v>0</x:v>
      </x:c>
      <x:c r="I126" s="4" t="n">
        <x:f>IF($D$4="Ready",ROUND(G126+H126,2),"n.a.")</x:f>
        <x:v>0</x:v>
      </x:c>
      <x:c r="J126" s="4" t="n">
        <x:f>IF($D$4="Ready",ROUND(I126-F126,2),"n.a.")</x:f>
        <x:v>0</x:v>
      </x:c>
      <x:c r="K126" s="4" t="n">
        <x:f>IF($D$4="Ready",MAX(0,ROUND(E126+F126-I126,2)),"n.a.")</x:f>
        <x:v>0</x:v>
      </x:c>
      <x:c r="L126" s="4"/>
    </x:row>
    <x:row r="127" ht="22" customHeight="1">
      <x:c r="A127" s="2"/>
      <x:c r="B127" s="2"/>
      <x:c r="C127" s="21" t="n">
        <x:f>111</x:f>
        <x:v>111</x:v>
      </x:c>
      <x:c r="D127" s="22" t="n">
        <x:f>IF($D$4="Ready",EDATE($D$9,C127-1),"n.a.")</x:f>
        <x:v>49675</x:v>
      </x:c>
      <x:c r="E127" s="4" t="n">
        <x:f>IF($D$4="Ready",K126,"n.a.")</x:f>
        <x:v>0</x:v>
      </x:c>
      <x:c r="F127" s="4" t="n">
        <x:f>IF($D$4="Ready",ROUND(E127*$D$6/12,2),"n.a.")</x:f>
        <x:v>0</x:v>
      </x:c>
      <x:c r="G127" s="4" t="n">
        <x:f>IF($D$4="Ready",IF(C127&gt;$D$7,0,IF(C127=$D$7,E127+F127,MIN($D$11,E127+F127))),"n.a.")</x:f>
        <x:v>0</x:v>
      </x:c>
      <x:c r="H127" s="4" t="n">
        <x:f>IF($D$4="Ready",MIN($D$8,MAX(0,E127+F127-G127)),"n.a.")</x:f>
        <x:v>0</x:v>
      </x:c>
      <x:c r="I127" s="4" t="n">
        <x:f>IF($D$4="Ready",ROUND(G127+H127,2),"n.a.")</x:f>
        <x:v>0</x:v>
      </x:c>
      <x:c r="J127" s="4" t="n">
        <x:f>IF($D$4="Ready",ROUND(I127-F127,2),"n.a.")</x:f>
        <x:v>0</x:v>
      </x:c>
      <x:c r="K127" s="4" t="n">
        <x:f>IF($D$4="Ready",MAX(0,ROUND(E127+F127-I127,2)),"n.a.")</x:f>
        <x:v>0</x:v>
      </x:c>
      <x:c r="L127" s="4"/>
    </x:row>
    <x:row r="128" ht="22" customHeight="1">
      <x:c r="A128" s="2"/>
      <x:c r="B128" s="2"/>
      <x:c r="C128" s="21" t="n">
        <x:f>112</x:f>
        <x:v>112</x:v>
      </x:c>
      <x:c r="D128" s="22" t="n">
        <x:f>IF($D$4="Ready",EDATE($D$9,C128-1),"n.a.")</x:f>
        <x:v>49706</x:v>
      </x:c>
      <x:c r="E128" s="4" t="n">
        <x:f>IF($D$4="Ready",K127,"n.a.")</x:f>
        <x:v>0</x:v>
      </x:c>
      <x:c r="F128" s="4" t="n">
        <x:f>IF($D$4="Ready",ROUND(E128*$D$6/12,2),"n.a.")</x:f>
        <x:v>0</x:v>
      </x:c>
      <x:c r="G128" s="4" t="n">
        <x:f>IF($D$4="Ready",IF(C128&gt;$D$7,0,IF(C128=$D$7,E128+F128,MIN($D$11,E128+F128))),"n.a.")</x:f>
        <x:v>0</x:v>
      </x:c>
      <x:c r="H128" s="4" t="n">
        <x:f>IF($D$4="Ready",MIN($D$8,MAX(0,E128+F128-G128)),"n.a.")</x:f>
        <x:v>0</x:v>
      </x:c>
      <x:c r="I128" s="4" t="n">
        <x:f>IF($D$4="Ready",ROUND(G128+H128,2),"n.a.")</x:f>
        <x:v>0</x:v>
      </x:c>
      <x:c r="J128" s="4" t="n">
        <x:f>IF($D$4="Ready",ROUND(I128-F128,2),"n.a.")</x:f>
        <x:v>0</x:v>
      </x:c>
      <x:c r="K128" s="4" t="n">
        <x:f>IF($D$4="Ready",MAX(0,ROUND(E128+F128-I128,2)),"n.a.")</x:f>
        <x:v>0</x:v>
      </x:c>
      <x:c r="L128" s="4"/>
    </x:row>
    <x:row r="129" ht="22" customHeight="1">
      <x:c r="A129" s="2"/>
      <x:c r="B129" s="2"/>
      <x:c r="C129" s="21" t="n">
        <x:f>113</x:f>
        <x:v>113</x:v>
      </x:c>
      <x:c r="D129" s="22" t="n">
        <x:f>IF($D$4="Ready",EDATE($D$9,C129-1),"n.a.")</x:f>
        <x:v>49735</x:v>
      </x:c>
      <x:c r="E129" s="4" t="n">
        <x:f>IF($D$4="Ready",K128,"n.a.")</x:f>
        <x:v>0</x:v>
      </x:c>
      <x:c r="F129" s="4" t="n">
        <x:f>IF($D$4="Ready",ROUND(E129*$D$6/12,2),"n.a.")</x:f>
        <x:v>0</x:v>
      </x:c>
      <x:c r="G129" s="4" t="n">
        <x:f>IF($D$4="Ready",IF(C129&gt;$D$7,0,IF(C129=$D$7,E129+F129,MIN($D$11,E129+F129))),"n.a.")</x:f>
        <x:v>0</x:v>
      </x:c>
      <x:c r="H129" s="4" t="n">
        <x:f>IF($D$4="Ready",MIN($D$8,MAX(0,E129+F129-G129)),"n.a.")</x:f>
        <x:v>0</x:v>
      </x:c>
      <x:c r="I129" s="4" t="n">
        <x:f>IF($D$4="Ready",ROUND(G129+H129,2),"n.a.")</x:f>
        <x:v>0</x:v>
      </x:c>
      <x:c r="J129" s="4" t="n">
        <x:f>IF($D$4="Ready",ROUND(I129-F129,2),"n.a.")</x:f>
        <x:v>0</x:v>
      </x:c>
      <x:c r="K129" s="4" t="n">
        <x:f>IF($D$4="Ready",MAX(0,ROUND(E129+F129-I129,2)),"n.a.")</x:f>
        <x:v>0</x:v>
      </x:c>
      <x:c r="L129" s="4"/>
    </x:row>
    <x:row r="130" ht="22" customHeight="1">
      <x:c r="A130" s="2"/>
      <x:c r="B130" s="2"/>
      <x:c r="C130" s="21" t="n">
        <x:f>114</x:f>
        <x:v>114</x:v>
      </x:c>
      <x:c r="D130" s="22" t="n">
        <x:f>IF($D$4="Ready",EDATE($D$9,C130-1),"n.a.")</x:f>
        <x:v>49766</x:v>
      </x:c>
      <x:c r="E130" s="4" t="n">
        <x:f>IF($D$4="Ready",K129,"n.a.")</x:f>
        <x:v>0</x:v>
      </x:c>
      <x:c r="F130" s="4" t="n">
        <x:f>IF($D$4="Ready",ROUND(E130*$D$6/12,2),"n.a.")</x:f>
        <x:v>0</x:v>
      </x:c>
      <x:c r="G130" s="4" t="n">
        <x:f>IF($D$4="Ready",IF(C130&gt;$D$7,0,IF(C130=$D$7,E130+F130,MIN($D$11,E130+F130))),"n.a.")</x:f>
        <x:v>0</x:v>
      </x:c>
      <x:c r="H130" s="4" t="n">
        <x:f>IF($D$4="Ready",MIN($D$8,MAX(0,E130+F130-G130)),"n.a.")</x:f>
        <x:v>0</x:v>
      </x:c>
      <x:c r="I130" s="4" t="n">
        <x:f>IF($D$4="Ready",ROUND(G130+H130,2),"n.a.")</x:f>
        <x:v>0</x:v>
      </x:c>
      <x:c r="J130" s="4" t="n">
        <x:f>IF($D$4="Ready",ROUND(I130-F130,2),"n.a.")</x:f>
        <x:v>0</x:v>
      </x:c>
      <x:c r="K130" s="4" t="n">
        <x:f>IF($D$4="Ready",MAX(0,ROUND(E130+F130-I130,2)),"n.a.")</x:f>
        <x:v>0</x:v>
      </x:c>
      <x:c r="L130" s="4"/>
    </x:row>
    <x:row r="131" ht="22" customHeight="1">
      <x:c r="A131" s="2"/>
      <x:c r="B131" s="2"/>
      <x:c r="C131" s="21" t="n">
        <x:f>115</x:f>
        <x:v>115</x:v>
      </x:c>
      <x:c r="D131" s="22" t="n">
        <x:f>IF($D$4="Ready",EDATE($D$9,C131-1),"n.a.")</x:f>
        <x:v>49796</x:v>
      </x:c>
      <x:c r="E131" s="4" t="n">
        <x:f>IF($D$4="Ready",K130,"n.a.")</x:f>
        <x:v>0</x:v>
      </x:c>
      <x:c r="F131" s="4" t="n">
        <x:f>IF($D$4="Ready",ROUND(E131*$D$6/12,2),"n.a.")</x:f>
        <x:v>0</x:v>
      </x:c>
      <x:c r="G131" s="4" t="n">
        <x:f>IF($D$4="Ready",IF(C131&gt;$D$7,0,IF(C131=$D$7,E131+F131,MIN($D$11,E131+F131))),"n.a.")</x:f>
        <x:v>0</x:v>
      </x:c>
      <x:c r="H131" s="4" t="n">
        <x:f>IF($D$4="Ready",MIN($D$8,MAX(0,E131+F131-G131)),"n.a.")</x:f>
        <x:v>0</x:v>
      </x:c>
      <x:c r="I131" s="4" t="n">
        <x:f>IF($D$4="Ready",ROUND(G131+H131,2),"n.a.")</x:f>
        <x:v>0</x:v>
      </x:c>
      <x:c r="J131" s="4" t="n">
        <x:f>IF($D$4="Ready",ROUND(I131-F131,2),"n.a.")</x:f>
        <x:v>0</x:v>
      </x:c>
      <x:c r="K131" s="4" t="n">
        <x:f>IF($D$4="Ready",MAX(0,ROUND(E131+F131-I131,2)),"n.a.")</x:f>
        <x:v>0</x:v>
      </x:c>
      <x:c r="L131" s="4"/>
    </x:row>
    <x:row r="132" ht="22" customHeight="1">
      <x:c r="A132" s="2"/>
      <x:c r="B132" s="2"/>
      <x:c r="C132" s="21" t="n">
        <x:f>116</x:f>
        <x:v>116</x:v>
      </x:c>
      <x:c r="D132" s="22" t="n">
        <x:f>IF($D$4="Ready",EDATE($D$9,C132-1),"n.a.")</x:f>
        <x:v>49827</x:v>
      </x:c>
      <x:c r="E132" s="4" t="n">
        <x:f>IF($D$4="Ready",K131,"n.a.")</x:f>
        <x:v>0</x:v>
      </x:c>
      <x:c r="F132" s="4" t="n">
        <x:f>IF($D$4="Ready",ROUND(E132*$D$6/12,2),"n.a.")</x:f>
        <x:v>0</x:v>
      </x:c>
      <x:c r="G132" s="4" t="n">
        <x:f>IF($D$4="Ready",IF(C132&gt;$D$7,0,IF(C132=$D$7,E132+F132,MIN($D$11,E132+F132))),"n.a.")</x:f>
        <x:v>0</x:v>
      </x:c>
      <x:c r="H132" s="4" t="n">
        <x:f>IF($D$4="Ready",MIN($D$8,MAX(0,E132+F132-G132)),"n.a.")</x:f>
        <x:v>0</x:v>
      </x:c>
      <x:c r="I132" s="4" t="n">
        <x:f>IF($D$4="Ready",ROUND(G132+H132,2),"n.a.")</x:f>
        <x:v>0</x:v>
      </x:c>
      <x:c r="J132" s="4" t="n">
        <x:f>IF($D$4="Ready",ROUND(I132-F132,2),"n.a.")</x:f>
        <x:v>0</x:v>
      </x:c>
      <x:c r="K132" s="4" t="n">
        <x:f>IF($D$4="Ready",MAX(0,ROUND(E132+F132-I132,2)),"n.a.")</x:f>
        <x:v>0</x:v>
      </x:c>
      <x:c r="L132" s="4"/>
    </x:row>
    <x:row r="133" ht="22" customHeight="1">
      <x:c r="A133" s="2"/>
      <x:c r="B133" s="2"/>
      <x:c r="C133" s="21" t="n">
        <x:f>117</x:f>
        <x:v>117</x:v>
      </x:c>
      <x:c r="D133" s="22" t="n">
        <x:f>IF($D$4="Ready",EDATE($D$9,C133-1),"n.a.")</x:f>
        <x:v>49857</x:v>
      </x:c>
      <x:c r="E133" s="4" t="n">
        <x:f>IF($D$4="Ready",K132,"n.a.")</x:f>
        <x:v>0</x:v>
      </x:c>
      <x:c r="F133" s="4" t="n">
        <x:f>IF($D$4="Ready",ROUND(E133*$D$6/12,2),"n.a.")</x:f>
        <x:v>0</x:v>
      </x:c>
      <x:c r="G133" s="4" t="n">
        <x:f>IF($D$4="Ready",IF(C133&gt;$D$7,0,IF(C133=$D$7,E133+F133,MIN($D$11,E133+F133))),"n.a.")</x:f>
        <x:v>0</x:v>
      </x:c>
      <x:c r="H133" s="4" t="n">
        <x:f>IF($D$4="Ready",MIN($D$8,MAX(0,E133+F133-G133)),"n.a.")</x:f>
        <x:v>0</x:v>
      </x:c>
      <x:c r="I133" s="4" t="n">
        <x:f>IF($D$4="Ready",ROUND(G133+H133,2),"n.a.")</x:f>
        <x:v>0</x:v>
      </x:c>
      <x:c r="J133" s="4" t="n">
        <x:f>IF($D$4="Ready",ROUND(I133-F133,2),"n.a.")</x:f>
        <x:v>0</x:v>
      </x:c>
      <x:c r="K133" s="4" t="n">
        <x:f>IF($D$4="Ready",MAX(0,ROUND(E133+F133-I133,2)),"n.a.")</x:f>
        <x:v>0</x:v>
      </x:c>
      <x:c r="L133" s="4"/>
    </x:row>
    <x:row r="134" ht="22" customHeight="1">
      <x:c r="A134" s="2"/>
      <x:c r="B134" s="2"/>
      <x:c r="C134" s="21" t="n">
        <x:f>118</x:f>
        <x:v>118</x:v>
      </x:c>
      <x:c r="D134" s="22" t="n">
        <x:f>IF($D$4="Ready",EDATE($D$9,C134-1),"n.a.")</x:f>
        <x:v>49888</x:v>
      </x:c>
      <x:c r="E134" s="4" t="n">
        <x:f>IF($D$4="Ready",K133,"n.a.")</x:f>
        <x:v>0</x:v>
      </x:c>
      <x:c r="F134" s="4" t="n">
        <x:f>IF($D$4="Ready",ROUND(E134*$D$6/12,2),"n.a.")</x:f>
        <x:v>0</x:v>
      </x:c>
      <x:c r="G134" s="4" t="n">
        <x:f>IF($D$4="Ready",IF(C134&gt;$D$7,0,IF(C134=$D$7,E134+F134,MIN($D$11,E134+F134))),"n.a.")</x:f>
        <x:v>0</x:v>
      </x:c>
      <x:c r="H134" s="4" t="n">
        <x:f>IF($D$4="Ready",MIN($D$8,MAX(0,E134+F134-G134)),"n.a.")</x:f>
        <x:v>0</x:v>
      </x:c>
      <x:c r="I134" s="4" t="n">
        <x:f>IF($D$4="Ready",ROUND(G134+H134,2),"n.a.")</x:f>
        <x:v>0</x:v>
      </x:c>
      <x:c r="J134" s="4" t="n">
        <x:f>IF($D$4="Ready",ROUND(I134-F134,2),"n.a.")</x:f>
        <x:v>0</x:v>
      </x:c>
      <x:c r="K134" s="4" t="n">
        <x:f>IF($D$4="Ready",MAX(0,ROUND(E134+F134-I134,2)),"n.a.")</x:f>
        <x:v>0</x:v>
      </x:c>
      <x:c r="L134" s="4"/>
    </x:row>
    <x:row r="135" ht="22" customHeight="1">
      <x:c r="A135" s="2"/>
      <x:c r="B135" s="2"/>
      <x:c r="C135" s="21" t="n">
        <x:f>119</x:f>
        <x:v>119</x:v>
      </x:c>
      <x:c r="D135" s="22" t="n">
        <x:f>IF($D$4="Ready",EDATE($D$9,C135-1),"n.a.")</x:f>
        <x:v>49919</x:v>
      </x:c>
      <x:c r="E135" s="4" t="n">
        <x:f>IF($D$4="Ready",K134,"n.a.")</x:f>
        <x:v>0</x:v>
      </x:c>
      <x:c r="F135" s="4" t="n">
        <x:f>IF($D$4="Ready",ROUND(E135*$D$6/12,2),"n.a.")</x:f>
        <x:v>0</x:v>
      </x:c>
      <x:c r="G135" s="4" t="n">
        <x:f>IF($D$4="Ready",IF(C135&gt;$D$7,0,IF(C135=$D$7,E135+F135,MIN($D$11,E135+F135))),"n.a.")</x:f>
        <x:v>0</x:v>
      </x:c>
      <x:c r="H135" s="4" t="n">
        <x:f>IF($D$4="Ready",MIN($D$8,MAX(0,E135+F135-G135)),"n.a.")</x:f>
        <x:v>0</x:v>
      </x:c>
      <x:c r="I135" s="4" t="n">
        <x:f>IF($D$4="Ready",ROUND(G135+H135,2),"n.a.")</x:f>
        <x:v>0</x:v>
      </x:c>
      <x:c r="J135" s="4" t="n">
        <x:f>IF($D$4="Ready",ROUND(I135-F135,2),"n.a.")</x:f>
        <x:v>0</x:v>
      </x:c>
      <x:c r="K135" s="4" t="n">
        <x:f>IF($D$4="Ready",MAX(0,ROUND(E135+F135-I135,2)),"n.a.")</x:f>
        <x:v>0</x:v>
      </x:c>
      <x:c r="L135" s="4"/>
    </x:row>
    <x:row r="136" ht="22" customHeight="1">
      <x:c r="A136" s="2"/>
      <x:c r="B136" s="2"/>
      <x:c r="C136" s="21" t="n">
        <x:f>120</x:f>
        <x:v>120</x:v>
      </x:c>
      <x:c r="D136" s="22" t="n">
        <x:f>IF($D$4="Ready",EDATE($D$9,C136-1),"n.a.")</x:f>
        <x:v>49949</x:v>
      </x:c>
      <x:c r="E136" s="4" t="n">
        <x:f>IF($D$4="Ready",K135,"n.a.")</x:f>
        <x:v>0</x:v>
      </x:c>
      <x:c r="F136" s="4" t="n">
        <x:f>IF($D$4="Ready",ROUND(E136*$D$6/12,2),"n.a.")</x:f>
        <x:v>0</x:v>
      </x:c>
      <x:c r="G136" s="4" t="n">
        <x:f>IF($D$4="Ready",IF(C136&gt;$D$7,0,IF(C136=$D$7,E136+F136,MIN($D$11,E136+F136))),"n.a.")</x:f>
        <x:v>0</x:v>
      </x:c>
      <x:c r="H136" s="4" t="n">
        <x:f>IF($D$4="Ready",MIN($D$8,MAX(0,E136+F136-G136)),"n.a.")</x:f>
        <x:v>0</x:v>
      </x:c>
      <x:c r="I136" s="4" t="n">
        <x:f>IF($D$4="Ready",ROUND(G136+H136,2),"n.a.")</x:f>
        <x:v>0</x:v>
      </x:c>
      <x:c r="J136" s="4" t="n">
        <x:f>IF($D$4="Ready",ROUND(I136-F136,2),"n.a.")</x:f>
        <x:v>0</x:v>
      </x:c>
      <x:c r="K136" s="4" t="n">
        <x:f>IF($D$4="Ready",MAX(0,ROUND(E136+F136-I136,2)),"n.a.")</x:f>
        <x:v>0</x:v>
      </x:c>
      <x:c r="L136" s="4"/>
    </x:row>
    <x:row r="137" ht="22" customHeight="1">
      <x:c r="A137" s="2"/>
      <x:c r="B137" s="2"/>
      <x:c r="C137" s="21" t="n">
        <x:f>121</x:f>
        <x:v>121</x:v>
      </x:c>
      <x:c r="D137" s="22" t="n">
        <x:f>IF($D$4="Ready",EDATE($D$9,C137-1),"n.a.")</x:f>
        <x:v>49980</x:v>
      </x:c>
      <x:c r="E137" s="4" t="n">
        <x:f>IF($D$4="Ready",K136,"n.a.")</x:f>
        <x:v>0</x:v>
      </x:c>
      <x:c r="F137" s="4" t="n">
        <x:f>IF($D$4="Ready",ROUND(E137*$D$6/12,2),"n.a.")</x:f>
        <x:v>0</x:v>
      </x:c>
      <x:c r="G137" s="4" t="n">
        <x:f>IF($D$4="Ready",IF(C137&gt;$D$7,0,IF(C137=$D$7,E137+F137,MIN($D$11,E137+F137))),"n.a.")</x:f>
        <x:v>0</x:v>
      </x:c>
      <x:c r="H137" s="4" t="n">
        <x:f>IF($D$4="Ready",MIN($D$8,MAX(0,E137+F137-G137)),"n.a.")</x:f>
        <x:v>0</x:v>
      </x:c>
      <x:c r="I137" s="4" t="n">
        <x:f>IF($D$4="Ready",ROUND(G137+H137,2),"n.a.")</x:f>
        <x:v>0</x:v>
      </x:c>
      <x:c r="J137" s="4" t="n">
        <x:f>IF($D$4="Ready",ROUND(I137-F137,2),"n.a.")</x:f>
        <x:v>0</x:v>
      </x:c>
      <x:c r="K137" s="4" t="n">
        <x:f>IF($D$4="Ready",MAX(0,ROUND(E137+F137-I137,2)),"n.a.")</x:f>
        <x:v>0</x:v>
      </x:c>
      <x:c r="L137" s="4"/>
    </x:row>
    <x:row r="138" ht="22" customHeight="1">
      <x:c r="A138" s="2"/>
      <x:c r="B138" s="2"/>
      <x:c r="C138" s="21" t="n">
        <x:f>122</x:f>
        <x:v>122</x:v>
      </x:c>
      <x:c r="D138" s="22" t="n">
        <x:f>IF($D$4="Ready",EDATE($D$9,C138-1),"n.a.")</x:f>
        <x:v>50010</x:v>
      </x:c>
      <x:c r="E138" s="4" t="n">
        <x:f>IF($D$4="Ready",K137,"n.a.")</x:f>
        <x:v>0</x:v>
      </x:c>
      <x:c r="F138" s="4" t="n">
        <x:f>IF($D$4="Ready",ROUND(E138*$D$6/12,2),"n.a.")</x:f>
        <x:v>0</x:v>
      </x:c>
      <x:c r="G138" s="4" t="n">
        <x:f>IF($D$4="Ready",IF(C138&gt;$D$7,0,IF(C138=$D$7,E138+F138,MIN($D$11,E138+F138))),"n.a.")</x:f>
        <x:v>0</x:v>
      </x:c>
      <x:c r="H138" s="4" t="n">
        <x:f>IF($D$4="Ready",MIN($D$8,MAX(0,E138+F138-G138)),"n.a.")</x:f>
        <x:v>0</x:v>
      </x:c>
      <x:c r="I138" s="4" t="n">
        <x:f>IF($D$4="Ready",ROUND(G138+H138,2),"n.a.")</x:f>
        <x:v>0</x:v>
      </x:c>
      <x:c r="J138" s="4" t="n">
        <x:f>IF($D$4="Ready",ROUND(I138-F138,2),"n.a.")</x:f>
        <x:v>0</x:v>
      </x:c>
      <x:c r="K138" s="4" t="n">
        <x:f>IF($D$4="Ready",MAX(0,ROUND(E138+F138-I138,2)),"n.a.")</x:f>
        <x:v>0</x:v>
      </x:c>
      <x:c r="L138" s="4"/>
    </x:row>
    <x:row r="139" ht="22" customHeight="1">
      <x:c r="A139" s="2"/>
      <x:c r="B139" s="2"/>
      <x:c r="C139" s="21" t="n">
        <x:f>123</x:f>
        <x:v>123</x:v>
      </x:c>
      <x:c r="D139" s="22" t="n">
        <x:f>IF($D$4="Ready",EDATE($D$9,C139-1),"n.a.")</x:f>
        <x:v>50041</x:v>
      </x:c>
      <x:c r="E139" s="4" t="n">
        <x:f>IF($D$4="Ready",K138,"n.a.")</x:f>
        <x:v>0</x:v>
      </x:c>
      <x:c r="F139" s="4" t="n">
        <x:f>IF($D$4="Ready",ROUND(E139*$D$6/12,2),"n.a.")</x:f>
        <x:v>0</x:v>
      </x:c>
      <x:c r="G139" s="4" t="n">
        <x:f>IF($D$4="Ready",IF(C139&gt;$D$7,0,IF(C139=$D$7,E139+F139,MIN($D$11,E139+F139))),"n.a.")</x:f>
        <x:v>0</x:v>
      </x:c>
      <x:c r="H139" s="4" t="n">
        <x:f>IF($D$4="Ready",MIN($D$8,MAX(0,E139+F139-G139)),"n.a.")</x:f>
        <x:v>0</x:v>
      </x:c>
      <x:c r="I139" s="4" t="n">
        <x:f>IF($D$4="Ready",ROUND(G139+H139,2),"n.a.")</x:f>
        <x:v>0</x:v>
      </x:c>
      <x:c r="J139" s="4" t="n">
        <x:f>IF($D$4="Ready",ROUND(I139-F139,2),"n.a.")</x:f>
        <x:v>0</x:v>
      </x:c>
      <x:c r="K139" s="4" t="n">
        <x:f>IF($D$4="Ready",MAX(0,ROUND(E139+F139-I139,2)),"n.a.")</x:f>
        <x:v>0</x:v>
      </x:c>
      <x:c r="L139" s="4"/>
    </x:row>
    <x:row r="140" ht="22" customHeight="1">
      <x:c r="A140" s="2"/>
      <x:c r="B140" s="2"/>
      <x:c r="C140" s="21" t="n">
        <x:f>124</x:f>
        <x:v>124</x:v>
      </x:c>
      <x:c r="D140" s="22" t="n">
        <x:f>IF($D$4="Ready",EDATE($D$9,C140-1),"n.a.")</x:f>
        <x:v>50072</x:v>
      </x:c>
      <x:c r="E140" s="4" t="n">
        <x:f>IF($D$4="Ready",K139,"n.a.")</x:f>
        <x:v>0</x:v>
      </x:c>
      <x:c r="F140" s="4" t="n">
        <x:f>IF($D$4="Ready",ROUND(E140*$D$6/12,2),"n.a.")</x:f>
        <x:v>0</x:v>
      </x:c>
      <x:c r="G140" s="4" t="n">
        <x:f>IF($D$4="Ready",IF(C140&gt;$D$7,0,IF(C140=$D$7,E140+F140,MIN($D$11,E140+F140))),"n.a.")</x:f>
        <x:v>0</x:v>
      </x:c>
      <x:c r="H140" s="4" t="n">
        <x:f>IF($D$4="Ready",MIN($D$8,MAX(0,E140+F140-G140)),"n.a.")</x:f>
        <x:v>0</x:v>
      </x:c>
      <x:c r="I140" s="4" t="n">
        <x:f>IF($D$4="Ready",ROUND(G140+H140,2),"n.a.")</x:f>
        <x:v>0</x:v>
      </x:c>
      <x:c r="J140" s="4" t="n">
        <x:f>IF($D$4="Ready",ROUND(I140-F140,2),"n.a.")</x:f>
        <x:v>0</x:v>
      </x:c>
      <x:c r="K140" s="4" t="n">
        <x:f>IF($D$4="Ready",MAX(0,ROUND(E140+F140-I140,2)),"n.a.")</x:f>
        <x:v>0</x:v>
      </x:c>
      <x:c r="L140" s="4"/>
    </x:row>
    <x:row r="141" ht="22" customHeight="1">
      <x:c r="A141" s="2"/>
      <x:c r="B141" s="2"/>
      <x:c r="C141" s="21" t="n">
        <x:f>125</x:f>
        <x:v>125</x:v>
      </x:c>
      <x:c r="D141" s="22" t="n">
        <x:f>IF($D$4="Ready",EDATE($D$9,C141-1),"n.a.")</x:f>
        <x:v>50100</x:v>
      </x:c>
      <x:c r="E141" s="4" t="n">
        <x:f>IF($D$4="Ready",K140,"n.a.")</x:f>
        <x:v>0</x:v>
      </x:c>
      <x:c r="F141" s="4" t="n">
        <x:f>IF($D$4="Ready",ROUND(E141*$D$6/12,2),"n.a.")</x:f>
        <x:v>0</x:v>
      </x:c>
      <x:c r="G141" s="4" t="n">
        <x:f>IF($D$4="Ready",IF(C141&gt;$D$7,0,IF(C141=$D$7,E141+F141,MIN($D$11,E141+F141))),"n.a.")</x:f>
        <x:v>0</x:v>
      </x:c>
      <x:c r="H141" s="4" t="n">
        <x:f>IF($D$4="Ready",MIN($D$8,MAX(0,E141+F141-G141)),"n.a.")</x:f>
        <x:v>0</x:v>
      </x:c>
      <x:c r="I141" s="4" t="n">
        <x:f>IF($D$4="Ready",ROUND(G141+H141,2),"n.a.")</x:f>
        <x:v>0</x:v>
      </x:c>
      <x:c r="J141" s="4" t="n">
        <x:f>IF($D$4="Ready",ROUND(I141-F141,2),"n.a.")</x:f>
        <x:v>0</x:v>
      </x:c>
      <x:c r="K141" s="4" t="n">
        <x:f>IF($D$4="Ready",MAX(0,ROUND(E141+F141-I141,2)),"n.a.")</x:f>
        <x:v>0</x:v>
      </x:c>
      <x:c r="L141" s="4"/>
    </x:row>
    <x:row r="142" ht="22" customHeight="1">
      <x:c r="A142" s="2"/>
      <x:c r="B142" s="2"/>
      <x:c r="C142" s="21" t="n">
        <x:f>126</x:f>
        <x:v>126</x:v>
      </x:c>
      <x:c r="D142" s="22" t="n">
        <x:f>IF($D$4="Ready",EDATE($D$9,C142-1),"n.a.")</x:f>
        <x:v>50131</x:v>
      </x:c>
      <x:c r="E142" s="4" t="n">
        <x:f>IF($D$4="Ready",K141,"n.a.")</x:f>
        <x:v>0</x:v>
      </x:c>
      <x:c r="F142" s="4" t="n">
        <x:f>IF($D$4="Ready",ROUND(E142*$D$6/12,2),"n.a.")</x:f>
        <x:v>0</x:v>
      </x:c>
      <x:c r="G142" s="4" t="n">
        <x:f>IF($D$4="Ready",IF(C142&gt;$D$7,0,IF(C142=$D$7,E142+F142,MIN($D$11,E142+F142))),"n.a.")</x:f>
        <x:v>0</x:v>
      </x:c>
      <x:c r="H142" s="4" t="n">
        <x:f>IF($D$4="Ready",MIN($D$8,MAX(0,E142+F142-G142)),"n.a.")</x:f>
        <x:v>0</x:v>
      </x:c>
      <x:c r="I142" s="4" t="n">
        <x:f>IF($D$4="Ready",ROUND(G142+H142,2),"n.a.")</x:f>
        <x:v>0</x:v>
      </x:c>
      <x:c r="J142" s="4" t="n">
        <x:f>IF($D$4="Ready",ROUND(I142-F142,2),"n.a.")</x:f>
        <x:v>0</x:v>
      </x:c>
      <x:c r="K142" s="4" t="n">
        <x:f>IF($D$4="Ready",MAX(0,ROUND(E142+F142-I142,2)),"n.a.")</x:f>
        <x:v>0</x:v>
      </x:c>
      <x:c r="L142" s="4"/>
    </x:row>
    <x:row r="143" ht="22" customHeight="1">
      <x:c r="A143" s="2"/>
      <x:c r="B143" s="2"/>
      <x:c r="C143" s="21" t="n">
        <x:f>127</x:f>
        <x:v>127</x:v>
      </x:c>
      <x:c r="D143" s="22" t="n">
        <x:f>IF($D$4="Ready",EDATE($D$9,C143-1),"n.a.")</x:f>
        <x:v>50161</x:v>
      </x:c>
      <x:c r="E143" s="4" t="n">
        <x:f>IF($D$4="Ready",K142,"n.a.")</x:f>
        <x:v>0</x:v>
      </x:c>
      <x:c r="F143" s="4" t="n">
        <x:f>IF($D$4="Ready",ROUND(E143*$D$6/12,2),"n.a.")</x:f>
        <x:v>0</x:v>
      </x:c>
      <x:c r="G143" s="4" t="n">
        <x:f>IF($D$4="Ready",IF(C143&gt;$D$7,0,IF(C143=$D$7,E143+F143,MIN($D$11,E143+F143))),"n.a.")</x:f>
        <x:v>0</x:v>
      </x:c>
      <x:c r="H143" s="4" t="n">
        <x:f>IF($D$4="Ready",MIN($D$8,MAX(0,E143+F143-G143)),"n.a.")</x:f>
        <x:v>0</x:v>
      </x:c>
      <x:c r="I143" s="4" t="n">
        <x:f>IF($D$4="Ready",ROUND(G143+H143,2),"n.a.")</x:f>
        <x:v>0</x:v>
      </x:c>
      <x:c r="J143" s="4" t="n">
        <x:f>IF($D$4="Ready",ROUND(I143-F143,2),"n.a.")</x:f>
        <x:v>0</x:v>
      </x:c>
      <x:c r="K143" s="4" t="n">
        <x:f>IF($D$4="Ready",MAX(0,ROUND(E143+F143-I143,2)),"n.a.")</x:f>
        <x:v>0</x:v>
      </x:c>
      <x:c r="L143" s="4"/>
    </x:row>
    <x:row r="144" ht="22" customHeight="1">
      <x:c r="A144" s="2"/>
      <x:c r="B144" s="2"/>
      <x:c r="C144" s="21" t="n">
        <x:f>128</x:f>
        <x:v>128</x:v>
      </x:c>
      <x:c r="D144" s="22" t="n">
        <x:f>IF($D$4="Ready",EDATE($D$9,C144-1),"n.a.")</x:f>
        <x:v>50192</x:v>
      </x:c>
      <x:c r="E144" s="4" t="n">
        <x:f>IF($D$4="Ready",K143,"n.a.")</x:f>
        <x:v>0</x:v>
      </x:c>
      <x:c r="F144" s="4" t="n">
        <x:f>IF($D$4="Ready",ROUND(E144*$D$6/12,2),"n.a.")</x:f>
        <x:v>0</x:v>
      </x:c>
      <x:c r="G144" s="4" t="n">
        <x:f>IF($D$4="Ready",IF(C144&gt;$D$7,0,IF(C144=$D$7,E144+F144,MIN($D$11,E144+F144))),"n.a.")</x:f>
        <x:v>0</x:v>
      </x:c>
      <x:c r="H144" s="4" t="n">
        <x:f>IF($D$4="Ready",MIN($D$8,MAX(0,E144+F144-G144)),"n.a.")</x:f>
        <x:v>0</x:v>
      </x:c>
      <x:c r="I144" s="4" t="n">
        <x:f>IF($D$4="Ready",ROUND(G144+H144,2),"n.a.")</x:f>
        <x:v>0</x:v>
      </x:c>
      <x:c r="J144" s="4" t="n">
        <x:f>IF($D$4="Ready",ROUND(I144-F144,2),"n.a.")</x:f>
        <x:v>0</x:v>
      </x:c>
      <x:c r="K144" s="4" t="n">
        <x:f>IF($D$4="Ready",MAX(0,ROUND(E144+F144-I144,2)),"n.a.")</x:f>
        <x:v>0</x:v>
      </x:c>
      <x:c r="L144" s="4"/>
    </x:row>
    <x:row r="145" ht="22" customHeight="1">
      <x:c r="A145" s="2"/>
      <x:c r="B145" s="2"/>
      <x:c r="C145" s="21" t="n">
        <x:f>129</x:f>
        <x:v>129</x:v>
      </x:c>
      <x:c r="D145" s="22" t="n">
        <x:f>IF($D$4="Ready",EDATE($D$9,C145-1),"n.a.")</x:f>
        <x:v>50222</x:v>
      </x:c>
      <x:c r="E145" s="4" t="n">
        <x:f>IF($D$4="Ready",K144,"n.a.")</x:f>
        <x:v>0</x:v>
      </x:c>
      <x:c r="F145" s="4" t="n">
        <x:f>IF($D$4="Ready",ROUND(E145*$D$6/12,2),"n.a.")</x:f>
        <x:v>0</x:v>
      </x:c>
      <x:c r="G145" s="4" t="n">
        <x:f>IF($D$4="Ready",IF(C145&gt;$D$7,0,IF(C145=$D$7,E145+F145,MIN($D$11,E145+F145))),"n.a.")</x:f>
        <x:v>0</x:v>
      </x:c>
      <x:c r="H145" s="4" t="n">
        <x:f>IF($D$4="Ready",MIN($D$8,MAX(0,E145+F145-G145)),"n.a.")</x:f>
        <x:v>0</x:v>
      </x:c>
      <x:c r="I145" s="4" t="n">
        <x:f>IF($D$4="Ready",ROUND(G145+H145,2),"n.a.")</x:f>
        <x:v>0</x:v>
      </x:c>
      <x:c r="J145" s="4" t="n">
        <x:f>IF($D$4="Ready",ROUND(I145-F145,2),"n.a.")</x:f>
        <x:v>0</x:v>
      </x:c>
      <x:c r="K145" s="4" t="n">
        <x:f>IF($D$4="Ready",MAX(0,ROUND(E145+F145-I145,2)),"n.a.")</x:f>
        <x:v>0</x:v>
      </x:c>
      <x:c r="L145" s="4"/>
    </x:row>
    <x:row r="146" ht="22" customHeight="1">
      <x:c r="A146" s="2"/>
      <x:c r="B146" s="2"/>
      <x:c r="C146" s="21" t="n">
        <x:f>130</x:f>
        <x:v>130</x:v>
      </x:c>
      <x:c r="D146" s="22" t="n">
        <x:f>IF($D$4="Ready",EDATE($D$9,C146-1),"n.a.")</x:f>
        <x:v>50253</x:v>
      </x:c>
      <x:c r="E146" s="4" t="n">
        <x:f>IF($D$4="Ready",K145,"n.a.")</x:f>
        <x:v>0</x:v>
      </x:c>
      <x:c r="F146" s="4" t="n">
        <x:f>IF($D$4="Ready",ROUND(E146*$D$6/12,2),"n.a.")</x:f>
        <x:v>0</x:v>
      </x:c>
      <x:c r="G146" s="4" t="n">
        <x:f>IF($D$4="Ready",IF(C146&gt;$D$7,0,IF(C146=$D$7,E146+F146,MIN($D$11,E146+F146))),"n.a.")</x:f>
        <x:v>0</x:v>
      </x:c>
      <x:c r="H146" s="4" t="n">
        <x:f>IF($D$4="Ready",MIN($D$8,MAX(0,E146+F146-G146)),"n.a.")</x:f>
        <x:v>0</x:v>
      </x:c>
      <x:c r="I146" s="4" t="n">
        <x:f>IF($D$4="Ready",ROUND(G146+H146,2),"n.a.")</x:f>
        <x:v>0</x:v>
      </x:c>
      <x:c r="J146" s="4" t="n">
        <x:f>IF($D$4="Ready",ROUND(I146-F146,2),"n.a.")</x:f>
        <x:v>0</x:v>
      </x:c>
      <x:c r="K146" s="4" t="n">
        <x:f>IF($D$4="Ready",MAX(0,ROUND(E146+F146-I146,2)),"n.a.")</x:f>
        <x:v>0</x:v>
      </x:c>
      <x:c r="L146" s="4"/>
    </x:row>
    <x:row r="147" ht="22" customHeight="1">
      <x:c r="A147" s="2"/>
      <x:c r="B147" s="2"/>
      <x:c r="C147" s="21" t="n">
        <x:f>131</x:f>
        <x:v>131</x:v>
      </x:c>
      <x:c r="D147" s="22" t="n">
        <x:f>IF($D$4="Ready",EDATE($D$9,C147-1),"n.a.")</x:f>
        <x:v>50284</x:v>
      </x:c>
      <x:c r="E147" s="4" t="n">
        <x:f>IF($D$4="Ready",K146,"n.a.")</x:f>
        <x:v>0</x:v>
      </x:c>
      <x:c r="F147" s="4" t="n">
        <x:f>IF($D$4="Ready",ROUND(E147*$D$6/12,2),"n.a.")</x:f>
        <x:v>0</x:v>
      </x:c>
      <x:c r="G147" s="4" t="n">
        <x:f>IF($D$4="Ready",IF(C147&gt;$D$7,0,IF(C147=$D$7,E147+F147,MIN($D$11,E147+F147))),"n.a.")</x:f>
        <x:v>0</x:v>
      </x:c>
      <x:c r="H147" s="4" t="n">
        <x:f>IF($D$4="Ready",MIN($D$8,MAX(0,E147+F147-G147)),"n.a.")</x:f>
        <x:v>0</x:v>
      </x:c>
      <x:c r="I147" s="4" t="n">
        <x:f>IF($D$4="Ready",ROUND(G147+H147,2),"n.a.")</x:f>
        <x:v>0</x:v>
      </x:c>
      <x:c r="J147" s="4" t="n">
        <x:f>IF($D$4="Ready",ROUND(I147-F147,2),"n.a.")</x:f>
        <x:v>0</x:v>
      </x:c>
      <x:c r="K147" s="4" t="n">
        <x:f>IF($D$4="Ready",MAX(0,ROUND(E147+F147-I147,2)),"n.a.")</x:f>
        <x:v>0</x:v>
      </x:c>
      <x:c r="L147" s="4"/>
    </x:row>
    <x:row r="148" ht="22" customHeight="1">
      <x:c r="A148" s="2"/>
      <x:c r="B148" s="2"/>
      <x:c r="C148" s="21" t="n">
        <x:f>132</x:f>
        <x:v>132</x:v>
      </x:c>
      <x:c r="D148" s="22" t="n">
        <x:f>IF($D$4="Ready",EDATE($D$9,C148-1),"n.a.")</x:f>
        <x:v>50314</x:v>
      </x:c>
      <x:c r="E148" s="4" t="n">
        <x:f>IF($D$4="Ready",K147,"n.a.")</x:f>
        <x:v>0</x:v>
      </x:c>
      <x:c r="F148" s="4" t="n">
        <x:f>IF($D$4="Ready",ROUND(E148*$D$6/12,2),"n.a.")</x:f>
        <x:v>0</x:v>
      </x:c>
      <x:c r="G148" s="4" t="n">
        <x:f>IF($D$4="Ready",IF(C148&gt;$D$7,0,IF(C148=$D$7,E148+F148,MIN($D$11,E148+F148))),"n.a.")</x:f>
        <x:v>0</x:v>
      </x:c>
      <x:c r="H148" s="4" t="n">
        <x:f>IF($D$4="Ready",MIN($D$8,MAX(0,E148+F148-G148)),"n.a.")</x:f>
        <x:v>0</x:v>
      </x:c>
      <x:c r="I148" s="4" t="n">
        <x:f>IF($D$4="Ready",ROUND(G148+H148,2),"n.a.")</x:f>
        <x:v>0</x:v>
      </x:c>
      <x:c r="J148" s="4" t="n">
        <x:f>IF($D$4="Ready",ROUND(I148-F148,2),"n.a.")</x:f>
        <x:v>0</x:v>
      </x:c>
      <x:c r="K148" s="4" t="n">
        <x:f>IF($D$4="Ready",MAX(0,ROUND(E148+F148-I148,2)),"n.a.")</x:f>
        <x:v>0</x:v>
      </x:c>
      <x:c r="L148" s="4"/>
    </x:row>
    <x:row r="149" ht="22" customHeight="1">
      <x:c r="A149" s="2"/>
      <x:c r="B149" s="2"/>
      <x:c r="C149" s="21" t="n">
        <x:f>133</x:f>
        <x:v>133</x:v>
      </x:c>
      <x:c r="D149" s="22" t="n">
        <x:f>IF($D$4="Ready",EDATE($D$9,C149-1),"n.a.")</x:f>
        <x:v>50345</x:v>
      </x:c>
      <x:c r="E149" s="4" t="n">
        <x:f>IF($D$4="Ready",K148,"n.a.")</x:f>
        <x:v>0</x:v>
      </x:c>
      <x:c r="F149" s="4" t="n">
        <x:f>IF($D$4="Ready",ROUND(E149*$D$6/12,2),"n.a.")</x:f>
        <x:v>0</x:v>
      </x:c>
      <x:c r="G149" s="4" t="n">
        <x:f>IF($D$4="Ready",IF(C149&gt;$D$7,0,IF(C149=$D$7,E149+F149,MIN($D$11,E149+F149))),"n.a.")</x:f>
        <x:v>0</x:v>
      </x:c>
      <x:c r="H149" s="4" t="n">
        <x:f>IF($D$4="Ready",MIN($D$8,MAX(0,E149+F149-G149)),"n.a.")</x:f>
        <x:v>0</x:v>
      </x:c>
      <x:c r="I149" s="4" t="n">
        <x:f>IF($D$4="Ready",ROUND(G149+H149,2),"n.a.")</x:f>
        <x:v>0</x:v>
      </x:c>
      <x:c r="J149" s="4" t="n">
        <x:f>IF($D$4="Ready",ROUND(I149-F149,2),"n.a.")</x:f>
        <x:v>0</x:v>
      </x:c>
      <x:c r="K149" s="4" t="n">
        <x:f>IF($D$4="Ready",MAX(0,ROUND(E149+F149-I149,2)),"n.a.")</x:f>
        <x:v>0</x:v>
      </x:c>
      <x:c r="L149" s="4"/>
    </x:row>
    <x:row r="150" ht="22" customHeight="1">
      <x:c r="A150" s="2"/>
      <x:c r="B150" s="2"/>
      <x:c r="C150" s="21" t="n">
        <x:f>134</x:f>
        <x:v>134</x:v>
      </x:c>
      <x:c r="D150" s="22" t="n">
        <x:f>IF($D$4="Ready",EDATE($D$9,C150-1),"n.a.")</x:f>
        <x:v>50375</x:v>
      </x:c>
      <x:c r="E150" s="4" t="n">
        <x:f>IF($D$4="Ready",K149,"n.a.")</x:f>
        <x:v>0</x:v>
      </x:c>
      <x:c r="F150" s="4" t="n">
        <x:f>IF($D$4="Ready",ROUND(E150*$D$6/12,2),"n.a.")</x:f>
        <x:v>0</x:v>
      </x:c>
      <x:c r="G150" s="4" t="n">
        <x:f>IF($D$4="Ready",IF(C150&gt;$D$7,0,IF(C150=$D$7,E150+F150,MIN($D$11,E150+F150))),"n.a.")</x:f>
        <x:v>0</x:v>
      </x:c>
      <x:c r="H150" s="4" t="n">
        <x:f>IF($D$4="Ready",MIN($D$8,MAX(0,E150+F150-G150)),"n.a.")</x:f>
        <x:v>0</x:v>
      </x:c>
      <x:c r="I150" s="4" t="n">
        <x:f>IF($D$4="Ready",ROUND(G150+H150,2),"n.a.")</x:f>
        <x:v>0</x:v>
      </x:c>
      <x:c r="J150" s="4" t="n">
        <x:f>IF($D$4="Ready",ROUND(I150-F150,2),"n.a.")</x:f>
        <x:v>0</x:v>
      </x:c>
      <x:c r="K150" s="4" t="n">
        <x:f>IF($D$4="Ready",MAX(0,ROUND(E150+F150-I150,2)),"n.a.")</x:f>
        <x:v>0</x:v>
      </x:c>
      <x:c r="L150" s="4"/>
    </x:row>
    <x:row r="151" ht="22" customHeight="1">
      <x:c r="A151" s="2"/>
      <x:c r="B151" s="2"/>
      <x:c r="C151" s="21" t="n">
        <x:f>135</x:f>
        <x:v>135</x:v>
      </x:c>
      <x:c r="D151" s="22" t="n">
        <x:f>IF($D$4="Ready",EDATE($D$9,C151-1),"n.a.")</x:f>
        <x:v>50406</x:v>
      </x:c>
      <x:c r="E151" s="4" t="n">
        <x:f>IF($D$4="Ready",K150,"n.a.")</x:f>
        <x:v>0</x:v>
      </x:c>
      <x:c r="F151" s="4" t="n">
        <x:f>IF($D$4="Ready",ROUND(E151*$D$6/12,2),"n.a.")</x:f>
        <x:v>0</x:v>
      </x:c>
      <x:c r="G151" s="4" t="n">
        <x:f>IF($D$4="Ready",IF(C151&gt;$D$7,0,IF(C151=$D$7,E151+F151,MIN($D$11,E151+F151))),"n.a.")</x:f>
        <x:v>0</x:v>
      </x:c>
      <x:c r="H151" s="4" t="n">
        <x:f>IF($D$4="Ready",MIN($D$8,MAX(0,E151+F151-G151)),"n.a.")</x:f>
        <x:v>0</x:v>
      </x:c>
      <x:c r="I151" s="4" t="n">
        <x:f>IF($D$4="Ready",ROUND(G151+H151,2),"n.a.")</x:f>
        <x:v>0</x:v>
      </x:c>
      <x:c r="J151" s="4" t="n">
        <x:f>IF($D$4="Ready",ROUND(I151-F151,2),"n.a.")</x:f>
        <x:v>0</x:v>
      </x:c>
      <x:c r="K151" s="4" t="n">
        <x:f>IF($D$4="Ready",MAX(0,ROUND(E151+F151-I151,2)),"n.a.")</x:f>
        <x:v>0</x:v>
      </x:c>
      <x:c r="L151" s="4"/>
    </x:row>
    <x:row r="152" ht="22" customHeight="1">
      <x:c r="A152" s="2"/>
      <x:c r="B152" s="2"/>
      <x:c r="C152" s="21" t="n">
        <x:f>136</x:f>
        <x:v>136</x:v>
      </x:c>
      <x:c r="D152" s="22" t="n">
        <x:f>IF($D$4="Ready",EDATE($D$9,C152-1),"n.a.")</x:f>
        <x:v>50437</x:v>
      </x:c>
      <x:c r="E152" s="4" t="n">
        <x:f>IF($D$4="Ready",K151,"n.a.")</x:f>
        <x:v>0</x:v>
      </x:c>
      <x:c r="F152" s="4" t="n">
        <x:f>IF($D$4="Ready",ROUND(E152*$D$6/12,2),"n.a.")</x:f>
        <x:v>0</x:v>
      </x:c>
      <x:c r="G152" s="4" t="n">
        <x:f>IF($D$4="Ready",IF(C152&gt;$D$7,0,IF(C152=$D$7,E152+F152,MIN($D$11,E152+F152))),"n.a.")</x:f>
        <x:v>0</x:v>
      </x:c>
      <x:c r="H152" s="4" t="n">
        <x:f>IF($D$4="Ready",MIN($D$8,MAX(0,E152+F152-G152)),"n.a.")</x:f>
        <x:v>0</x:v>
      </x:c>
      <x:c r="I152" s="4" t="n">
        <x:f>IF($D$4="Ready",ROUND(G152+H152,2),"n.a.")</x:f>
        <x:v>0</x:v>
      </x:c>
      <x:c r="J152" s="4" t="n">
        <x:f>IF($D$4="Ready",ROUND(I152-F152,2),"n.a.")</x:f>
        <x:v>0</x:v>
      </x:c>
      <x:c r="K152" s="4" t="n">
        <x:f>IF($D$4="Ready",MAX(0,ROUND(E152+F152-I152,2)),"n.a.")</x:f>
        <x:v>0</x:v>
      </x:c>
      <x:c r="L152" s="4"/>
    </x:row>
    <x:row r="153" ht="22" customHeight="1">
      <x:c r="A153" s="2"/>
      <x:c r="B153" s="2"/>
      <x:c r="C153" s="21" t="n">
        <x:f>137</x:f>
        <x:v>137</x:v>
      </x:c>
      <x:c r="D153" s="22" t="n">
        <x:f>IF($D$4="Ready",EDATE($D$9,C153-1),"n.a.")</x:f>
        <x:v>50465</x:v>
      </x:c>
      <x:c r="E153" s="4" t="n">
        <x:f>IF($D$4="Ready",K152,"n.a.")</x:f>
        <x:v>0</x:v>
      </x:c>
      <x:c r="F153" s="4" t="n">
        <x:f>IF($D$4="Ready",ROUND(E153*$D$6/12,2),"n.a.")</x:f>
        <x:v>0</x:v>
      </x:c>
      <x:c r="G153" s="4" t="n">
        <x:f>IF($D$4="Ready",IF(C153&gt;$D$7,0,IF(C153=$D$7,E153+F153,MIN($D$11,E153+F153))),"n.a.")</x:f>
        <x:v>0</x:v>
      </x:c>
      <x:c r="H153" s="4" t="n">
        <x:f>IF($D$4="Ready",MIN($D$8,MAX(0,E153+F153-G153)),"n.a.")</x:f>
        <x:v>0</x:v>
      </x:c>
      <x:c r="I153" s="4" t="n">
        <x:f>IF($D$4="Ready",ROUND(G153+H153,2),"n.a.")</x:f>
        <x:v>0</x:v>
      </x:c>
      <x:c r="J153" s="4" t="n">
        <x:f>IF($D$4="Ready",ROUND(I153-F153,2),"n.a.")</x:f>
        <x:v>0</x:v>
      </x:c>
      <x:c r="K153" s="4" t="n">
        <x:f>IF($D$4="Ready",MAX(0,ROUND(E153+F153-I153,2)),"n.a.")</x:f>
        <x:v>0</x:v>
      </x:c>
      <x:c r="L153" s="4"/>
    </x:row>
    <x:row r="154" ht="22" customHeight="1">
      <x:c r="A154" s="2"/>
      <x:c r="B154" s="2"/>
      <x:c r="C154" s="21" t="n">
        <x:f>138</x:f>
        <x:v>138</x:v>
      </x:c>
      <x:c r="D154" s="22" t="n">
        <x:f>IF($D$4="Ready",EDATE($D$9,C154-1),"n.a.")</x:f>
        <x:v>50496</x:v>
      </x:c>
      <x:c r="E154" s="4" t="n">
        <x:f>IF($D$4="Ready",K153,"n.a.")</x:f>
        <x:v>0</x:v>
      </x:c>
      <x:c r="F154" s="4" t="n">
        <x:f>IF($D$4="Ready",ROUND(E154*$D$6/12,2),"n.a.")</x:f>
        <x:v>0</x:v>
      </x:c>
      <x:c r="G154" s="4" t="n">
        <x:f>IF($D$4="Ready",IF(C154&gt;$D$7,0,IF(C154=$D$7,E154+F154,MIN($D$11,E154+F154))),"n.a.")</x:f>
        <x:v>0</x:v>
      </x:c>
      <x:c r="H154" s="4" t="n">
        <x:f>IF($D$4="Ready",MIN($D$8,MAX(0,E154+F154-G154)),"n.a.")</x:f>
        <x:v>0</x:v>
      </x:c>
      <x:c r="I154" s="4" t="n">
        <x:f>IF($D$4="Ready",ROUND(G154+H154,2),"n.a.")</x:f>
        <x:v>0</x:v>
      </x:c>
      <x:c r="J154" s="4" t="n">
        <x:f>IF($D$4="Ready",ROUND(I154-F154,2),"n.a.")</x:f>
        <x:v>0</x:v>
      </x:c>
      <x:c r="K154" s="4" t="n">
        <x:f>IF($D$4="Ready",MAX(0,ROUND(E154+F154-I154,2)),"n.a.")</x:f>
        <x:v>0</x:v>
      </x:c>
      <x:c r="L154" s="4"/>
    </x:row>
    <x:row r="155" ht="22" customHeight="1">
      <x:c r="A155" s="2"/>
      <x:c r="B155" s="2"/>
      <x:c r="C155" s="21" t="n">
        <x:f>139</x:f>
        <x:v>139</x:v>
      </x:c>
      <x:c r="D155" s="22" t="n">
        <x:f>IF($D$4="Ready",EDATE($D$9,C155-1),"n.a.")</x:f>
        <x:v>50526</x:v>
      </x:c>
      <x:c r="E155" s="4" t="n">
        <x:f>IF($D$4="Ready",K154,"n.a.")</x:f>
        <x:v>0</x:v>
      </x:c>
      <x:c r="F155" s="4" t="n">
        <x:f>IF($D$4="Ready",ROUND(E155*$D$6/12,2),"n.a.")</x:f>
        <x:v>0</x:v>
      </x:c>
      <x:c r="G155" s="4" t="n">
        <x:f>IF($D$4="Ready",IF(C155&gt;$D$7,0,IF(C155=$D$7,E155+F155,MIN($D$11,E155+F155))),"n.a.")</x:f>
        <x:v>0</x:v>
      </x:c>
      <x:c r="H155" s="4" t="n">
        <x:f>IF($D$4="Ready",MIN($D$8,MAX(0,E155+F155-G155)),"n.a.")</x:f>
        <x:v>0</x:v>
      </x:c>
      <x:c r="I155" s="4" t="n">
        <x:f>IF($D$4="Ready",ROUND(G155+H155,2),"n.a.")</x:f>
        <x:v>0</x:v>
      </x:c>
      <x:c r="J155" s="4" t="n">
        <x:f>IF($D$4="Ready",ROUND(I155-F155,2),"n.a.")</x:f>
        <x:v>0</x:v>
      </x:c>
      <x:c r="K155" s="4" t="n">
        <x:f>IF($D$4="Ready",MAX(0,ROUND(E155+F155-I155,2)),"n.a.")</x:f>
        <x:v>0</x:v>
      </x:c>
      <x:c r="L155" s="4"/>
    </x:row>
    <x:row r="156" ht="22" customHeight="1">
      <x:c r="A156" s="2"/>
      <x:c r="B156" s="2"/>
      <x:c r="C156" s="21" t="n">
        <x:f>140</x:f>
        <x:v>140</x:v>
      </x:c>
      <x:c r="D156" s="22" t="n">
        <x:f>IF($D$4="Ready",EDATE($D$9,C156-1),"n.a.")</x:f>
        <x:v>50557</x:v>
      </x:c>
      <x:c r="E156" s="4" t="n">
        <x:f>IF($D$4="Ready",K155,"n.a.")</x:f>
        <x:v>0</x:v>
      </x:c>
      <x:c r="F156" s="4" t="n">
        <x:f>IF($D$4="Ready",ROUND(E156*$D$6/12,2),"n.a.")</x:f>
        <x:v>0</x:v>
      </x:c>
      <x:c r="G156" s="4" t="n">
        <x:f>IF($D$4="Ready",IF(C156&gt;$D$7,0,IF(C156=$D$7,E156+F156,MIN($D$11,E156+F156))),"n.a.")</x:f>
        <x:v>0</x:v>
      </x:c>
      <x:c r="H156" s="4" t="n">
        <x:f>IF($D$4="Ready",MIN($D$8,MAX(0,E156+F156-G156)),"n.a.")</x:f>
        <x:v>0</x:v>
      </x:c>
      <x:c r="I156" s="4" t="n">
        <x:f>IF($D$4="Ready",ROUND(G156+H156,2),"n.a.")</x:f>
        <x:v>0</x:v>
      </x:c>
      <x:c r="J156" s="4" t="n">
        <x:f>IF($D$4="Ready",ROUND(I156-F156,2),"n.a.")</x:f>
        <x:v>0</x:v>
      </x:c>
      <x:c r="K156" s="4" t="n">
        <x:f>IF($D$4="Ready",MAX(0,ROUND(E156+F156-I156,2)),"n.a.")</x:f>
        <x:v>0</x:v>
      </x:c>
      <x:c r="L156" s="4"/>
    </x:row>
    <x:row r="157" ht="22" customHeight="1">
      <x:c r="A157" s="2"/>
      <x:c r="B157" s="2"/>
      <x:c r="C157" s="21" t="n">
        <x:f>141</x:f>
        <x:v>141</x:v>
      </x:c>
      <x:c r="D157" s="22" t="n">
        <x:f>IF($D$4="Ready",EDATE($D$9,C157-1),"n.a.")</x:f>
        <x:v>50587</x:v>
      </x:c>
      <x:c r="E157" s="4" t="n">
        <x:f>IF($D$4="Ready",K156,"n.a.")</x:f>
        <x:v>0</x:v>
      </x:c>
      <x:c r="F157" s="4" t="n">
        <x:f>IF($D$4="Ready",ROUND(E157*$D$6/12,2),"n.a.")</x:f>
        <x:v>0</x:v>
      </x:c>
      <x:c r="G157" s="4" t="n">
        <x:f>IF($D$4="Ready",IF(C157&gt;$D$7,0,IF(C157=$D$7,E157+F157,MIN($D$11,E157+F157))),"n.a.")</x:f>
        <x:v>0</x:v>
      </x:c>
      <x:c r="H157" s="4" t="n">
        <x:f>IF($D$4="Ready",MIN($D$8,MAX(0,E157+F157-G157)),"n.a.")</x:f>
        <x:v>0</x:v>
      </x:c>
      <x:c r="I157" s="4" t="n">
        <x:f>IF($D$4="Ready",ROUND(G157+H157,2),"n.a.")</x:f>
        <x:v>0</x:v>
      </x:c>
      <x:c r="J157" s="4" t="n">
        <x:f>IF($D$4="Ready",ROUND(I157-F157,2),"n.a.")</x:f>
        <x:v>0</x:v>
      </x:c>
      <x:c r="K157" s="4" t="n">
        <x:f>IF($D$4="Ready",MAX(0,ROUND(E157+F157-I157,2)),"n.a.")</x:f>
        <x:v>0</x:v>
      </x:c>
      <x:c r="L157" s="4"/>
    </x:row>
    <x:row r="158" ht="22" customHeight="1">
      <x:c r="A158" s="2"/>
      <x:c r="B158" s="2"/>
      <x:c r="C158" s="21" t="n">
        <x:f>142</x:f>
        <x:v>142</x:v>
      </x:c>
      <x:c r="D158" s="22" t="n">
        <x:f>IF($D$4="Ready",EDATE($D$9,C158-1),"n.a.")</x:f>
        <x:v>50618</x:v>
      </x:c>
      <x:c r="E158" s="4" t="n">
        <x:f>IF($D$4="Ready",K157,"n.a.")</x:f>
        <x:v>0</x:v>
      </x:c>
      <x:c r="F158" s="4" t="n">
        <x:f>IF($D$4="Ready",ROUND(E158*$D$6/12,2),"n.a.")</x:f>
        <x:v>0</x:v>
      </x:c>
      <x:c r="G158" s="4" t="n">
        <x:f>IF($D$4="Ready",IF(C158&gt;$D$7,0,IF(C158=$D$7,E158+F158,MIN($D$11,E158+F158))),"n.a.")</x:f>
        <x:v>0</x:v>
      </x:c>
      <x:c r="H158" s="4" t="n">
        <x:f>IF($D$4="Ready",MIN($D$8,MAX(0,E158+F158-G158)),"n.a.")</x:f>
        <x:v>0</x:v>
      </x:c>
      <x:c r="I158" s="4" t="n">
        <x:f>IF($D$4="Ready",ROUND(G158+H158,2),"n.a.")</x:f>
        <x:v>0</x:v>
      </x:c>
      <x:c r="J158" s="4" t="n">
        <x:f>IF($D$4="Ready",ROUND(I158-F158,2),"n.a.")</x:f>
        <x:v>0</x:v>
      </x:c>
      <x:c r="K158" s="4" t="n">
        <x:f>IF($D$4="Ready",MAX(0,ROUND(E158+F158-I158,2)),"n.a.")</x:f>
        <x:v>0</x:v>
      </x:c>
      <x:c r="L158" s="4"/>
    </x:row>
    <x:row r="159" ht="22" customHeight="1">
      <x:c r="A159" s="2"/>
      <x:c r="B159" s="2"/>
      <x:c r="C159" s="21" t="n">
        <x:f>143</x:f>
        <x:v>143</x:v>
      </x:c>
      <x:c r="D159" s="22" t="n">
        <x:f>IF($D$4="Ready",EDATE($D$9,C159-1),"n.a.")</x:f>
        <x:v>50649</x:v>
      </x:c>
      <x:c r="E159" s="4" t="n">
        <x:f>IF($D$4="Ready",K158,"n.a.")</x:f>
        <x:v>0</x:v>
      </x:c>
      <x:c r="F159" s="4" t="n">
        <x:f>IF($D$4="Ready",ROUND(E159*$D$6/12,2),"n.a.")</x:f>
        <x:v>0</x:v>
      </x:c>
      <x:c r="G159" s="4" t="n">
        <x:f>IF($D$4="Ready",IF(C159&gt;$D$7,0,IF(C159=$D$7,E159+F159,MIN($D$11,E159+F159))),"n.a.")</x:f>
        <x:v>0</x:v>
      </x:c>
      <x:c r="H159" s="4" t="n">
        <x:f>IF($D$4="Ready",MIN($D$8,MAX(0,E159+F159-G159)),"n.a.")</x:f>
        <x:v>0</x:v>
      </x:c>
      <x:c r="I159" s="4" t="n">
        <x:f>IF($D$4="Ready",ROUND(G159+H159,2),"n.a.")</x:f>
        <x:v>0</x:v>
      </x:c>
      <x:c r="J159" s="4" t="n">
        <x:f>IF($D$4="Ready",ROUND(I159-F159,2),"n.a.")</x:f>
        <x:v>0</x:v>
      </x:c>
      <x:c r="K159" s="4" t="n">
        <x:f>IF($D$4="Ready",MAX(0,ROUND(E159+F159-I159,2)),"n.a.")</x:f>
        <x:v>0</x:v>
      </x:c>
      <x:c r="L159" s="4"/>
    </x:row>
    <x:row r="160" ht="22" customHeight="1">
      <x:c r="A160" s="2"/>
      <x:c r="B160" s="2"/>
      <x:c r="C160" s="21" t="n">
        <x:f>144</x:f>
        <x:v>144</x:v>
      </x:c>
      <x:c r="D160" s="22" t="n">
        <x:f>IF($D$4="Ready",EDATE($D$9,C160-1),"n.a.")</x:f>
        <x:v>50679</x:v>
      </x:c>
      <x:c r="E160" s="4" t="n">
        <x:f>IF($D$4="Ready",K159,"n.a.")</x:f>
        <x:v>0</x:v>
      </x:c>
      <x:c r="F160" s="4" t="n">
        <x:f>IF($D$4="Ready",ROUND(E160*$D$6/12,2),"n.a.")</x:f>
        <x:v>0</x:v>
      </x:c>
      <x:c r="G160" s="4" t="n">
        <x:f>IF($D$4="Ready",IF(C160&gt;$D$7,0,IF(C160=$D$7,E160+F160,MIN($D$11,E160+F160))),"n.a.")</x:f>
        <x:v>0</x:v>
      </x:c>
      <x:c r="H160" s="4" t="n">
        <x:f>IF($D$4="Ready",MIN($D$8,MAX(0,E160+F160-G160)),"n.a.")</x:f>
        <x:v>0</x:v>
      </x:c>
      <x:c r="I160" s="4" t="n">
        <x:f>IF($D$4="Ready",ROUND(G160+H160,2),"n.a.")</x:f>
        <x:v>0</x:v>
      </x:c>
      <x:c r="J160" s="4" t="n">
        <x:f>IF($D$4="Ready",ROUND(I160-F160,2),"n.a.")</x:f>
        <x:v>0</x:v>
      </x:c>
      <x:c r="K160" s="4" t="n">
        <x:f>IF($D$4="Ready",MAX(0,ROUND(E160+F160-I160,2)),"n.a.")</x:f>
        <x:v>0</x:v>
      </x:c>
      <x:c r="L160" s="4"/>
    </x:row>
    <x:row r="161" ht="22" customHeight="1">
      <x:c r="A161" s="2"/>
      <x:c r="B161" s="2"/>
      <x:c r="C161" s="21" t="n">
        <x:f>145</x:f>
        <x:v>145</x:v>
      </x:c>
      <x:c r="D161" s="22" t="n">
        <x:f>IF($D$4="Ready",EDATE($D$9,C161-1),"n.a.")</x:f>
        <x:v>50710</x:v>
      </x:c>
      <x:c r="E161" s="4" t="n">
        <x:f>IF($D$4="Ready",K160,"n.a.")</x:f>
        <x:v>0</x:v>
      </x:c>
      <x:c r="F161" s="4" t="n">
        <x:f>IF($D$4="Ready",ROUND(E161*$D$6/12,2),"n.a.")</x:f>
        <x:v>0</x:v>
      </x:c>
      <x:c r="G161" s="4" t="n">
        <x:f>IF($D$4="Ready",IF(C161&gt;$D$7,0,IF(C161=$D$7,E161+F161,MIN($D$11,E161+F161))),"n.a.")</x:f>
        <x:v>0</x:v>
      </x:c>
      <x:c r="H161" s="4" t="n">
        <x:f>IF($D$4="Ready",MIN($D$8,MAX(0,E161+F161-G161)),"n.a.")</x:f>
        <x:v>0</x:v>
      </x:c>
      <x:c r="I161" s="4" t="n">
        <x:f>IF($D$4="Ready",ROUND(G161+H161,2),"n.a.")</x:f>
        <x:v>0</x:v>
      </x:c>
      <x:c r="J161" s="4" t="n">
        <x:f>IF($D$4="Ready",ROUND(I161-F161,2),"n.a.")</x:f>
        <x:v>0</x:v>
      </x:c>
      <x:c r="K161" s="4" t="n">
        <x:f>IF($D$4="Ready",MAX(0,ROUND(E161+F161-I161,2)),"n.a.")</x:f>
        <x:v>0</x:v>
      </x:c>
      <x:c r="L161" s="4"/>
    </x:row>
    <x:row r="162" ht="22" customHeight="1">
      <x:c r="A162" s="2"/>
      <x:c r="B162" s="2"/>
      <x:c r="C162" s="21" t="n">
        <x:f>146</x:f>
        <x:v>146</x:v>
      </x:c>
      <x:c r="D162" s="22" t="n">
        <x:f>IF($D$4="Ready",EDATE($D$9,C162-1),"n.a.")</x:f>
        <x:v>50740</x:v>
      </x:c>
      <x:c r="E162" s="4" t="n">
        <x:f>IF($D$4="Ready",K161,"n.a.")</x:f>
        <x:v>0</x:v>
      </x:c>
      <x:c r="F162" s="4" t="n">
        <x:f>IF($D$4="Ready",ROUND(E162*$D$6/12,2),"n.a.")</x:f>
        <x:v>0</x:v>
      </x:c>
      <x:c r="G162" s="4" t="n">
        <x:f>IF($D$4="Ready",IF(C162&gt;$D$7,0,IF(C162=$D$7,E162+F162,MIN($D$11,E162+F162))),"n.a.")</x:f>
        <x:v>0</x:v>
      </x:c>
      <x:c r="H162" s="4" t="n">
        <x:f>IF($D$4="Ready",MIN($D$8,MAX(0,E162+F162-G162)),"n.a.")</x:f>
        <x:v>0</x:v>
      </x:c>
      <x:c r="I162" s="4" t="n">
        <x:f>IF($D$4="Ready",ROUND(G162+H162,2),"n.a.")</x:f>
        <x:v>0</x:v>
      </x:c>
      <x:c r="J162" s="4" t="n">
        <x:f>IF($D$4="Ready",ROUND(I162-F162,2),"n.a.")</x:f>
        <x:v>0</x:v>
      </x:c>
      <x:c r="K162" s="4" t="n">
        <x:f>IF($D$4="Ready",MAX(0,ROUND(E162+F162-I162,2)),"n.a.")</x:f>
        <x:v>0</x:v>
      </x:c>
      <x:c r="L162" s="4"/>
    </x:row>
    <x:row r="163" ht="22" customHeight="1">
      <x:c r="A163" s="2"/>
      <x:c r="B163" s="2"/>
      <x:c r="C163" s="21" t="n">
        <x:f>147</x:f>
        <x:v>147</x:v>
      </x:c>
      <x:c r="D163" s="22" t="n">
        <x:f>IF($D$4="Ready",EDATE($D$9,C163-1),"n.a.")</x:f>
        <x:v>50771</x:v>
      </x:c>
      <x:c r="E163" s="4" t="n">
        <x:f>IF($D$4="Ready",K162,"n.a.")</x:f>
        <x:v>0</x:v>
      </x:c>
      <x:c r="F163" s="4" t="n">
        <x:f>IF($D$4="Ready",ROUND(E163*$D$6/12,2),"n.a.")</x:f>
        <x:v>0</x:v>
      </x:c>
      <x:c r="G163" s="4" t="n">
        <x:f>IF($D$4="Ready",IF(C163&gt;$D$7,0,IF(C163=$D$7,E163+F163,MIN($D$11,E163+F163))),"n.a.")</x:f>
        <x:v>0</x:v>
      </x:c>
      <x:c r="H163" s="4" t="n">
        <x:f>IF($D$4="Ready",MIN($D$8,MAX(0,E163+F163-G163)),"n.a.")</x:f>
        <x:v>0</x:v>
      </x:c>
      <x:c r="I163" s="4" t="n">
        <x:f>IF($D$4="Ready",ROUND(G163+H163,2),"n.a.")</x:f>
        <x:v>0</x:v>
      </x:c>
      <x:c r="J163" s="4" t="n">
        <x:f>IF($D$4="Ready",ROUND(I163-F163,2),"n.a.")</x:f>
        <x:v>0</x:v>
      </x:c>
      <x:c r="K163" s="4" t="n">
        <x:f>IF($D$4="Ready",MAX(0,ROUND(E163+F163-I163,2)),"n.a.")</x:f>
        <x:v>0</x:v>
      </x:c>
      <x:c r="L163" s="4"/>
    </x:row>
    <x:row r="164" ht="22" customHeight="1">
      <x:c r="A164" s="2"/>
      <x:c r="B164" s="2"/>
      <x:c r="C164" s="21" t="n">
        <x:f>148</x:f>
        <x:v>148</x:v>
      </x:c>
      <x:c r="D164" s="22" t="n">
        <x:f>IF($D$4="Ready",EDATE($D$9,C164-1),"n.a.")</x:f>
        <x:v>50802</x:v>
      </x:c>
      <x:c r="E164" s="4" t="n">
        <x:f>IF($D$4="Ready",K163,"n.a.")</x:f>
        <x:v>0</x:v>
      </x:c>
      <x:c r="F164" s="4" t="n">
        <x:f>IF($D$4="Ready",ROUND(E164*$D$6/12,2),"n.a.")</x:f>
        <x:v>0</x:v>
      </x:c>
      <x:c r="G164" s="4" t="n">
        <x:f>IF($D$4="Ready",IF(C164&gt;$D$7,0,IF(C164=$D$7,E164+F164,MIN($D$11,E164+F164))),"n.a.")</x:f>
        <x:v>0</x:v>
      </x:c>
      <x:c r="H164" s="4" t="n">
        <x:f>IF($D$4="Ready",MIN($D$8,MAX(0,E164+F164-G164)),"n.a.")</x:f>
        <x:v>0</x:v>
      </x:c>
      <x:c r="I164" s="4" t="n">
        <x:f>IF($D$4="Ready",ROUND(G164+H164,2),"n.a.")</x:f>
        <x:v>0</x:v>
      </x:c>
      <x:c r="J164" s="4" t="n">
        <x:f>IF($D$4="Ready",ROUND(I164-F164,2),"n.a.")</x:f>
        <x:v>0</x:v>
      </x:c>
      <x:c r="K164" s="4" t="n">
        <x:f>IF($D$4="Ready",MAX(0,ROUND(E164+F164-I164,2)),"n.a.")</x:f>
        <x:v>0</x:v>
      </x:c>
      <x:c r="L164" s="4"/>
    </x:row>
    <x:row r="165" ht="22" customHeight="1">
      <x:c r="A165" s="2"/>
      <x:c r="B165" s="2"/>
      <x:c r="C165" s="21" t="n">
        <x:f>149</x:f>
        <x:v>149</x:v>
      </x:c>
      <x:c r="D165" s="22" t="n">
        <x:f>IF($D$4="Ready",EDATE($D$9,C165-1),"n.a.")</x:f>
        <x:v>50830</x:v>
      </x:c>
      <x:c r="E165" s="4" t="n">
        <x:f>IF($D$4="Ready",K164,"n.a.")</x:f>
        <x:v>0</x:v>
      </x:c>
      <x:c r="F165" s="4" t="n">
        <x:f>IF($D$4="Ready",ROUND(E165*$D$6/12,2),"n.a.")</x:f>
        <x:v>0</x:v>
      </x:c>
      <x:c r="G165" s="4" t="n">
        <x:f>IF($D$4="Ready",IF(C165&gt;$D$7,0,IF(C165=$D$7,E165+F165,MIN($D$11,E165+F165))),"n.a.")</x:f>
        <x:v>0</x:v>
      </x:c>
      <x:c r="H165" s="4" t="n">
        <x:f>IF($D$4="Ready",MIN($D$8,MAX(0,E165+F165-G165)),"n.a.")</x:f>
        <x:v>0</x:v>
      </x:c>
      <x:c r="I165" s="4" t="n">
        <x:f>IF($D$4="Ready",ROUND(G165+H165,2),"n.a.")</x:f>
        <x:v>0</x:v>
      </x:c>
      <x:c r="J165" s="4" t="n">
        <x:f>IF($D$4="Ready",ROUND(I165-F165,2),"n.a.")</x:f>
        <x:v>0</x:v>
      </x:c>
      <x:c r="K165" s="4" t="n">
        <x:f>IF($D$4="Ready",MAX(0,ROUND(E165+F165-I165,2)),"n.a.")</x:f>
        <x:v>0</x:v>
      </x:c>
      <x:c r="L165" s="4"/>
    </x:row>
    <x:row r="166" ht="22" customHeight="1">
      <x:c r="A166" s="2"/>
      <x:c r="B166" s="2"/>
      <x:c r="C166" s="21" t="n">
        <x:f>150</x:f>
        <x:v>150</x:v>
      </x:c>
      <x:c r="D166" s="22" t="n">
        <x:f>IF($D$4="Ready",EDATE($D$9,C166-1),"n.a.")</x:f>
        <x:v>50861</x:v>
      </x:c>
      <x:c r="E166" s="4" t="n">
        <x:f>IF($D$4="Ready",K165,"n.a.")</x:f>
        <x:v>0</x:v>
      </x:c>
      <x:c r="F166" s="4" t="n">
        <x:f>IF($D$4="Ready",ROUND(E166*$D$6/12,2),"n.a.")</x:f>
        <x:v>0</x:v>
      </x:c>
      <x:c r="G166" s="4" t="n">
        <x:f>IF($D$4="Ready",IF(C166&gt;$D$7,0,IF(C166=$D$7,E166+F166,MIN($D$11,E166+F166))),"n.a.")</x:f>
        <x:v>0</x:v>
      </x:c>
      <x:c r="H166" s="4" t="n">
        <x:f>IF($D$4="Ready",MIN($D$8,MAX(0,E166+F166-G166)),"n.a.")</x:f>
        <x:v>0</x:v>
      </x:c>
      <x:c r="I166" s="4" t="n">
        <x:f>IF($D$4="Ready",ROUND(G166+H166,2),"n.a.")</x:f>
        <x:v>0</x:v>
      </x:c>
      <x:c r="J166" s="4" t="n">
        <x:f>IF($D$4="Ready",ROUND(I166-F166,2),"n.a.")</x:f>
        <x:v>0</x:v>
      </x:c>
      <x:c r="K166" s="4" t="n">
        <x:f>IF($D$4="Ready",MAX(0,ROUND(E166+F166-I166,2)),"n.a.")</x:f>
        <x:v>0</x:v>
      </x:c>
      <x:c r="L166" s="4"/>
    </x:row>
    <x:row r="167" ht="22" customHeight="1">
      <x:c r="A167" s="2"/>
      <x:c r="B167" s="2"/>
      <x:c r="C167" s="21" t="n">
        <x:f>151</x:f>
        <x:v>151</x:v>
      </x:c>
      <x:c r="D167" s="22" t="n">
        <x:f>IF($D$4="Ready",EDATE($D$9,C167-1),"n.a.")</x:f>
        <x:v>50891</x:v>
      </x:c>
      <x:c r="E167" s="4" t="n">
        <x:f>IF($D$4="Ready",K166,"n.a.")</x:f>
        <x:v>0</x:v>
      </x:c>
      <x:c r="F167" s="4" t="n">
        <x:f>IF($D$4="Ready",ROUND(E167*$D$6/12,2),"n.a.")</x:f>
        <x:v>0</x:v>
      </x:c>
      <x:c r="G167" s="4" t="n">
        <x:f>IF($D$4="Ready",IF(C167&gt;$D$7,0,IF(C167=$D$7,E167+F167,MIN($D$11,E167+F167))),"n.a.")</x:f>
        <x:v>0</x:v>
      </x:c>
      <x:c r="H167" s="4" t="n">
        <x:f>IF($D$4="Ready",MIN($D$8,MAX(0,E167+F167-G167)),"n.a.")</x:f>
        <x:v>0</x:v>
      </x:c>
      <x:c r="I167" s="4" t="n">
        <x:f>IF($D$4="Ready",ROUND(G167+H167,2),"n.a.")</x:f>
        <x:v>0</x:v>
      </x:c>
      <x:c r="J167" s="4" t="n">
        <x:f>IF($D$4="Ready",ROUND(I167-F167,2),"n.a.")</x:f>
        <x:v>0</x:v>
      </x:c>
      <x:c r="K167" s="4" t="n">
        <x:f>IF($D$4="Ready",MAX(0,ROUND(E167+F167-I167,2)),"n.a.")</x:f>
        <x:v>0</x:v>
      </x:c>
      <x:c r="L167" s="4"/>
    </x:row>
    <x:row r="168" ht="22" customHeight="1">
      <x:c r="A168" s="2"/>
      <x:c r="B168" s="2"/>
      <x:c r="C168" s="21" t="n">
        <x:f>152</x:f>
        <x:v>152</x:v>
      </x:c>
      <x:c r="D168" s="22" t="n">
        <x:f>IF($D$4="Ready",EDATE($D$9,C168-1),"n.a.")</x:f>
        <x:v>50922</x:v>
      </x:c>
      <x:c r="E168" s="4" t="n">
        <x:f>IF($D$4="Ready",K167,"n.a.")</x:f>
        <x:v>0</x:v>
      </x:c>
      <x:c r="F168" s="4" t="n">
        <x:f>IF($D$4="Ready",ROUND(E168*$D$6/12,2),"n.a.")</x:f>
        <x:v>0</x:v>
      </x:c>
      <x:c r="G168" s="4" t="n">
        <x:f>IF($D$4="Ready",IF(C168&gt;$D$7,0,IF(C168=$D$7,E168+F168,MIN($D$11,E168+F168))),"n.a.")</x:f>
        <x:v>0</x:v>
      </x:c>
      <x:c r="H168" s="4" t="n">
        <x:f>IF($D$4="Ready",MIN($D$8,MAX(0,E168+F168-G168)),"n.a.")</x:f>
        <x:v>0</x:v>
      </x:c>
      <x:c r="I168" s="4" t="n">
        <x:f>IF($D$4="Ready",ROUND(G168+H168,2),"n.a.")</x:f>
        <x:v>0</x:v>
      </x:c>
      <x:c r="J168" s="4" t="n">
        <x:f>IF($D$4="Ready",ROUND(I168-F168,2),"n.a.")</x:f>
        <x:v>0</x:v>
      </x:c>
      <x:c r="K168" s="4" t="n">
        <x:f>IF($D$4="Ready",MAX(0,ROUND(E168+F168-I168,2)),"n.a.")</x:f>
        <x:v>0</x:v>
      </x:c>
      <x:c r="L168" s="4"/>
    </x:row>
    <x:row r="169" ht="22" customHeight="1">
      <x:c r="A169" s="2"/>
      <x:c r="B169" s="2"/>
      <x:c r="C169" s="21" t="n">
        <x:f>153</x:f>
        <x:v>153</x:v>
      </x:c>
      <x:c r="D169" s="22" t="n">
        <x:f>IF($D$4="Ready",EDATE($D$9,C169-1),"n.a.")</x:f>
        <x:v>50952</x:v>
      </x:c>
      <x:c r="E169" s="4" t="n">
        <x:f>IF($D$4="Ready",K168,"n.a.")</x:f>
        <x:v>0</x:v>
      </x:c>
      <x:c r="F169" s="4" t="n">
        <x:f>IF($D$4="Ready",ROUND(E169*$D$6/12,2),"n.a.")</x:f>
        <x:v>0</x:v>
      </x:c>
      <x:c r="G169" s="4" t="n">
        <x:f>IF($D$4="Ready",IF(C169&gt;$D$7,0,IF(C169=$D$7,E169+F169,MIN($D$11,E169+F169))),"n.a.")</x:f>
        <x:v>0</x:v>
      </x:c>
      <x:c r="H169" s="4" t="n">
        <x:f>IF($D$4="Ready",MIN($D$8,MAX(0,E169+F169-G169)),"n.a.")</x:f>
        <x:v>0</x:v>
      </x:c>
      <x:c r="I169" s="4" t="n">
        <x:f>IF($D$4="Ready",ROUND(G169+H169,2),"n.a.")</x:f>
        <x:v>0</x:v>
      </x:c>
      <x:c r="J169" s="4" t="n">
        <x:f>IF($D$4="Ready",ROUND(I169-F169,2),"n.a.")</x:f>
        <x:v>0</x:v>
      </x:c>
      <x:c r="K169" s="4" t="n">
        <x:f>IF($D$4="Ready",MAX(0,ROUND(E169+F169-I169,2)),"n.a.")</x:f>
        <x:v>0</x:v>
      </x:c>
      <x:c r="L169" s="4"/>
    </x:row>
    <x:row r="170" ht="22" customHeight="1">
      <x:c r="A170" s="2"/>
      <x:c r="B170" s="2"/>
      <x:c r="C170" s="21" t="n">
        <x:f>154</x:f>
        <x:v>154</x:v>
      </x:c>
      <x:c r="D170" s="22" t="n">
        <x:f>IF($D$4="Ready",EDATE($D$9,C170-1),"n.a.")</x:f>
        <x:v>50983</x:v>
      </x:c>
      <x:c r="E170" s="4" t="n">
        <x:f>IF($D$4="Ready",K169,"n.a.")</x:f>
        <x:v>0</x:v>
      </x:c>
      <x:c r="F170" s="4" t="n">
        <x:f>IF($D$4="Ready",ROUND(E170*$D$6/12,2),"n.a.")</x:f>
        <x:v>0</x:v>
      </x:c>
      <x:c r="G170" s="4" t="n">
        <x:f>IF($D$4="Ready",IF(C170&gt;$D$7,0,IF(C170=$D$7,E170+F170,MIN($D$11,E170+F170))),"n.a.")</x:f>
        <x:v>0</x:v>
      </x:c>
      <x:c r="H170" s="4" t="n">
        <x:f>IF($D$4="Ready",MIN($D$8,MAX(0,E170+F170-G170)),"n.a.")</x:f>
        <x:v>0</x:v>
      </x:c>
      <x:c r="I170" s="4" t="n">
        <x:f>IF($D$4="Ready",ROUND(G170+H170,2),"n.a.")</x:f>
        <x:v>0</x:v>
      </x:c>
      <x:c r="J170" s="4" t="n">
        <x:f>IF($D$4="Ready",ROUND(I170-F170,2),"n.a.")</x:f>
        <x:v>0</x:v>
      </x:c>
      <x:c r="K170" s="4" t="n">
        <x:f>IF($D$4="Ready",MAX(0,ROUND(E170+F170-I170,2)),"n.a.")</x:f>
        <x:v>0</x:v>
      </x:c>
      <x:c r="L170" s="4"/>
    </x:row>
    <x:row r="171" ht="22" customHeight="1">
      <x:c r="A171" s="2"/>
      <x:c r="B171" s="2"/>
      <x:c r="C171" s="21" t="n">
        <x:f>155</x:f>
        <x:v>155</x:v>
      </x:c>
      <x:c r="D171" s="22" t="n">
        <x:f>IF($D$4="Ready",EDATE($D$9,C171-1),"n.a.")</x:f>
        <x:v>51014</x:v>
      </x:c>
      <x:c r="E171" s="4" t="n">
        <x:f>IF($D$4="Ready",K170,"n.a.")</x:f>
        <x:v>0</x:v>
      </x:c>
      <x:c r="F171" s="4" t="n">
        <x:f>IF($D$4="Ready",ROUND(E171*$D$6/12,2),"n.a.")</x:f>
        <x:v>0</x:v>
      </x:c>
      <x:c r="G171" s="4" t="n">
        <x:f>IF($D$4="Ready",IF(C171&gt;$D$7,0,IF(C171=$D$7,E171+F171,MIN($D$11,E171+F171))),"n.a.")</x:f>
        <x:v>0</x:v>
      </x:c>
      <x:c r="H171" s="4" t="n">
        <x:f>IF($D$4="Ready",MIN($D$8,MAX(0,E171+F171-G171)),"n.a.")</x:f>
        <x:v>0</x:v>
      </x:c>
      <x:c r="I171" s="4" t="n">
        <x:f>IF($D$4="Ready",ROUND(G171+H171,2),"n.a.")</x:f>
        <x:v>0</x:v>
      </x:c>
      <x:c r="J171" s="4" t="n">
        <x:f>IF($D$4="Ready",ROUND(I171-F171,2),"n.a.")</x:f>
        <x:v>0</x:v>
      </x:c>
      <x:c r="K171" s="4" t="n">
        <x:f>IF($D$4="Ready",MAX(0,ROUND(E171+F171-I171,2)),"n.a.")</x:f>
        <x:v>0</x:v>
      </x:c>
      <x:c r="L171" s="4"/>
    </x:row>
    <x:row r="172" ht="22" customHeight="1">
      <x:c r="A172" s="2"/>
      <x:c r="B172" s="2"/>
      <x:c r="C172" s="21" t="n">
        <x:f>156</x:f>
        <x:v>156</x:v>
      </x:c>
      <x:c r="D172" s="22" t="n">
        <x:f>IF($D$4="Ready",EDATE($D$9,C172-1),"n.a.")</x:f>
        <x:v>51044</x:v>
      </x:c>
      <x:c r="E172" s="4" t="n">
        <x:f>IF($D$4="Ready",K171,"n.a.")</x:f>
        <x:v>0</x:v>
      </x:c>
      <x:c r="F172" s="4" t="n">
        <x:f>IF($D$4="Ready",ROUND(E172*$D$6/12,2),"n.a.")</x:f>
        <x:v>0</x:v>
      </x:c>
      <x:c r="G172" s="4" t="n">
        <x:f>IF($D$4="Ready",IF(C172&gt;$D$7,0,IF(C172=$D$7,E172+F172,MIN($D$11,E172+F172))),"n.a.")</x:f>
        <x:v>0</x:v>
      </x:c>
      <x:c r="H172" s="4" t="n">
        <x:f>IF($D$4="Ready",MIN($D$8,MAX(0,E172+F172-G172)),"n.a.")</x:f>
        <x:v>0</x:v>
      </x:c>
      <x:c r="I172" s="4" t="n">
        <x:f>IF($D$4="Ready",ROUND(G172+H172,2),"n.a.")</x:f>
        <x:v>0</x:v>
      </x:c>
      <x:c r="J172" s="4" t="n">
        <x:f>IF($D$4="Ready",ROUND(I172-F172,2),"n.a.")</x:f>
        <x:v>0</x:v>
      </x:c>
      <x:c r="K172" s="4" t="n">
        <x:f>IF($D$4="Ready",MAX(0,ROUND(E172+F172-I172,2)),"n.a.")</x:f>
        <x:v>0</x:v>
      </x:c>
      <x:c r="L172" s="4"/>
    </x:row>
    <x:row r="173" ht="22" customHeight="1">
      <x:c r="A173" s="2"/>
      <x:c r="B173" s="2"/>
      <x:c r="C173" s="21" t="n">
        <x:f>157</x:f>
        <x:v>157</x:v>
      </x:c>
      <x:c r="D173" s="22" t="n">
        <x:f>IF($D$4="Ready",EDATE($D$9,C173-1),"n.a.")</x:f>
        <x:v>51075</x:v>
      </x:c>
      <x:c r="E173" s="4" t="n">
        <x:f>IF($D$4="Ready",K172,"n.a.")</x:f>
        <x:v>0</x:v>
      </x:c>
      <x:c r="F173" s="4" t="n">
        <x:f>IF($D$4="Ready",ROUND(E173*$D$6/12,2),"n.a.")</x:f>
        <x:v>0</x:v>
      </x:c>
      <x:c r="G173" s="4" t="n">
        <x:f>IF($D$4="Ready",IF(C173&gt;$D$7,0,IF(C173=$D$7,E173+F173,MIN($D$11,E173+F173))),"n.a.")</x:f>
        <x:v>0</x:v>
      </x:c>
      <x:c r="H173" s="4" t="n">
        <x:f>IF($D$4="Ready",MIN($D$8,MAX(0,E173+F173-G173)),"n.a.")</x:f>
        <x:v>0</x:v>
      </x:c>
      <x:c r="I173" s="4" t="n">
        <x:f>IF($D$4="Ready",ROUND(G173+H173,2),"n.a.")</x:f>
        <x:v>0</x:v>
      </x:c>
      <x:c r="J173" s="4" t="n">
        <x:f>IF($D$4="Ready",ROUND(I173-F173,2),"n.a.")</x:f>
        <x:v>0</x:v>
      </x:c>
      <x:c r="K173" s="4" t="n">
        <x:f>IF($D$4="Ready",MAX(0,ROUND(E173+F173-I173,2)),"n.a.")</x:f>
        <x:v>0</x:v>
      </x:c>
      <x:c r="L173" s="4"/>
    </x:row>
    <x:row r="174" ht="22" customHeight="1">
      <x:c r="A174" s="2"/>
      <x:c r="B174" s="2"/>
      <x:c r="C174" s="21" t="n">
        <x:f>158</x:f>
        <x:v>158</x:v>
      </x:c>
      <x:c r="D174" s="22" t="n">
        <x:f>IF($D$4="Ready",EDATE($D$9,C174-1),"n.a.")</x:f>
        <x:v>51105</x:v>
      </x:c>
      <x:c r="E174" s="4" t="n">
        <x:f>IF($D$4="Ready",K173,"n.a.")</x:f>
        <x:v>0</x:v>
      </x:c>
      <x:c r="F174" s="4" t="n">
        <x:f>IF($D$4="Ready",ROUND(E174*$D$6/12,2),"n.a.")</x:f>
        <x:v>0</x:v>
      </x:c>
      <x:c r="G174" s="4" t="n">
        <x:f>IF($D$4="Ready",IF(C174&gt;$D$7,0,IF(C174=$D$7,E174+F174,MIN($D$11,E174+F174))),"n.a.")</x:f>
        <x:v>0</x:v>
      </x:c>
      <x:c r="H174" s="4" t="n">
        <x:f>IF($D$4="Ready",MIN($D$8,MAX(0,E174+F174-G174)),"n.a.")</x:f>
        <x:v>0</x:v>
      </x:c>
      <x:c r="I174" s="4" t="n">
        <x:f>IF($D$4="Ready",ROUND(G174+H174,2),"n.a.")</x:f>
        <x:v>0</x:v>
      </x:c>
      <x:c r="J174" s="4" t="n">
        <x:f>IF($D$4="Ready",ROUND(I174-F174,2),"n.a.")</x:f>
        <x:v>0</x:v>
      </x:c>
      <x:c r="K174" s="4" t="n">
        <x:f>IF($D$4="Ready",MAX(0,ROUND(E174+F174-I174,2)),"n.a.")</x:f>
        <x:v>0</x:v>
      </x:c>
      <x:c r="L174" s="4"/>
    </x:row>
    <x:row r="175" ht="22" customHeight="1">
      <x:c r="A175" s="2"/>
      <x:c r="B175" s="2"/>
      <x:c r="C175" s="21" t="n">
        <x:f>159</x:f>
        <x:v>159</x:v>
      </x:c>
      <x:c r="D175" s="22" t="n">
        <x:f>IF($D$4="Ready",EDATE($D$9,C175-1),"n.a.")</x:f>
        <x:v>51136</x:v>
      </x:c>
      <x:c r="E175" s="4" t="n">
        <x:f>IF($D$4="Ready",K174,"n.a.")</x:f>
        <x:v>0</x:v>
      </x:c>
      <x:c r="F175" s="4" t="n">
        <x:f>IF($D$4="Ready",ROUND(E175*$D$6/12,2),"n.a.")</x:f>
        <x:v>0</x:v>
      </x:c>
      <x:c r="G175" s="4" t="n">
        <x:f>IF($D$4="Ready",IF(C175&gt;$D$7,0,IF(C175=$D$7,E175+F175,MIN($D$11,E175+F175))),"n.a.")</x:f>
        <x:v>0</x:v>
      </x:c>
      <x:c r="H175" s="4" t="n">
        <x:f>IF($D$4="Ready",MIN($D$8,MAX(0,E175+F175-G175)),"n.a.")</x:f>
        <x:v>0</x:v>
      </x:c>
      <x:c r="I175" s="4" t="n">
        <x:f>IF($D$4="Ready",ROUND(G175+H175,2),"n.a.")</x:f>
        <x:v>0</x:v>
      </x:c>
      <x:c r="J175" s="4" t="n">
        <x:f>IF($D$4="Ready",ROUND(I175-F175,2),"n.a.")</x:f>
        <x:v>0</x:v>
      </x:c>
      <x:c r="K175" s="4" t="n">
        <x:f>IF($D$4="Ready",MAX(0,ROUND(E175+F175-I175,2)),"n.a.")</x:f>
        <x:v>0</x:v>
      </x:c>
      <x:c r="L175" s="4"/>
    </x:row>
    <x:row r="176" ht="22" customHeight="1">
      <x:c r="A176" s="2"/>
      <x:c r="B176" s="2"/>
      <x:c r="C176" s="21" t="n">
        <x:f>160</x:f>
        <x:v>160</x:v>
      </x:c>
      <x:c r="D176" s="22" t="n">
        <x:f>IF($D$4="Ready",EDATE($D$9,C176-1),"n.a.")</x:f>
        <x:v>51167</x:v>
      </x:c>
      <x:c r="E176" s="4" t="n">
        <x:f>IF($D$4="Ready",K175,"n.a.")</x:f>
        <x:v>0</x:v>
      </x:c>
      <x:c r="F176" s="4" t="n">
        <x:f>IF($D$4="Ready",ROUND(E176*$D$6/12,2),"n.a.")</x:f>
        <x:v>0</x:v>
      </x:c>
      <x:c r="G176" s="4" t="n">
        <x:f>IF($D$4="Ready",IF(C176&gt;$D$7,0,IF(C176=$D$7,E176+F176,MIN($D$11,E176+F176))),"n.a.")</x:f>
        <x:v>0</x:v>
      </x:c>
      <x:c r="H176" s="4" t="n">
        <x:f>IF($D$4="Ready",MIN($D$8,MAX(0,E176+F176-G176)),"n.a.")</x:f>
        <x:v>0</x:v>
      </x:c>
      <x:c r="I176" s="4" t="n">
        <x:f>IF($D$4="Ready",ROUND(G176+H176,2),"n.a.")</x:f>
        <x:v>0</x:v>
      </x:c>
      <x:c r="J176" s="4" t="n">
        <x:f>IF($D$4="Ready",ROUND(I176-F176,2),"n.a.")</x:f>
        <x:v>0</x:v>
      </x:c>
      <x:c r="K176" s="4" t="n">
        <x:f>IF($D$4="Ready",MAX(0,ROUND(E176+F176-I176,2)),"n.a.")</x:f>
        <x:v>0</x:v>
      </x:c>
      <x:c r="L176" s="4"/>
    </x:row>
    <x:row r="177" ht="22" customHeight="1">
      <x:c r="A177" s="2"/>
      <x:c r="B177" s="2"/>
      <x:c r="C177" s="21" t="n">
        <x:f>161</x:f>
        <x:v>161</x:v>
      </x:c>
      <x:c r="D177" s="22" t="n">
        <x:f>IF($D$4="Ready",EDATE($D$9,C177-1),"n.a.")</x:f>
        <x:v>51196</x:v>
      </x:c>
      <x:c r="E177" s="4" t="n">
        <x:f>IF($D$4="Ready",K176,"n.a.")</x:f>
        <x:v>0</x:v>
      </x:c>
      <x:c r="F177" s="4" t="n">
        <x:f>IF($D$4="Ready",ROUND(E177*$D$6/12,2),"n.a.")</x:f>
        <x:v>0</x:v>
      </x:c>
      <x:c r="G177" s="4" t="n">
        <x:f>IF($D$4="Ready",IF(C177&gt;$D$7,0,IF(C177=$D$7,E177+F177,MIN($D$11,E177+F177))),"n.a.")</x:f>
        <x:v>0</x:v>
      </x:c>
      <x:c r="H177" s="4" t="n">
        <x:f>IF($D$4="Ready",MIN($D$8,MAX(0,E177+F177-G177)),"n.a.")</x:f>
        <x:v>0</x:v>
      </x:c>
      <x:c r="I177" s="4" t="n">
        <x:f>IF($D$4="Ready",ROUND(G177+H177,2),"n.a.")</x:f>
        <x:v>0</x:v>
      </x:c>
      <x:c r="J177" s="4" t="n">
        <x:f>IF($D$4="Ready",ROUND(I177-F177,2),"n.a.")</x:f>
        <x:v>0</x:v>
      </x:c>
      <x:c r="K177" s="4" t="n">
        <x:f>IF($D$4="Ready",MAX(0,ROUND(E177+F177-I177,2)),"n.a.")</x:f>
        <x:v>0</x:v>
      </x:c>
      <x:c r="L177" s="4"/>
    </x:row>
    <x:row r="178" ht="22" customHeight="1">
      <x:c r="A178" s="2"/>
      <x:c r="B178" s="2"/>
      <x:c r="C178" s="21" t="n">
        <x:f>162</x:f>
        <x:v>162</x:v>
      </x:c>
      <x:c r="D178" s="22" t="n">
        <x:f>IF($D$4="Ready",EDATE($D$9,C178-1),"n.a.")</x:f>
        <x:v>51227</x:v>
      </x:c>
      <x:c r="E178" s="4" t="n">
        <x:f>IF($D$4="Ready",K177,"n.a.")</x:f>
        <x:v>0</x:v>
      </x:c>
      <x:c r="F178" s="4" t="n">
        <x:f>IF($D$4="Ready",ROUND(E178*$D$6/12,2),"n.a.")</x:f>
        <x:v>0</x:v>
      </x:c>
      <x:c r="G178" s="4" t="n">
        <x:f>IF($D$4="Ready",IF(C178&gt;$D$7,0,IF(C178=$D$7,E178+F178,MIN($D$11,E178+F178))),"n.a.")</x:f>
        <x:v>0</x:v>
      </x:c>
      <x:c r="H178" s="4" t="n">
        <x:f>IF($D$4="Ready",MIN($D$8,MAX(0,E178+F178-G178)),"n.a.")</x:f>
        <x:v>0</x:v>
      </x:c>
      <x:c r="I178" s="4" t="n">
        <x:f>IF($D$4="Ready",ROUND(G178+H178,2),"n.a.")</x:f>
        <x:v>0</x:v>
      </x:c>
      <x:c r="J178" s="4" t="n">
        <x:f>IF($D$4="Ready",ROUND(I178-F178,2),"n.a.")</x:f>
        <x:v>0</x:v>
      </x:c>
      <x:c r="K178" s="4" t="n">
        <x:f>IF($D$4="Ready",MAX(0,ROUND(E178+F178-I178,2)),"n.a.")</x:f>
        <x:v>0</x:v>
      </x:c>
      <x:c r="L178" s="4"/>
    </x:row>
    <x:row r="179" ht="22" customHeight="1">
      <x:c r="A179" s="2"/>
      <x:c r="B179" s="2"/>
      <x:c r="C179" s="21" t="n">
        <x:f>163</x:f>
        <x:v>163</x:v>
      </x:c>
      <x:c r="D179" s="22" t="n">
        <x:f>IF($D$4="Ready",EDATE($D$9,C179-1),"n.a.")</x:f>
        <x:v>51257</x:v>
      </x:c>
      <x:c r="E179" s="4" t="n">
        <x:f>IF($D$4="Ready",K178,"n.a.")</x:f>
        <x:v>0</x:v>
      </x:c>
      <x:c r="F179" s="4" t="n">
        <x:f>IF($D$4="Ready",ROUND(E179*$D$6/12,2),"n.a.")</x:f>
        <x:v>0</x:v>
      </x:c>
      <x:c r="G179" s="4" t="n">
        <x:f>IF($D$4="Ready",IF(C179&gt;$D$7,0,IF(C179=$D$7,E179+F179,MIN($D$11,E179+F179))),"n.a.")</x:f>
        <x:v>0</x:v>
      </x:c>
      <x:c r="H179" s="4" t="n">
        <x:f>IF($D$4="Ready",MIN($D$8,MAX(0,E179+F179-G179)),"n.a.")</x:f>
        <x:v>0</x:v>
      </x:c>
      <x:c r="I179" s="4" t="n">
        <x:f>IF($D$4="Ready",ROUND(G179+H179,2),"n.a.")</x:f>
        <x:v>0</x:v>
      </x:c>
      <x:c r="J179" s="4" t="n">
        <x:f>IF($D$4="Ready",ROUND(I179-F179,2),"n.a.")</x:f>
        <x:v>0</x:v>
      </x:c>
      <x:c r="K179" s="4" t="n">
        <x:f>IF($D$4="Ready",MAX(0,ROUND(E179+F179-I179,2)),"n.a.")</x:f>
        <x:v>0</x:v>
      </x:c>
      <x:c r="L179" s="4"/>
    </x:row>
    <x:row r="180" ht="22" customHeight="1">
      <x:c r="A180" s="2"/>
      <x:c r="B180" s="2"/>
      <x:c r="C180" s="21" t="n">
        <x:f>164</x:f>
        <x:v>164</x:v>
      </x:c>
      <x:c r="D180" s="22" t="n">
        <x:f>IF($D$4="Ready",EDATE($D$9,C180-1),"n.a.")</x:f>
        <x:v>51288</x:v>
      </x:c>
      <x:c r="E180" s="4" t="n">
        <x:f>IF($D$4="Ready",K179,"n.a.")</x:f>
        <x:v>0</x:v>
      </x:c>
      <x:c r="F180" s="4" t="n">
        <x:f>IF($D$4="Ready",ROUND(E180*$D$6/12,2),"n.a.")</x:f>
        <x:v>0</x:v>
      </x:c>
      <x:c r="G180" s="4" t="n">
        <x:f>IF($D$4="Ready",IF(C180&gt;$D$7,0,IF(C180=$D$7,E180+F180,MIN($D$11,E180+F180))),"n.a.")</x:f>
        <x:v>0</x:v>
      </x:c>
      <x:c r="H180" s="4" t="n">
        <x:f>IF($D$4="Ready",MIN($D$8,MAX(0,E180+F180-G180)),"n.a.")</x:f>
        <x:v>0</x:v>
      </x:c>
      <x:c r="I180" s="4" t="n">
        <x:f>IF($D$4="Ready",ROUND(G180+H180,2),"n.a.")</x:f>
        <x:v>0</x:v>
      </x:c>
      <x:c r="J180" s="4" t="n">
        <x:f>IF($D$4="Ready",ROUND(I180-F180,2),"n.a.")</x:f>
        <x:v>0</x:v>
      </x:c>
      <x:c r="K180" s="4" t="n">
        <x:f>IF($D$4="Ready",MAX(0,ROUND(E180+F180-I180,2)),"n.a.")</x:f>
        <x:v>0</x:v>
      </x:c>
      <x:c r="L180" s="4"/>
    </x:row>
    <x:row r="181" ht="22" customHeight="1">
      <x:c r="A181" s="2"/>
      <x:c r="B181" s="2"/>
      <x:c r="C181" s="21" t="n">
        <x:f>165</x:f>
        <x:v>165</x:v>
      </x:c>
      <x:c r="D181" s="22" t="n">
        <x:f>IF($D$4="Ready",EDATE($D$9,C181-1),"n.a.")</x:f>
        <x:v>51318</x:v>
      </x:c>
      <x:c r="E181" s="4" t="n">
        <x:f>IF($D$4="Ready",K180,"n.a.")</x:f>
        <x:v>0</x:v>
      </x:c>
      <x:c r="F181" s="4" t="n">
        <x:f>IF($D$4="Ready",ROUND(E181*$D$6/12,2),"n.a.")</x:f>
        <x:v>0</x:v>
      </x:c>
      <x:c r="G181" s="4" t="n">
        <x:f>IF($D$4="Ready",IF(C181&gt;$D$7,0,IF(C181=$D$7,E181+F181,MIN($D$11,E181+F181))),"n.a.")</x:f>
        <x:v>0</x:v>
      </x:c>
      <x:c r="H181" s="4" t="n">
        <x:f>IF($D$4="Ready",MIN($D$8,MAX(0,E181+F181-G181)),"n.a.")</x:f>
        <x:v>0</x:v>
      </x:c>
      <x:c r="I181" s="4" t="n">
        <x:f>IF($D$4="Ready",ROUND(G181+H181,2),"n.a.")</x:f>
        <x:v>0</x:v>
      </x:c>
      <x:c r="J181" s="4" t="n">
        <x:f>IF($D$4="Ready",ROUND(I181-F181,2),"n.a.")</x:f>
        <x:v>0</x:v>
      </x:c>
      <x:c r="K181" s="4" t="n">
        <x:f>IF($D$4="Ready",MAX(0,ROUND(E181+F181-I181,2)),"n.a.")</x:f>
        <x:v>0</x:v>
      </x:c>
      <x:c r="L181" s="4"/>
    </x:row>
    <x:row r="182" ht="22" customHeight="1">
      <x:c r="A182" s="2"/>
      <x:c r="B182" s="2"/>
      <x:c r="C182" s="21" t="n">
        <x:f>166</x:f>
        <x:v>166</x:v>
      </x:c>
      <x:c r="D182" s="22" t="n">
        <x:f>IF($D$4="Ready",EDATE($D$9,C182-1),"n.a.")</x:f>
        <x:v>51349</x:v>
      </x:c>
      <x:c r="E182" s="4" t="n">
        <x:f>IF($D$4="Ready",K181,"n.a.")</x:f>
        <x:v>0</x:v>
      </x:c>
      <x:c r="F182" s="4" t="n">
        <x:f>IF($D$4="Ready",ROUND(E182*$D$6/12,2),"n.a.")</x:f>
        <x:v>0</x:v>
      </x:c>
      <x:c r="G182" s="4" t="n">
        <x:f>IF($D$4="Ready",IF(C182&gt;$D$7,0,IF(C182=$D$7,E182+F182,MIN($D$11,E182+F182))),"n.a.")</x:f>
        <x:v>0</x:v>
      </x:c>
      <x:c r="H182" s="4" t="n">
        <x:f>IF($D$4="Ready",MIN($D$8,MAX(0,E182+F182-G182)),"n.a.")</x:f>
        <x:v>0</x:v>
      </x:c>
      <x:c r="I182" s="4" t="n">
        <x:f>IF($D$4="Ready",ROUND(G182+H182,2),"n.a.")</x:f>
        <x:v>0</x:v>
      </x:c>
      <x:c r="J182" s="4" t="n">
        <x:f>IF($D$4="Ready",ROUND(I182-F182,2),"n.a.")</x:f>
        <x:v>0</x:v>
      </x:c>
      <x:c r="K182" s="4" t="n">
        <x:f>IF($D$4="Ready",MAX(0,ROUND(E182+F182-I182,2)),"n.a.")</x:f>
        <x:v>0</x:v>
      </x:c>
      <x:c r="L182" s="4"/>
    </x:row>
    <x:row r="183" ht="22" customHeight="1">
      <x:c r="A183" s="2"/>
      <x:c r="B183" s="2"/>
      <x:c r="C183" s="21" t="n">
        <x:f>167</x:f>
        <x:v>167</x:v>
      </x:c>
      <x:c r="D183" s="22" t="n">
        <x:f>IF($D$4="Ready",EDATE($D$9,C183-1),"n.a.")</x:f>
        <x:v>51380</x:v>
      </x:c>
      <x:c r="E183" s="4" t="n">
        <x:f>IF($D$4="Ready",K182,"n.a.")</x:f>
        <x:v>0</x:v>
      </x:c>
      <x:c r="F183" s="4" t="n">
        <x:f>IF($D$4="Ready",ROUND(E183*$D$6/12,2),"n.a.")</x:f>
        <x:v>0</x:v>
      </x:c>
      <x:c r="G183" s="4" t="n">
        <x:f>IF($D$4="Ready",IF(C183&gt;$D$7,0,IF(C183=$D$7,E183+F183,MIN($D$11,E183+F183))),"n.a.")</x:f>
        <x:v>0</x:v>
      </x:c>
      <x:c r="H183" s="4" t="n">
        <x:f>IF($D$4="Ready",MIN($D$8,MAX(0,E183+F183-G183)),"n.a.")</x:f>
        <x:v>0</x:v>
      </x:c>
      <x:c r="I183" s="4" t="n">
        <x:f>IF($D$4="Ready",ROUND(G183+H183,2),"n.a.")</x:f>
        <x:v>0</x:v>
      </x:c>
      <x:c r="J183" s="4" t="n">
        <x:f>IF($D$4="Ready",ROUND(I183-F183,2),"n.a.")</x:f>
        <x:v>0</x:v>
      </x:c>
      <x:c r="K183" s="4" t="n">
        <x:f>IF($D$4="Ready",MAX(0,ROUND(E183+F183-I183,2)),"n.a.")</x:f>
        <x:v>0</x:v>
      </x:c>
      <x:c r="L183" s="4"/>
    </x:row>
    <x:row r="184" ht="22" customHeight="1">
      <x:c r="A184" s="2"/>
      <x:c r="B184" s="2"/>
      <x:c r="C184" s="21" t="n">
        <x:f>168</x:f>
        <x:v>168</x:v>
      </x:c>
      <x:c r="D184" s="22" t="n">
        <x:f>IF($D$4="Ready",EDATE($D$9,C184-1),"n.a.")</x:f>
        <x:v>51410</x:v>
      </x:c>
      <x:c r="E184" s="4" t="n">
        <x:f>IF($D$4="Ready",K183,"n.a.")</x:f>
        <x:v>0</x:v>
      </x:c>
      <x:c r="F184" s="4" t="n">
        <x:f>IF($D$4="Ready",ROUND(E184*$D$6/12,2),"n.a.")</x:f>
        <x:v>0</x:v>
      </x:c>
      <x:c r="G184" s="4" t="n">
        <x:f>IF($D$4="Ready",IF(C184&gt;$D$7,0,IF(C184=$D$7,E184+F184,MIN($D$11,E184+F184))),"n.a.")</x:f>
        <x:v>0</x:v>
      </x:c>
      <x:c r="H184" s="4" t="n">
        <x:f>IF($D$4="Ready",MIN($D$8,MAX(0,E184+F184-G184)),"n.a.")</x:f>
        <x:v>0</x:v>
      </x:c>
      <x:c r="I184" s="4" t="n">
        <x:f>IF($D$4="Ready",ROUND(G184+H184,2),"n.a.")</x:f>
        <x:v>0</x:v>
      </x:c>
      <x:c r="J184" s="4" t="n">
        <x:f>IF($D$4="Ready",ROUND(I184-F184,2),"n.a.")</x:f>
        <x:v>0</x:v>
      </x:c>
      <x:c r="K184" s="4" t="n">
        <x:f>IF($D$4="Ready",MAX(0,ROUND(E184+F184-I184,2)),"n.a.")</x:f>
        <x:v>0</x:v>
      </x:c>
      <x:c r="L184" s="4"/>
    </x:row>
    <x:row r="185" ht="22" customHeight="1">
      <x:c r="A185" s="2"/>
      <x:c r="B185" s="2"/>
      <x:c r="C185" s="21" t="n">
        <x:f>169</x:f>
        <x:v>169</x:v>
      </x:c>
      <x:c r="D185" s="22" t="n">
        <x:f>IF($D$4="Ready",EDATE($D$9,C185-1),"n.a.")</x:f>
        <x:v>51441</x:v>
      </x:c>
      <x:c r="E185" s="4" t="n">
        <x:f>IF($D$4="Ready",K184,"n.a.")</x:f>
        <x:v>0</x:v>
      </x:c>
      <x:c r="F185" s="4" t="n">
        <x:f>IF($D$4="Ready",ROUND(E185*$D$6/12,2),"n.a.")</x:f>
        <x:v>0</x:v>
      </x:c>
      <x:c r="G185" s="4" t="n">
        <x:f>IF($D$4="Ready",IF(C185&gt;$D$7,0,IF(C185=$D$7,E185+F185,MIN($D$11,E185+F185))),"n.a.")</x:f>
        <x:v>0</x:v>
      </x:c>
      <x:c r="H185" s="4" t="n">
        <x:f>IF($D$4="Ready",MIN($D$8,MAX(0,E185+F185-G185)),"n.a.")</x:f>
        <x:v>0</x:v>
      </x:c>
      <x:c r="I185" s="4" t="n">
        <x:f>IF($D$4="Ready",ROUND(G185+H185,2),"n.a.")</x:f>
        <x:v>0</x:v>
      </x:c>
      <x:c r="J185" s="4" t="n">
        <x:f>IF($D$4="Ready",ROUND(I185-F185,2),"n.a.")</x:f>
        <x:v>0</x:v>
      </x:c>
      <x:c r="K185" s="4" t="n">
        <x:f>IF($D$4="Ready",MAX(0,ROUND(E185+F185-I185,2)),"n.a.")</x:f>
        <x:v>0</x:v>
      </x:c>
      <x:c r="L185" s="4"/>
    </x:row>
    <x:row r="186" ht="22" customHeight="1">
      <x:c r="A186" s="2"/>
      <x:c r="B186" s="2"/>
      <x:c r="C186" s="21" t="n">
        <x:f>170</x:f>
        <x:v>170</x:v>
      </x:c>
      <x:c r="D186" s="22" t="n">
        <x:f>IF($D$4="Ready",EDATE($D$9,C186-1),"n.a.")</x:f>
        <x:v>51471</x:v>
      </x:c>
      <x:c r="E186" s="4" t="n">
        <x:f>IF($D$4="Ready",K185,"n.a.")</x:f>
        <x:v>0</x:v>
      </x:c>
      <x:c r="F186" s="4" t="n">
        <x:f>IF($D$4="Ready",ROUND(E186*$D$6/12,2),"n.a.")</x:f>
        <x:v>0</x:v>
      </x:c>
      <x:c r="G186" s="4" t="n">
        <x:f>IF($D$4="Ready",IF(C186&gt;$D$7,0,IF(C186=$D$7,E186+F186,MIN($D$11,E186+F186))),"n.a.")</x:f>
        <x:v>0</x:v>
      </x:c>
      <x:c r="H186" s="4" t="n">
        <x:f>IF($D$4="Ready",MIN($D$8,MAX(0,E186+F186-G186)),"n.a.")</x:f>
        <x:v>0</x:v>
      </x:c>
      <x:c r="I186" s="4" t="n">
        <x:f>IF($D$4="Ready",ROUND(G186+H186,2),"n.a.")</x:f>
        <x:v>0</x:v>
      </x:c>
      <x:c r="J186" s="4" t="n">
        <x:f>IF($D$4="Ready",ROUND(I186-F186,2),"n.a.")</x:f>
        <x:v>0</x:v>
      </x:c>
      <x:c r="K186" s="4" t="n">
        <x:f>IF($D$4="Ready",MAX(0,ROUND(E186+F186-I186,2)),"n.a.")</x:f>
        <x:v>0</x:v>
      </x:c>
      <x:c r="L186" s="4"/>
    </x:row>
    <x:row r="187" ht="22" customHeight="1">
      <x:c r="A187" s="2"/>
      <x:c r="B187" s="2"/>
      <x:c r="C187" s="21" t="n">
        <x:f>171</x:f>
        <x:v>171</x:v>
      </x:c>
      <x:c r="D187" s="22" t="n">
        <x:f>IF($D$4="Ready",EDATE($D$9,C187-1),"n.a.")</x:f>
        <x:v>51502</x:v>
      </x:c>
      <x:c r="E187" s="4" t="n">
        <x:f>IF($D$4="Ready",K186,"n.a.")</x:f>
        <x:v>0</x:v>
      </x:c>
      <x:c r="F187" s="4" t="n">
        <x:f>IF($D$4="Ready",ROUND(E187*$D$6/12,2),"n.a.")</x:f>
        <x:v>0</x:v>
      </x:c>
      <x:c r="G187" s="4" t="n">
        <x:f>IF($D$4="Ready",IF(C187&gt;$D$7,0,IF(C187=$D$7,E187+F187,MIN($D$11,E187+F187))),"n.a.")</x:f>
        <x:v>0</x:v>
      </x:c>
      <x:c r="H187" s="4" t="n">
        <x:f>IF($D$4="Ready",MIN($D$8,MAX(0,E187+F187-G187)),"n.a.")</x:f>
        <x:v>0</x:v>
      </x:c>
      <x:c r="I187" s="4" t="n">
        <x:f>IF($D$4="Ready",ROUND(G187+H187,2),"n.a.")</x:f>
        <x:v>0</x:v>
      </x:c>
      <x:c r="J187" s="4" t="n">
        <x:f>IF($D$4="Ready",ROUND(I187-F187,2),"n.a.")</x:f>
        <x:v>0</x:v>
      </x:c>
      <x:c r="K187" s="4" t="n">
        <x:f>IF($D$4="Ready",MAX(0,ROUND(E187+F187-I187,2)),"n.a.")</x:f>
        <x:v>0</x:v>
      </x:c>
      <x:c r="L187" s="4"/>
    </x:row>
    <x:row r="188" ht="22" customHeight="1">
      <x:c r="A188" s="2"/>
      <x:c r="B188" s="2"/>
      <x:c r="C188" s="21" t="n">
        <x:f>172</x:f>
        <x:v>172</x:v>
      </x:c>
      <x:c r="D188" s="22" t="n">
        <x:f>IF($D$4="Ready",EDATE($D$9,C188-1),"n.a.")</x:f>
        <x:v>51533</x:v>
      </x:c>
      <x:c r="E188" s="4" t="n">
        <x:f>IF($D$4="Ready",K187,"n.a.")</x:f>
        <x:v>0</x:v>
      </x:c>
      <x:c r="F188" s="4" t="n">
        <x:f>IF($D$4="Ready",ROUND(E188*$D$6/12,2),"n.a.")</x:f>
        <x:v>0</x:v>
      </x:c>
      <x:c r="G188" s="4" t="n">
        <x:f>IF($D$4="Ready",IF(C188&gt;$D$7,0,IF(C188=$D$7,E188+F188,MIN($D$11,E188+F188))),"n.a.")</x:f>
        <x:v>0</x:v>
      </x:c>
      <x:c r="H188" s="4" t="n">
        <x:f>IF($D$4="Ready",MIN($D$8,MAX(0,E188+F188-G188)),"n.a.")</x:f>
        <x:v>0</x:v>
      </x:c>
      <x:c r="I188" s="4" t="n">
        <x:f>IF($D$4="Ready",ROUND(G188+H188,2),"n.a.")</x:f>
        <x:v>0</x:v>
      </x:c>
      <x:c r="J188" s="4" t="n">
        <x:f>IF($D$4="Ready",ROUND(I188-F188,2),"n.a.")</x:f>
        <x:v>0</x:v>
      </x:c>
      <x:c r="K188" s="4" t="n">
        <x:f>IF($D$4="Ready",MAX(0,ROUND(E188+F188-I188,2)),"n.a.")</x:f>
        <x:v>0</x:v>
      </x:c>
      <x:c r="L188" s="4"/>
    </x:row>
    <x:row r="189" ht="22" customHeight="1">
      <x:c r="A189" s="2"/>
      <x:c r="B189" s="2"/>
      <x:c r="C189" s="21" t="n">
        <x:f>173</x:f>
        <x:v>173</x:v>
      </x:c>
      <x:c r="D189" s="22" t="n">
        <x:f>IF($D$4="Ready",EDATE($D$9,C189-1),"n.a.")</x:f>
        <x:v>51561</x:v>
      </x:c>
      <x:c r="E189" s="4" t="n">
        <x:f>IF($D$4="Ready",K188,"n.a.")</x:f>
        <x:v>0</x:v>
      </x:c>
      <x:c r="F189" s="4" t="n">
        <x:f>IF($D$4="Ready",ROUND(E189*$D$6/12,2),"n.a.")</x:f>
        <x:v>0</x:v>
      </x:c>
      <x:c r="G189" s="4" t="n">
        <x:f>IF($D$4="Ready",IF(C189&gt;$D$7,0,IF(C189=$D$7,E189+F189,MIN($D$11,E189+F189))),"n.a.")</x:f>
        <x:v>0</x:v>
      </x:c>
      <x:c r="H189" s="4" t="n">
        <x:f>IF($D$4="Ready",MIN($D$8,MAX(0,E189+F189-G189)),"n.a.")</x:f>
        <x:v>0</x:v>
      </x:c>
      <x:c r="I189" s="4" t="n">
        <x:f>IF($D$4="Ready",ROUND(G189+H189,2),"n.a.")</x:f>
        <x:v>0</x:v>
      </x:c>
      <x:c r="J189" s="4" t="n">
        <x:f>IF($D$4="Ready",ROUND(I189-F189,2),"n.a.")</x:f>
        <x:v>0</x:v>
      </x:c>
      <x:c r="K189" s="4" t="n">
        <x:f>IF($D$4="Ready",MAX(0,ROUND(E189+F189-I189,2)),"n.a.")</x:f>
        <x:v>0</x:v>
      </x:c>
      <x:c r="L189" s="4"/>
    </x:row>
    <x:row r="190" ht="22" customHeight="1">
      <x:c r="A190" s="2"/>
      <x:c r="B190" s="2"/>
      <x:c r="C190" s="21" t="n">
        <x:f>174</x:f>
        <x:v>174</x:v>
      </x:c>
      <x:c r="D190" s="22" t="n">
        <x:f>IF($D$4="Ready",EDATE($D$9,C190-1),"n.a.")</x:f>
        <x:v>51592</x:v>
      </x:c>
      <x:c r="E190" s="4" t="n">
        <x:f>IF($D$4="Ready",K189,"n.a.")</x:f>
        <x:v>0</x:v>
      </x:c>
      <x:c r="F190" s="4" t="n">
        <x:f>IF($D$4="Ready",ROUND(E190*$D$6/12,2),"n.a.")</x:f>
        <x:v>0</x:v>
      </x:c>
      <x:c r="G190" s="4" t="n">
        <x:f>IF($D$4="Ready",IF(C190&gt;$D$7,0,IF(C190=$D$7,E190+F190,MIN($D$11,E190+F190))),"n.a.")</x:f>
        <x:v>0</x:v>
      </x:c>
      <x:c r="H190" s="4" t="n">
        <x:f>IF($D$4="Ready",MIN($D$8,MAX(0,E190+F190-G190)),"n.a.")</x:f>
        <x:v>0</x:v>
      </x:c>
      <x:c r="I190" s="4" t="n">
        <x:f>IF($D$4="Ready",ROUND(G190+H190,2),"n.a.")</x:f>
        <x:v>0</x:v>
      </x:c>
      <x:c r="J190" s="4" t="n">
        <x:f>IF($D$4="Ready",ROUND(I190-F190,2),"n.a.")</x:f>
        <x:v>0</x:v>
      </x:c>
      <x:c r="K190" s="4" t="n">
        <x:f>IF($D$4="Ready",MAX(0,ROUND(E190+F190-I190,2)),"n.a.")</x:f>
        <x:v>0</x:v>
      </x:c>
      <x:c r="L190" s="4"/>
    </x:row>
    <x:row r="191" ht="22" customHeight="1">
      <x:c r="A191" s="2"/>
      <x:c r="B191" s="2"/>
      <x:c r="C191" s="21" t="n">
        <x:f>175</x:f>
        <x:v>175</x:v>
      </x:c>
      <x:c r="D191" s="22" t="n">
        <x:f>IF($D$4="Ready",EDATE($D$9,C191-1),"n.a.")</x:f>
        <x:v>51622</x:v>
      </x:c>
      <x:c r="E191" s="4" t="n">
        <x:f>IF($D$4="Ready",K190,"n.a.")</x:f>
        <x:v>0</x:v>
      </x:c>
      <x:c r="F191" s="4" t="n">
        <x:f>IF($D$4="Ready",ROUND(E191*$D$6/12,2),"n.a.")</x:f>
        <x:v>0</x:v>
      </x:c>
      <x:c r="G191" s="4" t="n">
        <x:f>IF($D$4="Ready",IF(C191&gt;$D$7,0,IF(C191=$D$7,E191+F191,MIN($D$11,E191+F191))),"n.a.")</x:f>
        <x:v>0</x:v>
      </x:c>
      <x:c r="H191" s="4" t="n">
        <x:f>IF($D$4="Ready",MIN($D$8,MAX(0,E191+F191-G191)),"n.a.")</x:f>
        <x:v>0</x:v>
      </x:c>
      <x:c r="I191" s="4" t="n">
        <x:f>IF($D$4="Ready",ROUND(G191+H191,2),"n.a.")</x:f>
        <x:v>0</x:v>
      </x:c>
      <x:c r="J191" s="4" t="n">
        <x:f>IF($D$4="Ready",ROUND(I191-F191,2),"n.a.")</x:f>
        <x:v>0</x:v>
      </x:c>
      <x:c r="K191" s="4" t="n">
        <x:f>IF($D$4="Ready",MAX(0,ROUND(E191+F191-I191,2)),"n.a.")</x:f>
        <x:v>0</x:v>
      </x:c>
      <x:c r="L191" s="4"/>
    </x:row>
    <x:row r="192" ht="22" customHeight="1">
      <x:c r="A192" s="2"/>
      <x:c r="B192" s="2"/>
      <x:c r="C192" s="21" t="n">
        <x:f>176</x:f>
        <x:v>176</x:v>
      </x:c>
      <x:c r="D192" s="22" t="n">
        <x:f>IF($D$4="Ready",EDATE($D$9,C192-1),"n.a.")</x:f>
        <x:v>51653</x:v>
      </x:c>
      <x:c r="E192" s="4" t="n">
        <x:f>IF($D$4="Ready",K191,"n.a.")</x:f>
        <x:v>0</x:v>
      </x:c>
      <x:c r="F192" s="4" t="n">
        <x:f>IF($D$4="Ready",ROUND(E192*$D$6/12,2),"n.a.")</x:f>
        <x:v>0</x:v>
      </x:c>
      <x:c r="G192" s="4" t="n">
        <x:f>IF($D$4="Ready",IF(C192&gt;$D$7,0,IF(C192=$D$7,E192+F192,MIN($D$11,E192+F192))),"n.a.")</x:f>
        <x:v>0</x:v>
      </x:c>
      <x:c r="H192" s="4" t="n">
        <x:f>IF($D$4="Ready",MIN($D$8,MAX(0,E192+F192-G192)),"n.a.")</x:f>
        <x:v>0</x:v>
      </x:c>
      <x:c r="I192" s="4" t="n">
        <x:f>IF($D$4="Ready",ROUND(G192+H192,2),"n.a.")</x:f>
        <x:v>0</x:v>
      </x:c>
      <x:c r="J192" s="4" t="n">
        <x:f>IF($D$4="Ready",ROUND(I192-F192,2),"n.a.")</x:f>
        <x:v>0</x:v>
      </x:c>
      <x:c r="K192" s="4" t="n">
        <x:f>IF($D$4="Ready",MAX(0,ROUND(E192+F192-I192,2)),"n.a.")</x:f>
        <x:v>0</x:v>
      </x:c>
      <x:c r="L192" s="4"/>
    </x:row>
    <x:row r="193" ht="22" customHeight="1">
      <x:c r="A193" s="2"/>
      <x:c r="B193" s="2"/>
      <x:c r="C193" s="21" t="n">
        <x:f>177</x:f>
        <x:v>177</x:v>
      </x:c>
      <x:c r="D193" s="22" t="n">
        <x:f>IF($D$4="Ready",EDATE($D$9,C193-1),"n.a.")</x:f>
        <x:v>51683</x:v>
      </x:c>
      <x:c r="E193" s="4" t="n">
        <x:f>IF($D$4="Ready",K192,"n.a.")</x:f>
        <x:v>0</x:v>
      </x:c>
      <x:c r="F193" s="4" t="n">
        <x:f>IF($D$4="Ready",ROUND(E193*$D$6/12,2),"n.a.")</x:f>
        <x:v>0</x:v>
      </x:c>
      <x:c r="G193" s="4" t="n">
        <x:f>IF($D$4="Ready",IF(C193&gt;$D$7,0,IF(C193=$D$7,E193+F193,MIN($D$11,E193+F193))),"n.a.")</x:f>
        <x:v>0</x:v>
      </x:c>
      <x:c r="H193" s="4" t="n">
        <x:f>IF($D$4="Ready",MIN($D$8,MAX(0,E193+F193-G193)),"n.a.")</x:f>
        <x:v>0</x:v>
      </x:c>
      <x:c r="I193" s="4" t="n">
        <x:f>IF($D$4="Ready",ROUND(G193+H193,2),"n.a.")</x:f>
        <x:v>0</x:v>
      </x:c>
      <x:c r="J193" s="4" t="n">
        <x:f>IF($D$4="Ready",ROUND(I193-F193,2),"n.a.")</x:f>
        <x:v>0</x:v>
      </x:c>
      <x:c r="K193" s="4" t="n">
        <x:f>IF($D$4="Ready",MAX(0,ROUND(E193+F193-I193,2)),"n.a.")</x:f>
        <x:v>0</x:v>
      </x:c>
      <x:c r="L193" s="4"/>
    </x:row>
    <x:row r="194" ht="22" customHeight="1">
      <x:c r="A194" s="2"/>
      <x:c r="B194" s="2"/>
      <x:c r="C194" s="21" t="n">
        <x:f>178</x:f>
        <x:v>178</x:v>
      </x:c>
      <x:c r="D194" s="22" t="n">
        <x:f>IF($D$4="Ready",EDATE($D$9,C194-1),"n.a.")</x:f>
        <x:v>51714</x:v>
      </x:c>
      <x:c r="E194" s="4" t="n">
        <x:f>IF($D$4="Ready",K193,"n.a.")</x:f>
        <x:v>0</x:v>
      </x:c>
      <x:c r="F194" s="4" t="n">
        <x:f>IF($D$4="Ready",ROUND(E194*$D$6/12,2),"n.a.")</x:f>
        <x:v>0</x:v>
      </x:c>
      <x:c r="G194" s="4" t="n">
        <x:f>IF($D$4="Ready",IF(C194&gt;$D$7,0,IF(C194=$D$7,E194+F194,MIN($D$11,E194+F194))),"n.a.")</x:f>
        <x:v>0</x:v>
      </x:c>
      <x:c r="H194" s="4" t="n">
        <x:f>IF($D$4="Ready",MIN($D$8,MAX(0,E194+F194-G194)),"n.a.")</x:f>
        <x:v>0</x:v>
      </x:c>
      <x:c r="I194" s="4" t="n">
        <x:f>IF($D$4="Ready",ROUND(G194+H194,2),"n.a.")</x:f>
        <x:v>0</x:v>
      </x:c>
      <x:c r="J194" s="4" t="n">
        <x:f>IF($D$4="Ready",ROUND(I194-F194,2),"n.a.")</x:f>
        <x:v>0</x:v>
      </x:c>
      <x:c r="K194" s="4" t="n">
        <x:f>IF($D$4="Ready",MAX(0,ROUND(E194+F194-I194,2)),"n.a.")</x:f>
        <x:v>0</x:v>
      </x:c>
      <x:c r="L194" s="4"/>
    </x:row>
    <x:row r="195" ht="22" customHeight="1">
      <x:c r="A195" s="2"/>
      <x:c r="B195" s="2"/>
      <x:c r="C195" s="21" t="n">
        <x:f>179</x:f>
        <x:v>179</x:v>
      </x:c>
      <x:c r="D195" s="22" t="n">
        <x:f>IF($D$4="Ready",EDATE($D$9,C195-1),"n.a.")</x:f>
        <x:v>51745</x:v>
      </x:c>
      <x:c r="E195" s="4" t="n">
        <x:f>IF($D$4="Ready",K194,"n.a.")</x:f>
        <x:v>0</x:v>
      </x:c>
      <x:c r="F195" s="4" t="n">
        <x:f>IF($D$4="Ready",ROUND(E195*$D$6/12,2),"n.a.")</x:f>
        <x:v>0</x:v>
      </x:c>
      <x:c r="G195" s="4" t="n">
        <x:f>IF($D$4="Ready",IF(C195&gt;$D$7,0,IF(C195=$D$7,E195+F195,MIN($D$11,E195+F195))),"n.a.")</x:f>
        <x:v>0</x:v>
      </x:c>
      <x:c r="H195" s="4" t="n">
        <x:f>IF($D$4="Ready",MIN($D$8,MAX(0,E195+F195-G195)),"n.a.")</x:f>
        <x:v>0</x:v>
      </x:c>
      <x:c r="I195" s="4" t="n">
        <x:f>IF($D$4="Ready",ROUND(G195+H195,2),"n.a.")</x:f>
        <x:v>0</x:v>
      </x:c>
      <x:c r="J195" s="4" t="n">
        <x:f>IF($D$4="Ready",ROUND(I195-F195,2),"n.a.")</x:f>
        <x:v>0</x:v>
      </x:c>
      <x:c r="K195" s="4" t="n">
        <x:f>IF($D$4="Ready",MAX(0,ROUND(E195+F195-I195,2)),"n.a.")</x:f>
        <x:v>0</x:v>
      </x:c>
      <x:c r="L195" s="4"/>
    </x:row>
    <x:row r="196" ht="22" customHeight="1">
      <x:c r="A196" s="2"/>
      <x:c r="B196" s="2"/>
      <x:c r="C196" s="21" t="n">
        <x:f>180</x:f>
        <x:v>180</x:v>
      </x:c>
      <x:c r="D196" s="22" t="n">
        <x:f>IF($D$4="Ready",EDATE($D$9,C196-1),"n.a.")</x:f>
        <x:v>51775</x:v>
      </x:c>
      <x:c r="E196" s="4" t="n">
        <x:f>IF($D$4="Ready",K195,"n.a.")</x:f>
        <x:v>0</x:v>
      </x:c>
      <x:c r="F196" s="4" t="n">
        <x:f>IF($D$4="Ready",ROUND(E196*$D$6/12,2),"n.a.")</x:f>
        <x:v>0</x:v>
      </x:c>
      <x:c r="G196" s="4" t="n">
        <x:f>IF($D$4="Ready",IF(C196&gt;$D$7,0,IF(C196=$D$7,E196+F196,MIN($D$11,E196+F196))),"n.a.")</x:f>
        <x:v>0</x:v>
      </x:c>
      <x:c r="H196" s="4" t="n">
        <x:f>IF($D$4="Ready",MIN($D$8,MAX(0,E196+F196-G196)),"n.a.")</x:f>
        <x:v>0</x:v>
      </x:c>
      <x:c r="I196" s="4" t="n">
        <x:f>IF($D$4="Ready",ROUND(G196+H196,2),"n.a.")</x:f>
        <x:v>0</x:v>
      </x:c>
      <x:c r="J196" s="4" t="n">
        <x:f>IF($D$4="Ready",ROUND(I196-F196,2),"n.a.")</x:f>
        <x:v>0</x:v>
      </x:c>
      <x:c r="K196" s="4" t="n">
        <x:f>IF($D$4="Ready",MAX(0,ROUND(E196+F196-I196,2)),"n.a.")</x:f>
        <x:v>0</x:v>
      </x:c>
      <x:c r="L196" s="4"/>
    </x:row>
    <x:row r="197" ht="22" customHeight="1">
      <x:c r="A197" s="2"/>
      <x:c r="B197" s="2"/>
      <x:c r="C197" s="21" t="n">
        <x:f>181</x:f>
        <x:v>181</x:v>
      </x:c>
      <x:c r="D197" s="22" t="n">
        <x:f>IF($D$4="Ready",EDATE($D$9,C197-1),"n.a.")</x:f>
        <x:v>51806</x:v>
      </x:c>
      <x:c r="E197" s="4" t="n">
        <x:f>IF($D$4="Ready",K196,"n.a.")</x:f>
        <x:v>0</x:v>
      </x:c>
      <x:c r="F197" s="4" t="n">
        <x:f>IF($D$4="Ready",ROUND(E197*$D$6/12,2),"n.a.")</x:f>
        <x:v>0</x:v>
      </x:c>
      <x:c r="G197" s="4" t="n">
        <x:f>IF($D$4="Ready",IF(C197&gt;$D$7,0,IF(C197=$D$7,E197+F197,MIN($D$11,E197+F197))),"n.a.")</x:f>
        <x:v>0</x:v>
      </x:c>
      <x:c r="H197" s="4" t="n">
        <x:f>IF($D$4="Ready",MIN($D$8,MAX(0,E197+F197-G197)),"n.a.")</x:f>
        <x:v>0</x:v>
      </x:c>
      <x:c r="I197" s="4" t="n">
        <x:f>IF($D$4="Ready",ROUND(G197+H197,2),"n.a.")</x:f>
        <x:v>0</x:v>
      </x:c>
      <x:c r="J197" s="4" t="n">
        <x:f>IF($D$4="Ready",ROUND(I197-F197,2),"n.a.")</x:f>
        <x:v>0</x:v>
      </x:c>
      <x:c r="K197" s="4" t="n">
        <x:f>IF($D$4="Ready",MAX(0,ROUND(E197+F197-I197,2)),"n.a.")</x:f>
        <x:v>0</x:v>
      </x:c>
      <x:c r="L197" s="4"/>
    </x:row>
    <x:row r="198" ht="22" customHeight="1">
      <x:c r="A198" s="2"/>
      <x:c r="B198" s="2"/>
      <x:c r="C198" s="21" t="n">
        <x:f>182</x:f>
        <x:v>182</x:v>
      </x:c>
      <x:c r="D198" s="22" t="n">
        <x:f>IF($D$4="Ready",EDATE($D$9,C198-1),"n.a.")</x:f>
        <x:v>51836</x:v>
      </x:c>
      <x:c r="E198" s="4" t="n">
        <x:f>IF($D$4="Ready",K197,"n.a.")</x:f>
        <x:v>0</x:v>
      </x:c>
      <x:c r="F198" s="4" t="n">
        <x:f>IF($D$4="Ready",ROUND(E198*$D$6/12,2),"n.a.")</x:f>
        <x:v>0</x:v>
      </x:c>
      <x:c r="G198" s="4" t="n">
        <x:f>IF($D$4="Ready",IF(C198&gt;$D$7,0,IF(C198=$D$7,E198+F198,MIN($D$11,E198+F198))),"n.a.")</x:f>
        <x:v>0</x:v>
      </x:c>
      <x:c r="H198" s="4" t="n">
        <x:f>IF($D$4="Ready",MIN($D$8,MAX(0,E198+F198-G198)),"n.a.")</x:f>
        <x:v>0</x:v>
      </x:c>
      <x:c r="I198" s="4" t="n">
        <x:f>IF($D$4="Ready",ROUND(G198+H198,2),"n.a.")</x:f>
        <x:v>0</x:v>
      </x:c>
      <x:c r="J198" s="4" t="n">
        <x:f>IF($D$4="Ready",ROUND(I198-F198,2),"n.a.")</x:f>
        <x:v>0</x:v>
      </x:c>
      <x:c r="K198" s="4" t="n">
        <x:f>IF($D$4="Ready",MAX(0,ROUND(E198+F198-I198,2)),"n.a.")</x:f>
        <x:v>0</x:v>
      </x:c>
      <x:c r="L198" s="4"/>
    </x:row>
    <x:row r="199" ht="22" customHeight="1">
      <x:c r="A199" s="2"/>
      <x:c r="B199" s="2"/>
      <x:c r="C199" s="21" t="n">
        <x:f>183</x:f>
        <x:v>183</x:v>
      </x:c>
      <x:c r="D199" s="22" t="n">
        <x:f>IF($D$4="Ready",EDATE($D$9,C199-1),"n.a.")</x:f>
        <x:v>51867</x:v>
      </x:c>
      <x:c r="E199" s="4" t="n">
        <x:f>IF($D$4="Ready",K198,"n.a.")</x:f>
        <x:v>0</x:v>
      </x:c>
      <x:c r="F199" s="4" t="n">
        <x:f>IF($D$4="Ready",ROUND(E199*$D$6/12,2),"n.a.")</x:f>
        <x:v>0</x:v>
      </x:c>
      <x:c r="G199" s="4" t="n">
        <x:f>IF($D$4="Ready",IF(C199&gt;$D$7,0,IF(C199=$D$7,E199+F199,MIN($D$11,E199+F199))),"n.a.")</x:f>
        <x:v>0</x:v>
      </x:c>
      <x:c r="H199" s="4" t="n">
        <x:f>IF($D$4="Ready",MIN($D$8,MAX(0,E199+F199-G199)),"n.a.")</x:f>
        <x:v>0</x:v>
      </x:c>
      <x:c r="I199" s="4" t="n">
        <x:f>IF($D$4="Ready",ROUND(G199+H199,2),"n.a.")</x:f>
        <x:v>0</x:v>
      </x:c>
      <x:c r="J199" s="4" t="n">
        <x:f>IF($D$4="Ready",ROUND(I199-F199,2),"n.a.")</x:f>
        <x:v>0</x:v>
      </x:c>
      <x:c r="K199" s="4" t="n">
        <x:f>IF($D$4="Ready",MAX(0,ROUND(E199+F199-I199,2)),"n.a.")</x:f>
        <x:v>0</x:v>
      </x:c>
      <x:c r="L199" s="4"/>
    </x:row>
    <x:row r="200" ht="22" customHeight="1">
      <x:c r="A200" s="2"/>
      <x:c r="B200" s="2"/>
      <x:c r="C200" s="21" t="n">
        <x:f>184</x:f>
        <x:v>184</x:v>
      </x:c>
      <x:c r="D200" s="22" t="n">
        <x:f>IF($D$4="Ready",EDATE($D$9,C200-1),"n.a.")</x:f>
        <x:v>51898</x:v>
      </x:c>
      <x:c r="E200" s="4" t="n">
        <x:f>IF($D$4="Ready",K199,"n.a.")</x:f>
        <x:v>0</x:v>
      </x:c>
      <x:c r="F200" s="4" t="n">
        <x:f>IF($D$4="Ready",ROUND(E200*$D$6/12,2),"n.a.")</x:f>
        <x:v>0</x:v>
      </x:c>
      <x:c r="G200" s="4" t="n">
        <x:f>IF($D$4="Ready",IF(C200&gt;$D$7,0,IF(C200=$D$7,E200+F200,MIN($D$11,E200+F200))),"n.a.")</x:f>
        <x:v>0</x:v>
      </x:c>
      <x:c r="H200" s="4" t="n">
        <x:f>IF($D$4="Ready",MIN($D$8,MAX(0,E200+F200-G200)),"n.a.")</x:f>
        <x:v>0</x:v>
      </x:c>
      <x:c r="I200" s="4" t="n">
        <x:f>IF($D$4="Ready",ROUND(G200+H200,2),"n.a.")</x:f>
        <x:v>0</x:v>
      </x:c>
      <x:c r="J200" s="4" t="n">
        <x:f>IF($D$4="Ready",ROUND(I200-F200,2),"n.a.")</x:f>
        <x:v>0</x:v>
      </x:c>
      <x:c r="K200" s="4" t="n">
        <x:f>IF($D$4="Ready",MAX(0,ROUND(E200+F200-I200,2)),"n.a.")</x:f>
        <x:v>0</x:v>
      </x:c>
      <x:c r="L200" s="4"/>
    </x:row>
    <x:row r="201" ht="22" customHeight="1">
      <x:c r="A201" s="2"/>
      <x:c r="B201" s="2"/>
      <x:c r="C201" s="21" t="n">
        <x:f>185</x:f>
        <x:v>185</x:v>
      </x:c>
      <x:c r="D201" s="22" t="n">
        <x:f>IF($D$4="Ready",EDATE($D$9,C201-1),"n.a.")</x:f>
        <x:v>51926</x:v>
      </x:c>
      <x:c r="E201" s="4" t="n">
        <x:f>IF($D$4="Ready",K200,"n.a.")</x:f>
        <x:v>0</x:v>
      </x:c>
      <x:c r="F201" s="4" t="n">
        <x:f>IF($D$4="Ready",ROUND(E201*$D$6/12,2),"n.a.")</x:f>
        <x:v>0</x:v>
      </x:c>
      <x:c r="G201" s="4" t="n">
        <x:f>IF($D$4="Ready",IF(C201&gt;$D$7,0,IF(C201=$D$7,E201+F201,MIN($D$11,E201+F201))),"n.a.")</x:f>
        <x:v>0</x:v>
      </x:c>
      <x:c r="H201" s="4" t="n">
        <x:f>IF($D$4="Ready",MIN($D$8,MAX(0,E201+F201-G201)),"n.a.")</x:f>
        <x:v>0</x:v>
      </x:c>
      <x:c r="I201" s="4" t="n">
        <x:f>IF($D$4="Ready",ROUND(G201+H201,2),"n.a.")</x:f>
        <x:v>0</x:v>
      </x:c>
      <x:c r="J201" s="4" t="n">
        <x:f>IF($D$4="Ready",ROUND(I201-F201,2),"n.a.")</x:f>
        <x:v>0</x:v>
      </x:c>
      <x:c r="K201" s="4" t="n">
        <x:f>IF($D$4="Ready",MAX(0,ROUND(E201+F201-I201,2)),"n.a.")</x:f>
        <x:v>0</x:v>
      </x:c>
      <x:c r="L201" s="4"/>
    </x:row>
    <x:row r="202" ht="22" customHeight="1">
      <x:c r="A202" s="2"/>
      <x:c r="B202" s="2"/>
      <x:c r="C202" s="21" t="n">
        <x:f>186</x:f>
        <x:v>186</x:v>
      </x:c>
      <x:c r="D202" s="22" t="n">
        <x:f>IF($D$4="Ready",EDATE($D$9,C202-1),"n.a.")</x:f>
        <x:v>51957</x:v>
      </x:c>
      <x:c r="E202" s="4" t="n">
        <x:f>IF($D$4="Ready",K201,"n.a.")</x:f>
        <x:v>0</x:v>
      </x:c>
      <x:c r="F202" s="4" t="n">
        <x:f>IF($D$4="Ready",ROUND(E202*$D$6/12,2),"n.a.")</x:f>
        <x:v>0</x:v>
      </x:c>
      <x:c r="G202" s="4" t="n">
        <x:f>IF($D$4="Ready",IF(C202&gt;$D$7,0,IF(C202=$D$7,E202+F202,MIN($D$11,E202+F202))),"n.a.")</x:f>
        <x:v>0</x:v>
      </x:c>
      <x:c r="H202" s="4" t="n">
        <x:f>IF($D$4="Ready",MIN($D$8,MAX(0,E202+F202-G202)),"n.a.")</x:f>
        <x:v>0</x:v>
      </x:c>
      <x:c r="I202" s="4" t="n">
        <x:f>IF($D$4="Ready",ROUND(G202+H202,2),"n.a.")</x:f>
        <x:v>0</x:v>
      </x:c>
      <x:c r="J202" s="4" t="n">
        <x:f>IF($D$4="Ready",ROUND(I202-F202,2),"n.a.")</x:f>
        <x:v>0</x:v>
      </x:c>
      <x:c r="K202" s="4" t="n">
        <x:f>IF($D$4="Ready",MAX(0,ROUND(E202+F202-I202,2)),"n.a.")</x:f>
        <x:v>0</x:v>
      </x:c>
      <x:c r="L202" s="4"/>
    </x:row>
    <x:row r="203" ht="22" customHeight="1">
      <x:c r="A203" s="2"/>
      <x:c r="B203" s="2"/>
      <x:c r="C203" s="21" t="n">
        <x:f>187</x:f>
        <x:v>187</x:v>
      </x:c>
      <x:c r="D203" s="22" t="n">
        <x:f>IF($D$4="Ready",EDATE($D$9,C203-1),"n.a.")</x:f>
        <x:v>51987</x:v>
      </x:c>
      <x:c r="E203" s="4" t="n">
        <x:f>IF($D$4="Ready",K202,"n.a.")</x:f>
        <x:v>0</x:v>
      </x:c>
      <x:c r="F203" s="4" t="n">
        <x:f>IF($D$4="Ready",ROUND(E203*$D$6/12,2),"n.a.")</x:f>
        <x:v>0</x:v>
      </x:c>
      <x:c r="G203" s="4" t="n">
        <x:f>IF($D$4="Ready",IF(C203&gt;$D$7,0,IF(C203=$D$7,E203+F203,MIN($D$11,E203+F203))),"n.a.")</x:f>
        <x:v>0</x:v>
      </x:c>
      <x:c r="H203" s="4" t="n">
        <x:f>IF($D$4="Ready",MIN($D$8,MAX(0,E203+F203-G203)),"n.a.")</x:f>
        <x:v>0</x:v>
      </x:c>
      <x:c r="I203" s="4" t="n">
        <x:f>IF($D$4="Ready",ROUND(G203+H203,2),"n.a.")</x:f>
        <x:v>0</x:v>
      </x:c>
      <x:c r="J203" s="4" t="n">
        <x:f>IF($D$4="Ready",ROUND(I203-F203,2),"n.a.")</x:f>
        <x:v>0</x:v>
      </x:c>
      <x:c r="K203" s="4" t="n">
        <x:f>IF($D$4="Ready",MAX(0,ROUND(E203+F203-I203,2)),"n.a.")</x:f>
        <x:v>0</x:v>
      </x:c>
      <x:c r="L203" s="4"/>
    </x:row>
    <x:row r="204" ht="22" customHeight="1">
      <x:c r="A204" s="2"/>
      <x:c r="B204" s="2"/>
      <x:c r="C204" s="21" t="n">
        <x:f>188</x:f>
        <x:v>188</x:v>
      </x:c>
      <x:c r="D204" s="22" t="n">
        <x:f>IF($D$4="Ready",EDATE($D$9,C204-1),"n.a.")</x:f>
        <x:v>52018</x:v>
      </x:c>
      <x:c r="E204" s="4" t="n">
        <x:f>IF($D$4="Ready",K203,"n.a.")</x:f>
        <x:v>0</x:v>
      </x:c>
      <x:c r="F204" s="4" t="n">
        <x:f>IF($D$4="Ready",ROUND(E204*$D$6/12,2),"n.a.")</x:f>
        <x:v>0</x:v>
      </x:c>
      <x:c r="G204" s="4" t="n">
        <x:f>IF($D$4="Ready",IF(C204&gt;$D$7,0,IF(C204=$D$7,E204+F204,MIN($D$11,E204+F204))),"n.a.")</x:f>
        <x:v>0</x:v>
      </x:c>
      <x:c r="H204" s="4" t="n">
        <x:f>IF($D$4="Ready",MIN($D$8,MAX(0,E204+F204-G204)),"n.a.")</x:f>
        <x:v>0</x:v>
      </x:c>
      <x:c r="I204" s="4" t="n">
        <x:f>IF($D$4="Ready",ROUND(G204+H204,2),"n.a.")</x:f>
        <x:v>0</x:v>
      </x:c>
      <x:c r="J204" s="4" t="n">
        <x:f>IF($D$4="Ready",ROUND(I204-F204,2),"n.a.")</x:f>
        <x:v>0</x:v>
      </x:c>
      <x:c r="K204" s="4" t="n">
        <x:f>IF($D$4="Ready",MAX(0,ROUND(E204+F204-I204,2)),"n.a.")</x:f>
        <x:v>0</x:v>
      </x:c>
      <x:c r="L204" s="4"/>
    </x:row>
    <x:row r="205" ht="22" customHeight="1">
      <x:c r="A205" s="2"/>
      <x:c r="B205" s="2"/>
      <x:c r="C205" s="21" t="n">
        <x:f>189</x:f>
        <x:v>189</x:v>
      </x:c>
      <x:c r="D205" s="22" t="n">
        <x:f>IF($D$4="Ready",EDATE($D$9,C205-1),"n.a.")</x:f>
        <x:v>52048</x:v>
      </x:c>
      <x:c r="E205" s="4" t="n">
        <x:f>IF($D$4="Ready",K204,"n.a.")</x:f>
        <x:v>0</x:v>
      </x:c>
      <x:c r="F205" s="4" t="n">
        <x:f>IF($D$4="Ready",ROUND(E205*$D$6/12,2),"n.a.")</x:f>
        <x:v>0</x:v>
      </x:c>
      <x:c r="G205" s="4" t="n">
        <x:f>IF($D$4="Ready",IF(C205&gt;$D$7,0,IF(C205=$D$7,E205+F205,MIN($D$11,E205+F205))),"n.a.")</x:f>
        <x:v>0</x:v>
      </x:c>
      <x:c r="H205" s="4" t="n">
        <x:f>IF($D$4="Ready",MIN($D$8,MAX(0,E205+F205-G205)),"n.a.")</x:f>
        <x:v>0</x:v>
      </x:c>
      <x:c r="I205" s="4" t="n">
        <x:f>IF($D$4="Ready",ROUND(G205+H205,2),"n.a.")</x:f>
        <x:v>0</x:v>
      </x:c>
      <x:c r="J205" s="4" t="n">
        <x:f>IF($D$4="Ready",ROUND(I205-F205,2),"n.a.")</x:f>
        <x:v>0</x:v>
      </x:c>
      <x:c r="K205" s="4" t="n">
        <x:f>IF($D$4="Ready",MAX(0,ROUND(E205+F205-I205,2)),"n.a.")</x:f>
        <x:v>0</x:v>
      </x:c>
      <x:c r="L205" s="4"/>
    </x:row>
    <x:row r="206" ht="22" customHeight="1">
      <x:c r="A206" s="2"/>
      <x:c r="B206" s="2"/>
      <x:c r="C206" s="21" t="n">
        <x:f>190</x:f>
        <x:v>190</x:v>
      </x:c>
      <x:c r="D206" s="22" t="n">
        <x:f>IF($D$4="Ready",EDATE($D$9,C206-1),"n.a.")</x:f>
        <x:v>52079</x:v>
      </x:c>
      <x:c r="E206" s="4" t="n">
        <x:f>IF($D$4="Ready",K205,"n.a.")</x:f>
        <x:v>0</x:v>
      </x:c>
      <x:c r="F206" s="4" t="n">
        <x:f>IF($D$4="Ready",ROUND(E206*$D$6/12,2),"n.a.")</x:f>
        <x:v>0</x:v>
      </x:c>
      <x:c r="G206" s="4" t="n">
        <x:f>IF($D$4="Ready",IF(C206&gt;$D$7,0,IF(C206=$D$7,E206+F206,MIN($D$11,E206+F206))),"n.a.")</x:f>
        <x:v>0</x:v>
      </x:c>
      <x:c r="H206" s="4" t="n">
        <x:f>IF($D$4="Ready",MIN($D$8,MAX(0,E206+F206-G206)),"n.a.")</x:f>
        <x:v>0</x:v>
      </x:c>
      <x:c r="I206" s="4" t="n">
        <x:f>IF($D$4="Ready",ROUND(G206+H206,2),"n.a.")</x:f>
        <x:v>0</x:v>
      </x:c>
      <x:c r="J206" s="4" t="n">
        <x:f>IF($D$4="Ready",ROUND(I206-F206,2),"n.a.")</x:f>
        <x:v>0</x:v>
      </x:c>
      <x:c r="K206" s="4" t="n">
        <x:f>IF($D$4="Ready",MAX(0,ROUND(E206+F206-I206,2)),"n.a.")</x:f>
        <x:v>0</x:v>
      </x:c>
      <x:c r="L206" s="4"/>
    </x:row>
    <x:row r="207" ht="22" customHeight="1">
      <x:c r="A207" s="2"/>
      <x:c r="B207" s="2"/>
      <x:c r="C207" s="21" t="n">
        <x:f>191</x:f>
        <x:v>191</x:v>
      </x:c>
      <x:c r="D207" s="22" t="n">
        <x:f>IF($D$4="Ready",EDATE($D$9,C207-1),"n.a.")</x:f>
        <x:v>52110</x:v>
      </x:c>
      <x:c r="E207" s="4" t="n">
        <x:f>IF($D$4="Ready",K206,"n.a.")</x:f>
        <x:v>0</x:v>
      </x:c>
      <x:c r="F207" s="4" t="n">
        <x:f>IF($D$4="Ready",ROUND(E207*$D$6/12,2),"n.a.")</x:f>
        <x:v>0</x:v>
      </x:c>
      <x:c r="G207" s="4" t="n">
        <x:f>IF($D$4="Ready",IF(C207&gt;$D$7,0,IF(C207=$D$7,E207+F207,MIN($D$11,E207+F207))),"n.a.")</x:f>
        <x:v>0</x:v>
      </x:c>
      <x:c r="H207" s="4" t="n">
        <x:f>IF($D$4="Ready",MIN($D$8,MAX(0,E207+F207-G207)),"n.a.")</x:f>
        <x:v>0</x:v>
      </x:c>
      <x:c r="I207" s="4" t="n">
        <x:f>IF($D$4="Ready",ROUND(G207+H207,2),"n.a.")</x:f>
        <x:v>0</x:v>
      </x:c>
      <x:c r="J207" s="4" t="n">
        <x:f>IF($D$4="Ready",ROUND(I207-F207,2),"n.a.")</x:f>
        <x:v>0</x:v>
      </x:c>
      <x:c r="K207" s="4" t="n">
        <x:f>IF($D$4="Ready",MAX(0,ROUND(E207+F207-I207,2)),"n.a.")</x:f>
        <x:v>0</x:v>
      </x:c>
      <x:c r="L207" s="4"/>
    </x:row>
    <x:row r="208" ht="22" customHeight="1">
      <x:c r="A208" s="2"/>
      <x:c r="B208" s="2"/>
      <x:c r="C208" s="21" t="n">
        <x:f>192</x:f>
        <x:v>192</x:v>
      </x:c>
      <x:c r="D208" s="22" t="n">
        <x:f>IF($D$4="Ready",EDATE($D$9,C208-1),"n.a.")</x:f>
        <x:v>52140</x:v>
      </x:c>
      <x:c r="E208" s="4" t="n">
        <x:f>IF($D$4="Ready",K207,"n.a.")</x:f>
        <x:v>0</x:v>
      </x:c>
      <x:c r="F208" s="4" t="n">
        <x:f>IF($D$4="Ready",ROUND(E208*$D$6/12,2),"n.a.")</x:f>
        <x:v>0</x:v>
      </x:c>
      <x:c r="G208" s="4" t="n">
        <x:f>IF($D$4="Ready",IF(C208&gt;$D$7,0,IF(C208=$D$7,E208+F208,MIN($D$11,E208+F208))),"n.a.")</x:f>
        <x:v>0</x:v>
      </x:c>
      <x:c r="H208" s="4" t="n">
        <x:f>IF($D$4="Ready",MIN($D$8,MAX(0,E208+F208-G208)),"n.a.")</x:f>
        <x:v>0</x:v>
      </x:c>
      <x:c r="I208" s="4" t="n">
        <x:f>IF($D$4="Ready",ROUND(G208+H208,2),"n.a.")</x:f>
        <x:v>0</x:v>
      </x:c>
      <x:c r="J208" s="4" t="n">
        <x:f>IF($D$4="Ready",ROUND(I208-F208,2),"n.a.")</x:f>
        <x:v>0</x:v>
      </x:c>
      <x:c r="K208" s="4" t="n">
        <x:f>IF($D$4="Ready",MAX(0,ROUND(E208+F208-I208,2)),"n.a.")</x:f>
        <x:v>0</x:v>
      </x:c>
      <x:c r="L208" s="4"/>
    </x:row>
    <x:row r="209" ht="22" customHeight="1">
      <x:c r="A209" s="2"/>
      <x:c r="B209" s="2"/>
      <x:c r="C209" s="21" t="n">
        <x:f>193</x:f>
        <x:v>193</x:v>
      </x:c>
      <x:c r="D209" s="22" t="n">
        <x:f>IF($D$4="Ready",EDATE($D$9,C209-1),"n.a.")</x:f>
        <x:v>52171</x:v>
      </x:c>
      <x:c r="E209" s="4" t="n">
        <x:f>IF($D$4="Ready",K208,"n.a.")</x:f>
        <x:v>0</x:v>
      </x:c>
      <x:c r="F209" s="4" t="n">
        <x:f>IF($D$4="Ready",ROUND(E209*$D$6/12,2),"n.a.")</x:f>
        <x:v>0</x:v>
      </x:c>
      <x:c r="G209" s="4" t="n">
        <x:f>IF($D$4="Ready",IF(C209&gt;$D$7,0,IF(C209=$D$7,E209+F209,MIN($D$11,E209+F209))),"n.a.")</x:f>
        <x:v>0</x:v>
      </x:c>
      <x:c r="H209" s="4" t="n">
        <x:f>IF($D$4="Ready",MIN($D$8,MAX(0,E209+F209-G209)),"n.a.")</x:f>
        <x:v>0</x:v>
      </x:c>
      <x:c r="I209" s="4" t="n">
        <x:f>IF($D$4="Ready",ROUND(G209+H209,2),"n.a.")</x:f>
        <x:v>0</x:v>
      </x:c>
      <x:c r="J209" s="4" t="n">
        <x:f>IF($D$4="Ready",ROUND(I209-F209,2),"n.a.")</x:f>
        <x:v>0</x:v>
      </x:c>
      <x:c r="K209" s="4" t="n">
        <x:f>IF($D$4="Ready",MAX(0,ROUND(E209+F209-I209,2)),"n.a.")</x:f>
        <x:v>0</x:v>
      </x:c>
      <x:c r="L209" s="4"/>
    </x:row>
    <x:row r="210" ht="22" customHeight="1">
      <x:c r="A210" s="2"/>
      <x:c r="B210" s="2"/>
      <x:c r="C210" s="21" t="n">
        <x:f>194</x:f>
        <x:v>194</x:v>
      </x:c>
      <x:c r="D210" s="22" t="n">
        <x:f>IF($D$4="Ready",EDATE($D$9,C210-1),"n.a.")</x:f>
        <x:v>52201</x:v>
      </x:c>
      <x:c r="E210" s="4" t="n">
        <x:f>IF($D$4="Ready",K209,"n.a.")</x:f>
        <x:v>0</x:v>
      </x:c>
      <x:c r="F210" s="4" t="n">
        <x:f>IF($D$4="Ready",ROUND(E210*$D$6/12,2),"n.a.")</x:f>
        <x:v>0</x:v>
      </x:c>
      <x:c r="G210" s="4" t="n">
        <x:f>IF($D$4="Ready",IF(C210&gt;$D$7,0,IF(C210=$D$7,E210+F210,MIN($D$11,E210+F210))),"n.a.")</x:f>
        <x:v>0</x:v>
      </x:c>
      <x:c r="H210" s="4" t="n">
        <x:f>IF($D$4="Ready",MIN($D$8,MAX(0,E210+F210-G210)),"n.a.")</x:f>
        <x:v>0</x:v>
      </x:c>
      <x:c r="I210" s="4" t="n">
        <x:f>IF($D$4="Ready",ROUND(G210+H210,2),"n.a.")</x:f>
        <x:v>0</x:v>
      </x:c>
      <x:c r="J210" s="4" t="n">
        <x:f>IF($D$4="Ready",ROUND(I210-F210,2),"n.a.")</x:f>
        <x:v>0</x:v>
      </x:c>
      <x:c r="K210" s="4" t="n">
        <x:f>IF($D$4="Ready",MAX(0,ROUND(E210+F210-I210,2)),"n.a.")</x:f>
        <x:v>0</x:v>
      </x:c>
      <x:c r="L210" s="4"/>
    </x:row>
    <x:row r="211" ht="22" customHeight="1">
      <x:c r="A211" s="2"/>
      <x:c r="B211" s="2"/>
      <x:c r="C211" s="21" t="n">
        <x:f>195</x:f>
        <x:v>195</x:v>
      </x:c>
      <x:c r="D211" s="22" t="n">
        <x:f>IF($D$4="Ready",EDATE($D$9,C211-1),"n.a.")</x:f>
        <x:v>52232</x:v>
      </x:c>
      <x:c r="E211" s="4" t="n">
        <x:f>IF($D$4="Ready",K210,"n.a.")</x:f>
        <x:v>0</x:v>
      </x:c>
      <x:c r="F211" s="4" t="n">
        <x:f>IF($D$4="Ready",ROUND(E211*$D$6/12,2),"n.a.")</x:f>
        <x:v>0</x:v>
      </x:c>
      <x:c r="G211" s="4" t="n">
        <x:f>IF($D$4="Ready",IF(C211&gt;$D$7,0,IF(C211=$D$7,E211+F211,MIN($D$11,E211+F211))),"n.a.")</x:f>
        <x:v>0</x:v>
      </x:c>
      <x:c r="H211" s="4" t="n">
        <x:f>IF($D$4="Ready",MIN($D$8,MAX(0,E211+F211-G211)),"n.a.")</x:f>
        <x:v>0</x:v>
      </x:c>
      <x:c r="I211" s="4" t="n">
        <x:f>IF($D$4="Ready",ROUND(G211+H211,2),"n.a.")</x:f>
        <x:v>0</x:v>
      </x:c>
      <x:c r="J211" s="4" t="n">
        <x:f>IF($D$4="Ready",ROUND(I211-F211,2),"n.a.")</x:f>
        <x:v>0</x:v>
      </x:c>
      <x:c r="K211" s="4" t="n">
        <x:f>IF($D$4="Ready",MAX(0,ROUND(E211+F211-I211,2)),"n.a.")</x:f>
        <x:v>0</x:v>
      </x:c>
      <x:c r="L211" s="4"/>
    </x:row>
    <x:row r="212" ht="22" customHeight="1">
      <x:c r="A212" s="2"/>
      <x:c r="B212" s="2"/>
      <x:c r="C212" s="21" t="n">
        <x:f>196</x:f>
        <x:v>196</x:v>
      </x:c>
      <x:c r="D212" s="22" t="n">
        <x:f>IF($D$4="Ready",EDATE($D$9,C212-1),"n.a.")</x:f>
        <x:v>52263</x:v>
      </x:c>
      <x:c r="E212" s="4" t="n">
        <x:f>IF($D$4="Ready",K211,"n.a.")</x:f>
        <x:v>0</x:v>
      </x:c>
      <x:c r="F212" s="4" t="n">
        <x:f>IF($D$4="Ready",ROUND(E212*$D$6/12,2),"n.a.")</x:f>
        <x:v>0</x:v>
      </x:c>
      <x:c r="G212" s="4" t="n">
        <x:f>IF($D$4="Ready",IF(C212&gt;$D$7,0,IF(C212=$D$7,E212+F212,MIN($D$11,E212+F212))),"n.a.")</x:f>
        <x:v>0</x:v>
      </x:c>
      <x:c r="H212" s="4" t="n">
        <x:f>IF($D$4="Ready",MIN($D$8,MAX(0,E212+F212-G212)),"n.a.")</x:f>
        <x:v>0</x:v>
      </x:c>
      <x:c r="I212" s="4" t="n">
        <x:f>IF($D$4="Ready",ROUND(G212+H212,2),"n.a.")</x:f>
        <x:v>0</x:v>
      </x:c>
      <x:c r="J212" s="4" t="n">
        <x:f>IF($D$4="Ready",ROUND(I212-F212,2),"n.a.")</x:f>
        <x:v>0</x:v>
      </x:c>
      <x:c r="K212" s="4" t="n">
        <x:f>IF($D$4="Ready",MAX(0,ROUND(E212+F212-I212,2)),"n.a.")</x:f>
        <x:v>0</x:v>
      </x:c>
      <x:c r="L212" s="4"/>
    </x:row>
    <x:row r="213" ht="22" customHeight="1">
      <x:c r="A213" s="2"/>
      <x:c r="B213" s="2"/>
      <x:c r="C213" s="21" t="n">
        <x:f>197</x:f>
        <x:v>197</x:v>
      </x:c>
      <x:c r="D213" s="22" t="n">
        <x:f>IF($D$4="Ready",EDATE($D$9,C213-1),"n.a.")</x:f>
        <x:v>52291</x:v>
      </x:c>
      <x:c r="E213" s="4" t="n">
        <x:f>IF($D$4="Ready",K212,"n.a.")</x:f>
        <x:v>0</x:v>
      </x:c>
      <x:c r="F213" s="4" t="n">
        <x:f>IF($D$4="Ready",ROUND(E213*$D$6/12,2),"n.a.")</x:f>
        <x:v>0</x:v>
      </x:c>
      <x:c r="G213" s="4" t="n">
        <x:f>IF($D$4="Ready",IF(C213&gt;$D$7,0,IF(C213=$D$7,E213+F213,MIN($D$11,E213+F213))),"n.a.")</x:f>
        <x:v>0</x:v>
      </x:c>
      <x:c r="H213" s="4" t="n">
        <x:f>IF($D$4="Ready",MIN($D$8,MAX(0,E213+F213-G213)),"n.a.")</x:f>
        <x:v>0</x:v>
      </x:c>
      <x:c r="I213" s="4" t="n">
        <x:f>IF($D$4="Ready",ROUND(G213+H213,2),"n.a.")</x:f>
        <x:v>0</x:v>
      </x:c>
      <x:c r="J213" s="4" t="n">
        <x:f>IF($D$4="Ready",ROUND(I213-F213,2),"n.a.")</x:f>
        <x:v>0</x:v>
      </x:c>
      <x:c r="K213" s="4" t="n">
        <x:f>IF($D$4="Ready",MAX(0,ROUND(E213+F213-I213,2)),"n.a.")</x:f>
        <x:v>0</x:v>
      </x:c>
      <x:c r="L213" s="4"/>
    </x:row>
    <x:row r="214" ht="22" customHeight="1">
      <x:c r="A214" s="2"/>
      <x:c r="B214" s="2"/>
      <x:c r="C214" s="21" t="n">
        <x:f>198</x:f>
        <x:v>198</x:v>
      </x:c>
      <x:c r="D214" s="22" t="n">
        <x:f>IF($D$4="Ready",EDATE($D$9,C214-1),"n.a.")</x:f>
        <x:v>52322</x:v>
      </x:c>
      <x:c r="E214" s="4" t="n">
        <x:f>IF($D$4="Ready",K213,"n.a.")</x:f>
        <x:v>0</x:v>
      </x:c>
      <x:c r="F214" s="4" t="n">
        <x:f>IF($D$4="Ready",ROUND(E214*$D$6/12,2),"n.a.")</x:f>
        <x:v>0</x:v>
      </x:c>
      <x:c r="G214" s="4" t="n">
        <x:f>IF($D$4="Ready",IF(C214&gt;$D$7,0,IF(C214=$D$7,E214+F214,MIN($D$11,E214+F214))),"n.a.")</x:f>
        <x:v>0</x:v>
      </x:c>
      <x:c r="H214" s="4" t="n">
        <x:f>IF($D$4="Ready",MIN($D$8,MAX(0,E214+F214-G214)),"n.a.")</x:f>
        <x:v>0</x:v>
      </x:c>
      <x:c r="I214" s="4" t="n">
        <x:f>IF($D$4="Ready",ROUND(G214+H214,2),"n.a.")</x:f>
        <x:v>0</x:v>
      </x:c>
      <x:c r="J214" s="4" t="n">
        <x:f>IF($D$4="Ready",ROUND(I214-F214,2),"n.a.")</x:f>
        <x:v>0</x:v>
      </x:c>
      <x:c r="K214" s="4" t="n">
        <x:f>IF($D$4="Ready",MAX(0,ROUND(E214+F214-I214,2)),"n.a.")</x:f>
        <x:v>0</x:v>
      </x:c>
      <x:c r="L214" s="4"/>
    </x:row>
    <x:row r="215" ht="22" customHeight="1">
      <x:c r="A215" s="2"/>
      <x:c r="B215" s="2"/>
      <x:c r="C215" s="21" t="n">
        <x:f>199</x:f>
        <x:v>199</x:v>
      </x:c>
      <x:c r="D215" s="22" t="n">
        <x:f>IF($D$4="Ready",EDATE($D$9,C215-1),"n.a.")</x:f>
        <x:v>52352</x:v>
      </x:c>
      <x:c r="E215" s="4" t="n">
        <x:f>IF($D$4="Ready",K214,"n.a.")</x:f>
        <x:v>0</x:v>
      </x:c>
      <x:c r="F215" s="4" t="n">
        <x:f>IF($D$4="Ready",ROUND(E215*$D$6/12,2),"n.a.")</x:f>
        <x:v>0</x:v>
      </x:c>
      <x:c r="G215" s="4" t="n">
        <x:f>IF($D$4="Ready",IF(C215&gt;$D$7,0,IF(C215=$D$7,E215+F215,MIN($D$11,E215+F215))),"n.a.")</x:f>
        <x:v>0</x:v>
      </x:c>
      <x:c r="H215" s="4" t="n">
        <x:f>IF($D$4="Ready",MIN($D$8,MAX(0,E215+F215-G215)),"n.a.")</x:f>
        <x:v>0</x:v>
      </x:c>
      <x:c r="I215" s="4" t="n">
        <x:f>IF($D$4="Ready",ROUND(G215+H215,2),"n.a.")</x:f>
        <x:v>0</x:v>
      </x:c>
      <x:c r="J215" s="4" t="n">
        <x:f>IF($D$4="Ready",ROUND(I215-F215,2),"n.a.")</x:f>
        <x:v>0</x:v>
      </x:c>
      <x:c r="K215" s="4" t="n">
        <x:f>IF($D$4="Ready",MAX(0,ROUND(E215+F215-I215,2)),"n.a.")</x:f>
        <x:v>0</x:v>
      </x:c>
      <x:c r="L215" s="4"/>
    </x:row>
    <x:row r="216" ht="22" customHeight="1">
      <x:c r="A216" s="2"/>
      <x:c r="B216" s="2"/>
      <x:c r="C216" s="21" t="n">
        <x:f>200</x:f>
        <x:v>200</x:v>
      </x:c>
      <x:c r="D216" s="22" t="n">
        <x:f>IF($D$4="Ready",EDATE($D$9,C216-1),"n.a.")</x:f>
        <x:v>52383</x:v>
      </x:c>
      <x:c r="E216" s="4" t="n">
        <x:f>IF($D$4="Ready",K215,"n.a.")</x:f>
        <x:v>0</x:v>
      </x:c>
      <x:c r="F216" s="4" t="n">
        <x:f>IF($D$4="Ready",ROUND(E216*$D$6/12,2),"n.a.")</x:f>
        <x:v>0</x:v>
      </x:c>
      <x:c r="G216" s="4" t="n">
        <x:f>IF($D$4="Ready",IF(C216&gt;$D$7,0,IF(C216=$D$7,E216+F216,MIN($D$11,E216+F216))),"n.a.")</x:f>
        <x:v>0</x:v>
      </x:c>
      <x:c r="H216" s="4" t="n">
        <x:f>IF($D$4="Ready",MIN($D$8,MAX(0,E216+F216-G216)),"n.a.")</x:f>
        <x:v>0</x:v>
      </x:c>
      <x:c r="I216" s="4" t="n">
        <x:f>IF($D$4="Ready",ROUND(G216+H216,2),"n.a.")</x:f>
        <x:v>0</x:v>
      </x:c>
      <x:c r="J216" s="4" t="n">
        <x:f>IF($D$4="Ready",ROUND(I216-F216,2),"n.a.")</x:f>
        <x:v>0</x:v>
      </x:c>
      <x:c r="K216" s="4" t="n">
        <x:f>IF($D$4="Ready",MAX(0,ROUND(E216+F216-I216,2)),"n.a.")</x:f>
        <x:v>0</x:v>
      </x:c>
      <x:c r="L216" s="4"/>
    </x:row>
    <x:row r="217" ht="22" customHeight="1">
      <x:c r="A217" s="2"/>
      <x:c r="B217" s="2"/>
      <x:c r="C217" s="21" t="n">
        <x:f>201</x:f>
        <x:v>201</x:v>
      </x:c>
      <x:c r="D217" s="22" t="n">
        <x:f>IF($D$4="Ready",EDATE($D$9,C217-1),"n.a.")</x:f>
        <x:v>52413</x:v>
      </x:c>
      <x:c r="E217" s="4" t="n">
        <x:f>IF($D$4="Ready",K216,"n.a.")</x:f>
        <x:v>0</x:v>
      </x:c>
      <x:c r="F217" s="4" t="n">
        <x:f>IF($D$4="Ready",ROUND(E217*$D$6/12,2),"n.a.")</x:f>
        <x:v>0</x:v>
      </x:c>
      <x:c r="G217" s="4" t="n">
        <x:f>IF($D$4="Ready",IF(C217&gt;$D$7,0,IF(C217=$D$7,E217+F217,MIN($D$11,E217+F217))),"n.a.")</x:f>
        <x:v>0</x:v>
      </x:c>
      <x:c r="H217" s="4" t="n">
        <x:f>IF($D$4="Ready",MIN($D$8,MAX(0,E217+F217-G217)),"n.a.")</x:f>
        <x:v>0</x:v>
      </x:c>
      <x:c r="I217" s="4" t="n">
        <x:f>IF($D$4="Ready",ROUND(G217+H217,2),"n.a.")</x:f>
        <x:v>0</x:v>
      </x:c>
      <x:c r="J217" s="4" t="n">
        <x:f>IF($D$4="Ready",ROUND(I217-F217,2),"n.a.")</x:f>
        <x:v>0</x:v>
      </x:c>
      <x:c r="K217" s="4" t="n">
        <x:f>IF($D$4="Ready",MAX(0,ROUND(E217+F217-I217,2)),"n.a.")</x:f>
        <x:v>0</x:v>
      </x:c>
      <x:c r="L217" s="4"/>
    </x:row>
    <x:row r="218" ht="22" customHeight="1">
      <x:c r="A218" s="2"/>
      <x:c r="B218" s="2"/>
      <x:c r="C218" s="21" t="n">
        <x:f>202</x:f>
        <x:v>202</x:v>
      </x:c>
      <x:c r="D218" s="22" t="n">
        <x:f>IF($D$4="Ready",EDATE($D$9,C218-1),"n.a.")</x:f>
        <x:v>52444</x:v>
      </x:c>
      <x:c r="E218" s="4" t="n">
        <x:f>IF($D$4="Ready",K217,"n.a.")</x:f>
        <x:v>0</x:v>
      </x:c>
      <x:c r="F218" s="4" t="n">
        <x:f>IF($D$4="Ready",ROUND(E218*$D$6/12,2),"n.a.")</x:f>
        <x:v>0</x:v>
      </x:c>
      <x:c r="G218" s="4" t="n">
        <x:f>IF($D$4="Ready",IF(C218&gt;$D$7,0,IF(C218=$D$7,E218+F218,MIN($D$11,E218+F218))),"n.a.")</x:f>
        <x:v>0</x:v>
      </x:c>
      <x:c r="H218" s="4" t="n">
        <x:f>IF($D$4="Ready",MIN($D$8,MAX(0,E218+F218-G218)),"n.a.")</x:f>
        <x:v>0</x:v>
      </x:c>
      <x:c r="I218" s="4" t="n">
        <x:f>IF($D$4="Ready",ROUND(G218+H218,2),"n.a.")</x:f>
        <x:v>0</x:v>
      </x:c>
      <x:c r="J218" s="4" t="n">
        <x:f>IF($D$4="Ready",ROUND(I218-F218,2),"n.a.")</x:f>
        <x:v>0</x:v>
      </x:c>
      <x:c r="K218" s="4" t="n">
        <x:f>IF($D$4="Ready",MAX(0,ROUND(E218+F218-I218,2)),"n.a.")</x:f>
        <x:v>0</x:v>
      </x:c>
      <x:c r="L218" s="4"/>
    </x:row>
    <x:row r="219" ht="22" customHeight="1">
      <x:c r="A219" s="2"/>
      <x:c r="B219" s="2"/>
      <x:c r="C219" s="21" t="n">
        <x:f>203</x:f>
        <x:v>203</x:v>
      </x:c>
      <x:c r="D219" s="22" t="n">
        <x:f>IF($D$4="Ready",EDATE($D$9,C219-1),"n.a.")</x:f>
        <x:v>52475</x:v>
      </x:c>
      <x:c r="E219" s="4" t="n">
        <x:f>IF($D$4="Ready",K218,"n.a.")</x:f>
        <x:v>0</x:v>
      </x:c>
      <x:c r="F219" s="4" t="n">
        <x:f>IF($D$4="Ready",ROUND(E219*$D$6/12,2),"n.a.")</x:f>
        <x:v>0</x:v>
      </x:c>
      <x:c r="G219" s="4" t="n">
        <x:f>IF($D$4="Ready",IF(C219&gt;$D$7,0,IF(C219=$D$7,E219+F219,MIN($D$11,E219+F219))),"n.a.")</x:f>
        <x:v>0</x:v>
      </x:c>
      <x:c r="H219" s="4" t="n">
        <x:f>IF($D$4="Ready",MIN($D$8,MAX(0,E219+F219-G219)),"n.a.")</x:f>
        <x:v>0</x:v>
      </x:c>
      <x:c r="I219" s="4" t="n">
        <x:f>IF($D$4="Ready",ROUND(G219+H219,2),"n.a.")</x:f>
        <x:v>0</x:v>
      </x:c>
      <x:c r="J219" s="4" t="n">
        <x:f>IF($D$4="Ready",ROUND(I219-F219,2),"n.a.")</x:f>
        <x:v>0</x:v>
      </x:c>
      <x:c r="K219" s="4" t="n">
        <x:f>IF($D$4="Ready",MAX(0,ROUND(E219+F219-I219,2)),"n.a.")</x:f>
        <x:v>0</x:v>
      </x:c>
      <x:c r="L219" s="4"/>
    </x:row>
    <x:row r="220" ht="22" customHeight="1">
      <x:c r="A220" s="2"/>
      <x:c r="B220" s="2"/>
      <x:c r="C220" s="21" t="n">
        <x:f>204</x:f>
        <x:v>204</x:v>
      </x:c>
      <x:c r="D220" s="22" t="n">
        <x:f>IF($D$4="Ready",EDATE($D$9,C220-1),"n.a.")</x:f>
        <x:v>52505</x:v>
      </x:c>
      <x:c r="E220" s="4" t="n">
        <x:f>IF($D$4="Ready",K219,"n.a.")</x:f>
        <x:v>0</x:v>
      </x:c>
      <x:c r="F220" s="4" t="n">
        <x:f>IF($D$4="Ready",ROUND(E220*$D$6/12,2),"n.a.")</x:f>
        <x:v>0</x:v>
      </x:c>
      <x:c r="G220" s="4" t="n">
        <x:f>IF($D$4="Ready",IF(C220&gt;$D$7,0,IF(C220=$D$7,E220+F220,MIN($D$11,E220+F220))),"n.a.")</x:f>
        <x:v>0</x:v>
      </x:c>
      <x:c r="H220" s="4" t="n">
        <x:f>IF($D$4="Ready",MIN($D$8,MAX(0,E220+F220-G220)),"n.a.")</x:f>
        <x:v>0</x:v>
      </x:c>
      <x:c r="I220" s="4" t="n">
        <x:f>IF($D$4="Ready",ROUND(G220+H220,2),"n.a.")</x:f>
        <x:v>0</x:v>
      </x:c>
      <x:c r="J220" s="4" t="n">
        <x:f>IF($D$4="Ready",ROUND(I220-F220,2),"n.a.")</x:f>
        <x:v>0</x:v>
      </x:c>
      <x:c r="K220" s="4" t="n">
        <x:f>IF($D$4="Ready",MAX(0,ROUND(E220+F220-I220,2)),"n.a.")</x:f>
        <x:v>0</x:v>
      </x:c>
      <x:c r="L220" s="4"/>
    </x:row>
    <x:row r="221" ht="22" customHeight="1">
      <x:c r="A221" s="2"/>
      <x:c r="B221" s="2"/>
      <x:c r="C221" s="21" t="n">
        <x:f>205</x:f>
        <x:v>205</x:v>
      </x:c>
      <x:c r="D221" s="22" t="n">
        <x:f>IF($D$4="Ready",EDATE($D$9,C221-1),"n.a.")</x:f>
        <x:v>52536</x:v>
      </x:c>
      <x:c r="E221" s="4" t="n">
        <x:f>IF($D$4="Ready",K220,"n.a.")</x:f>
        <x:v>0</x:v>
      </x:c>
      <x:c r="F221" s="4" t="n">
        <x:f>IF($D$4="Ready",ROUND(E221*$D$6/12,2),"n.a.")</x:f>
        <x:v>0</x:v>
      </x:c>
      <x:c r="G221" s="4" t="n">
        <x:f>IF($D$4="Ready",IF(C221&gt;$D$7,0,IF(C221=$D$7,E221+F221,MIN($D$11,E221+F221))),"n.a.")</x:f>
        <x:v>0</x:v>
      </x:c>
      <x:c r="H221" s="4" t="n">
        <x:f>IF($D$4="Ready",MIN($D$8,MAX(0,E221+F221-G221)),"n.a.")</x:f>
        <x:v>0</x:v>
      </x:c>
      <x:c r="I221" s="4" t="n">
        <x:f>IF($D$4="Ready",ROUND(G221+H221,2),"n.a.")</x:f>
        <x:v>0</x:v>
      </x:c>
      <x:c r="J221" s="4" t="n">
        <x:f>IF($D$4="Ready",ROUND(I221-F221,2),"n.a.")</x:f>
        <x:v>0</x:v>
      </x:c>
      <x:c r="K221" s="4" t="n">
        <x:f>IF($D$4="Ready",MAX(0,ROUND(E221+F221-I221,2)),"n.a.")</x:f>
        <x:v>0</x:v>
      </x:c>
      <x:c r="L221" s="4"/>
    </x:row>
    <x:row r="222" ht="22" customHeight="1">
      <x:c r="A222" s="2"/>
      <x:c r="B222" s="2"/>
      <x:c r="C222" s="21" t="n">
        <x:f>206</x:f>
        <x:v>206</x:v>
      </x:c>
      <x:c r="D222" s="22" t="n">
        <x:f>IF($D$4="Ready",EDATE($D$9,C222-1),"n.a.")</x:f>
        <x:v>52566</x:v>
      </x:c>
      <x:c r="E222" s="4" t="n">
        <x:f>IF($D$4="Ready",K221,"n.a.")</x:f>
        <x:v>0</x:v>
      </x:c>
      <x:c r="F222" s="4" t="n">
        <x:f>IF($D$4="Ready",ROUND(E222*$D$6/12,2),"n.a.")</x:f>
        <x:v>0</x:v>
      </x:c>
      <x:c r="G222" s="4" t="n">
        <x:f>IF($D$4="Ready",IF(C222&gt;$D$7,0,IF(C222=$D$7,E222+F222,MIN($D$11,E222+F222))),"n.a.")</x:f>
        <x:v>0</x:v>
      </x:c>
      <x:c r="H222" s="4" t="n">
        <x:f>IF($D$4="Ready",MIN($D$8,MAX(0,E222+F222-G222)),"n.a.")</x:f>
        <x:v>0</x:v>
      </x:c>
      <x:c r="I222" s="4" t="n">
        <x:f>IF($D$4="Ready",ROUND(G222+H222,2),"n.a.")</x:f>
        <x:v>0</x:v>
      </x:c>
      <x:c r="J222" s="4" t="n">
        <x:f>IF($D$4="Ready",ROUND(I222-F222,2),"n.a.")</x:f>
        <x:v>0</x:v>
      </x:c>
      <x:c r="K222" s="4" t="n">
        <x:f>IF($D$4="Ready",MAX(0,ROUND(E222+F222-I222,2)),"n.a.")</x:f>
        <x:v>0</x:v>
      </x:c>
      <x:c r="L222" s="4"/>
    </x:row>
    <x:row r="223" ht="22" customHeight="1">
      <x:c r="A223" s="2"/>
      <x:c r="B223" s="2"/>
      <x:c r="C223" s="21" t="n">
        <x:f>207</x:f>
        <x:v>207</x:v>
      </x:c>
      <x:c r="D223" s="22" t="n">
        <x:f>IF($D$4="Ready",EDATE($D$9,C223-1),"n.a.")</x:f>
        <x:v>52597</x:v>
      </x:c>
      <x:c r="E223" s="4" t="n">
        <x:f>IF($D$4="Ready",K222,"n.a.")</x:f>
        <x:v>0</x:v>
      </x:c>
      <x:c r="F223" s="4" t="n">
        <x:f>IF($D$4="Ready",ROUND(E223*$D$6/12,2),"n.a.")</x:f>
        <x:v>0</x:v>
      </x:c>
      <x:c r="G223" s="4" t="n">
        <x:f>IF($D$4="Ready",IF(C223&gt;$D$7,0,IF(C223=$D$7,E223+F223,MIN($D$11,E223+F223))),"n.a.")</x:f>
        <x:v>0</x:v>
      </x:c>
      <x:c r="H223" s="4" t="n">
        <x:f>IF($D$4="Ready",MIN($D$8,MAX(0,E223+F223-G223)),"n.a.")</x:f>
        <x:v>0</x:v>
      </x:c>
      <x:c r="I223" s="4" t="n">
        <x:f>IF($D$4="Ready",ROUND(G223+H223,2),"n.a.")</x:f>
        <x:v>0</x:v>
      </x:c>
      <x:c r="J223" s="4" t="n">
        <x:f>IF($D$4="Ready",ROUND(I223-F223,2),"n.a.")</x:f>
        <x:v>0</x:v>
      </x:c>
      <x:c r="K223" s="4" t="n">
        <x:f>IF($D$4="Ready",MAX(0,ROUND(E223+F223-I223,2)),"n.a.")</x:f>
        <x:v>0</x:v>
      </x:c>
      <x:c r="L223" s="4"/>
    </x:row>
    <x:row r="224" ht="22" customHeight="1">
      <x:c r="A224" s="2"/>
      <x:c r="B224" s="2"/>
      <x:c r="C224" s="21" t="n">
        <x:f>208</x:f>
        <x:v>208</x:v>
      </x:c>
      <x:c r="D224" s="22" t="n">
        <x:f>IF($D$4="Ready",EDATE($D$9,C224-1),"n.a.")</x:f>
        <x:v>52628</x:v>
      </x:c>
      <x:c r="E224" s="4" t="n">
        <x:f>IF($D$4="Ready",K223,"n.a.")</x:f>
        <x:v>0</x:v>
      </x:c>
      <x:c r="F224" s="4" t="n">
        <x:f>IF($D$4="Ready",ROUND(E224*$D$6/12,2),"n.a.")</x:f>
        <x:v>0</x:v>
      </x:c>
      <x:c r="G224" s="4" t="n">
        <x:f>IF($D$4="Ready",IF(C224&gt;$D$7,0,IF(C224=$D$7,E224+F224,MIN($D$11,E224+F224))),"n.a.")</x:f>
        <x:v>0</x:v>
      </x:c>
      <x:c r="H224" s="4" t="n">
        <x:f>IF($D$4="Ready",MIN($D$8,MAX(0,E224+F224-G224)),"n.a.")</x:f>
        <x:v>0</x:v>
      </x:c>
      <x:c r="I224" s="4" t="n">
        <x:f>IF($D$4="Ready",ROUND(G224+H224,2),"n.a.")</x:f>
        <x:v>0</x:v>
      </x:c>
      <x:c r="J224" s="4" t="n">
        <x:f>IF($D$4="Ready",ROUND(I224-F224,2),"n.a.")</x:f>
        <x:v>0</x:v>
      </x:c>
      <x:c r="K224" s="4" t="n">
        <x:f>IF($D$4="Ready",MAX(0,ROUND(E224+F224-I224,2)),"n.a.")</x:f>
        <x:v>0</x:v>
      </x:c>
      <x:c r="L224" s="4"/>
    </x:row>
    <x:row r="225" ht="22" customHeight="1">
      <x:c r="A225" s="2"/>
      <x:c r="B225" s="2"/>
      <x:c r="C225" s="21" t="n">
        <x:f>209</x:f>
        <x:v>209</x:v>
      </x:c>
      <x:c r="D225" s="22" t="n">
        <x:f>IF($D$4="Ready",EDATE($D$9,C225-1),"n.a.")</x:f>
        <x:v>52657</x:v>
      </x:c>
      <x:c r="E225" s="4" t="n">
        <x:f>IF($D$4="Ready",K224,"n.a.")</x:f>
        <x:v>0</x:v>
      </x:c>
      <x:c r="F225" s="4" t="n">
        <x:f>IF($D$4="Ready",ROUND(E225*$D$6/12,2),"n.a.")</x:f>
        <x:v>0</x:v>
      </x:c>
      <x:c r="G225" s="4" t="n">
        <x:f>IF($D$4="Ready",IF(C225&gt;$D$7,0,IF(C225=$D$7,E225+F225,MIN($D$11,E225+F225))),"n.a.")</x:f>
        <x:v>0</x:v>
      </x:c>
      <x:c r="H225" s="4" t="n">
        <x:f>IF($D$4="Ready",MIN($D$8,MAX(0,E225+F225-G225)),"n.a.")</x:f>
        <x:v>0</x:v>
      </x:c>
      <x:c r="I225" s="4" t="n">
        <x:f>IF($D$4="Ready",ROUND(G225+H225,2),"n.a.")</x:f>
        <x:v>0</x:v>
      </x:c>
      <x:c r="J225" s="4" t="n">
        <x:f>IF($D$4="Ready",ROUND(I225-F225,2),"n.a.")</x:f>
        <x:v>0</x:v>
      </x:c>
      <x:c r="K225" s="4" t="n">
        <x:f>IF($D$4="Ready",MAX(0,ROUND(E225+F225-I225,2)),"n.a.")</x:f>
        <x:v>0</x:v>
      </x:c>
      <x:c r="L225" s="4"/>
    </x:row>
    <x:row r="226" ht="22" customHeight="1">
      <x:c r="A226" s="2"/>
      <x:c r="B226" s="2"/>
      <x:c r="C226" s="21" t="n">
        <x:f>210</x:f>
        <x:v>210</x:v>
      </x:c>
      <x:c r="D226" s="22" t="n">
        <x:f>IF($D$4="Ready",EDATE($D$9,C226-1),"n.a.")</x:f>
        <x:v>52688</x:v>
      </x:c>
      <x:c r="E226" s="4" t="n">
        <x:f>IF($D$4="Ready",K225,"n.a.")</x:f>
        <x:v>0</x:v>
      </x:c>
      <x:c r="F226" s="4" t="n">
        <x:f>IF($D$4="Ready",ROUND(E226*$D$6/12,2),"n.a.")</x:f>
        <x:v>0</x:v>
      </x:c>
      <x:c r="G226" s="4" t="n">
        <x:f>IF($D$4="Ready",IF(C226&gt;$D$7,0,IF(C226=$D$7,E226+F226,MIN($D$11,E226+F226))),"n.a.")</x:f>
        <x:v>0</x:v>
      </x:c>
      <x:c r="H226" s="4" t="n">
        <x:f>IF($D$4="Ready",MIN($D$8,MAX(0,E226+F226-G226)),"n.a.")</x:f>
        <x:v>0</x:v>
      </x:c>
      <x:c r="I226" s="4" t="n">
        <x:f>IF($D$4="Ready",ROUND(G226+H226,2),"n.a.")</x:f>
        <x:v>0</x:v>
      </x:c>
      <x:c r="J226" s="4" t="n">
        <x:f>IF($D$4="Ready",ROUND(I226-F226,2),"n.a.")</x:f>
        <x:v>0</x:v>
      </x:c>
      <x:c r="K226" s="4" t="n">
        <x:f>IF($D$4="Ready",MAX(0,ROUND(E226+F226-I226,2)),"n.a.")</x:f>
        <x:v>0</x:v>
      </x:c>
      <x:c r="L226" s="4"/>
    </x:row>
    <x:row r="227" ht="22" customHeight="1">
      <x:c r="A227" s="2"/>
      <x:c r="B227" s="2"/>
      <x:c r="C227" s="21" t="n">
        <x:f>211</x:f>
        <x:v>211</x:v>
      </x:c>
      <x:c r="D227" s="22" t="n">
        <x:f>IF($D$4="Ready",EDATE($D$9,C227-1),"n.a.")</x:f>
        <x:v>52718</x:v>
      </x:c>
      <x:c r="E227" s="4" t="n">
        <x:f>IF($D$4="Ready",K226,"n.a.")</x:f>
        <x:v>0</x:v>
      </x:c>
      <x:c r="F227" s="4" t="n">
        <x:f>IF($D$4="Ready",ROUND(E227*$D$6/12,2),"n.a.")</x:f>
        <x:v>0</x:v>
      </x:c>
      <x:c r="G227" s="4" t="n">
        <x:f>IF($D$4="Ready",IF(C227&gt;$D$7,0,IF(C227=$D$7,E227+F227,MIN($D$11,E227+F227))),"n.a.")</x:f>
        <x:v>0</x:v>
      </x:c>
      <x:c r="H227" s="4" t="n">
        <x:f>IF($D$4="Ready",MIN($D$8,MAX(0,E227+F227-G227)),"n.a.")</x:f>
        <x:v>0</x:v>
      </x:c>
      <x:c r="I227" s="4" t="n">
        <x:f>IF($D$4="Ready",ROUND(G227+H227,2),"n.a.")</x:f>
        <x:v>0</x:v>
      </x:c>
      <x:c r="J227" s="4" t="n">
        <x:f>IF($D$4="Ready",ROUND(I227-F227,2),"n.a.")</x:f>
        <x:v>0</x:v>
      </x:c>
      <x:c r="K227" s="4" t="n">
        <x:f>IF($D$4="Ready",MAX(0,ROUND(E227+F227-I227,2)),"n.a.")</x:f>
        <x:v>0</x:v>
      </x:c>
      <x:c r="L227" s="4"/>
    </x:row>
    <x:row r="228" ht="22" customHeight="1">
      <x:c r="A228" s="2"/>
      <x:c r="B228" s="2"/>
      <x:c r="C228" s="21" t="n">
        <x:f>212</x:f>
        <x:v>212</x:v>
      </x:c>
      <x:c r="D228" s="22" t="n">
        <x:f>IF($D$4="Ready",EDATE($D$9,C228-1),"n.a.")</x:f>
        <x:v>52749</x:v>
      </x:c>
      <x:c r="E228" s="4" t="n">
        <x:f>IF($D$4="Ready",K227,"n.a.")</x:f>
        <x:v>0</x:v>
      </x:c>
      <x:c r="F228" s="4" t="n">
        <x:f>IF($D$4="Ready",ROUND(E228*$D$6/12,2),"n.a.")</x:f>
        <x:v>0</x:v>
      </x:c>
      <x:c r="G228" s="4" t="n">
        <x:f>IF($D$4="Ready",IF(C228&gt;$D$7,0,IF(C228=$D$7,E228+F228,MIN($D$11,E228+F228))),"n.a.")</x:f>
        <x:v>0</x:v>
      </x:c>
      <x:c r="H228" s="4" t="n">
        <x:f>IF($D$4="Ready",MIN($D$8,MAX(0,E228+F228-G228)),"n.a.")</x:f>
        <x:v>0</x:v>
      </x:c>
      <x:c r="I228" s="4" t="n">
        <x:f>IF($D$4="Ready",ROUND(G228+H228,2),"n.a.")</x:f>
        <x:v>0</x:v>
      </x:c>
      <x:c r="J228" s="4" t="n">
        <x:f>IF($D$4="Ready",ROUND(I228-F228,2),"n.a.")</x:f>
        <x:v>0</x:v>
      </x:c>
      <x:c r="K228" s="4" t="n">
        <x:f>IF($D$4="Ready",MAX(0,ROUND(E228+F228-I228,2)),"n.a.")</x:f>
        <x:v>0</x:v>
      </x:c>
      <x:c r="L228" s="4"/>
    </x:row>
    <x:row r="229" ht="22" customHeight="1">
      <x:c r="A229" s="2"/>
      <x:c r="B229" s="2"/>
      <x:c r="C229" s="21" t="n">
        <x:f>213</x:f>
        <x:v>213</x:v>
      </x:c>
      <x:c r="D229" s="22" t="n">
        <x:f>IF($D$4="Ready",EDATE($D$9,C229-1),"n.a.")</x:f>
        <x:v>52779</x:v>
      </x:c>
      <x:c r="E229" s="4" t="n">
        <x:f>IF($D$4="Ready",K228,"n.a.")</x:f>
        <x:v>0</x:v>
      </x:c>
      <x:c r="F229" s="4" t="n">
        <x:f>IF($D$4="Ready",ROUND(E229*$D$6/12,2),"n.a.")</x:f>
        <x:v>0</x:v>
      </x:c>
      <x:c r="G229" s="4" t="n">
        <x:f>IF($D$4="Ready",IF(C229&gt;$D$7,0,IF(C229=$D$7,E229+F229,MIN($D$11,E229+F229))),"n.a.")</x:f>
        <x:v>0</x:v>
      </x:c>
      <x:c r="H229" s="4" t="n">
        <x:f>IF($D$4="Ready",MIN($D$8,MAX(0,E229+F229-G229)),"n.a.")</x:f>
        <x:v>0</x:v>
      </x:c>
      <x:c r="I229" s="4" t="n">
        <x:f>IF($D$4="Ready",ROUND(G229+H229,2),"n.a.")</x:f>
        <x:v>0</x:v>
      </x:c>
      <x:c r="J229" s="4" t="n">
        <x:f>IF($D$4="Ready",ROUND(I229-F229,2),"n.a.")</x:f>
        <x:v>0</x:v>
      </x:c>
      <x:c r="K229" s="4" t="n">
        <x:f>IF($D$4="Ready",MAX(0,ROUND(E229+F229-I229,2)),"n.a.")</x:f>
        <x:v>0</x:v>
      </x:c>
      <x:c r="L229" s="4"/>
    </x:row>
    <x:row r="230" ht="22" customHeight="1">
      <x:c r="A230" s="2"/>
      <x:c r="B230" s="2"/>
      <x:c r="C230" s="21" t="n">
        <x:f>214</x:f>
        <x:v>214</x:v>
      </x:c>
      <x:c r="D230" s="22" t="n">
        <x:f>IF($D$4="Ready",EDATE($D$9,C230-1),"n.a.")</x:f>
        <x:v>52810</x:v>
      </x:c>
      <x:c r="E230" s="4" t="n">
        <x:f>IF($D$4="Ready",K229,"n.a.")</x:f>
        <x:v>0</x:v>
      </x:c>
      <x:c r="F230" s="4" t="n">
        <x:f>IF($D$4="Ready",ROUND(E230*$D$6/12,2),"n.a.")</x:f>
        <x:v>0</x:v>
      </x:c>
      <x:c r="G230" s="4" t="n">
        <x:f>IF($D$4="Ready",IF(C230&gt;$D$7,0,IF(C230=$D$7,E230+F230,MIN($D$11,E230+F230))),"n.a.")</x:f>
        <x:v>0</x:v>
      </x:c>
      <x:c r="H230" s="4" t="n">
        <x:f>IF($D$4="Ready",MIN($D$8,MAX(0,E230+F230-G230)),"n.a.")</x:f>
        <x:v>0</x:v>
      </x:c>
      <x:c r="I230" s="4" t="n">
        <x:f>IF($D$4="Ready",ROUND(G230+H230,2),"n.a.")</x:f>
        <x:v>0</x:v>
      </x:c>
      <x:c r="J230" s="4" t="n">
        <x:f>IF($D$4="Ready",ROUND(I230-F230,2),"n.a.")</x:f>
        <x:v>0</x:v>
      </x:c>
      <x:c r="K230" s="4" t="n">
        <x:f>IF($D$4="Ready",MAX(0,ROUND(E230+F230-I230,2)),"n.a.")</x:f>
        <x:v>0</x:v>
      </x:c>
      <x:c r="L230" s="4"/>
    </x:row>
    <x:row r="231" ht="22" customHeight="1">
      <x:c r="A231" s="2"/>
      <x:c r="B231" s="2"/>
      <x:c r="C231" s="21" t="n">
        <x:f>215</x:f>
        <x:v>215</x:v>
      </x:c>
      <x:c r="D231" s="22" t="n">
        <x:f>IF($D$4="Ready",EDATE($D$9,C231-1),"n.a.")</x:f>
        <x:v>52841</x:v>
      </x:c>
      <x:c r="E231" s="4" t="n">
        <x:f>IF($D$4="Ready",K230,"n.a.")</x:f>
        <x:v>0</x:v>
      </x:c>
      <x:c r="F231" s="4" t="n">
        <x:f>IF($D$4="Ready",ROUND(E231*$D$6/12,2),"n.a.")</x:f>
        <x:v>0</x:v>
      </x:c>
      <x:c r="G231" s="4" t="n">
        <x:f>IF($D$4="Ready",IF(C231&gt;$D$7,0,IF(C231=$D$7,E231+F231,MIN($D$11,E231+F231))),"n.a.")</x:f>
        <x:v>0</x:v>
      </x:c>
      <x:c r="H231" s="4" t="n">
        <x:f>IF($D$4="Ready",MIN($D$8,MAX(0,E231+F231-G231)),"n.a.")</x:f>
        <x:v>0</x:v>
      </x:c>
      <x:c r="I231" s="4" t="n">
        <x:f>IF($D$4="Ready",ROUND(G231+H231,2),"n.a.")</x:f>
        <x:v>0</x:v>
      </x:c>
      <x:c r="J231" s="4" t="n">
        <x:f>IF($D$4="Ready",ROUND(I231-F231,2),"n.a.")</x:f>
        <x:v>0</x:v>
      </x:c>
      <x:c r="K231" s="4" t="n">
        <x:f>IF($D$4="Ready",MAX(0,ROUND(E231+F231-I231,2)),"n.a.")</x:f>
        <x:v>0</x:v>
      </x:c>
      <x:c r="L231" s="4"/>
    </x:row>
    <x:row r="232" ht="22" customHeight="1">
      <x:c r="A232" s="2"/>
      <x:c r="B232" s="2"/>
      <x:c r="C232" s="21" t="n">
        <x:f>216</x:f>
        <x:v>216</x:v>
      </x:c>
      <x:c r="D232" s="22" t="n">
        <x:f>IF($D$4="Ready",EDATE($D$9,C232-1),"n.a.")</x:f>
        <x:v>52871</x:v>
      </x:c>
      <x:c r="E232" s="4" t="n">
        <x:f>IF($D$4="Ready",K231,"n.a.")</x:f>
        <x:v>0</x:v>
      </x:c>
      <x:c r="F232" s="4" t="n">
        <x:f>IF($D$4="Ready",ROUND(E232*$D$6/12,2),"n.a.")</x:f>
        <x:v>0</x:v>
      </x:c>
      <x:c r="G232" s="4" t="n">
        <x:f>IF($D$4="Ready",IF(C232&gt;$D$7,0,IF(C232=$D$7,E232+F232,MIN($D$11,E232+F232))),"n.a.")</x:f>
        <x:v>0</x:v>
      </x:c>
      <x:c r="H232" s="4" t="n">
        <x:f>IF($D$4="Ready",MIN($D$8,MAX(0,E232+F232-G232)),"n.a.")</x:f>
        <x:v>0</x:v>
      </x:c>
      <x:c r="I232" s="4" t="n">
        <x:f>IF($D$4="Ready",ROUND(G232+H232,2),"n.a.")</x:f>
        <x:v>0</x:v>
      </x:c>
      <x:c r="J232" s="4" t="n">
        <x:f>IF($D$4="Ready",ROUND(I232-F232,2),"n.a.")</x:f>
        <x:v>0</x:v>
      </x:c>
      <x:c r="K232" s="4" t="n">
        <x:f>IF($D$4="Ready",MAX(0,ROUND(E232+F232-I232,2)),"n.a.")</x:f>
        <x:v>0</x:v>
      </x:c>
      <x:c r="L232" s="4"/>
    </x:row>
    <x:row r="233" ht="22" customHeight="1">
      <x:c r="A233" s="2"/>
      <x:c r="B233" s="2"/>
      <x:c r="C233" s="21" t="n">
        <x:f>217</x:f>
        <x:v>217</x:v>
      </x:c>
      <x:c r="D233" s="22" t="n">
        <x:f>IF($D$4="Ready",EDATE($D$9,C233-1),"n.a.")</x:f>
        <x:v>52902</x:v>
      </x:c>
      <x:c r="E233" s="4" t="n">
        <x:f>IF($D$4="Ready",K232,"n.a.")</x:f>
        <x:v>0</x:v>
      </x:c>
      <x:c r="F233" s="4" t="n">
        <x:f>IF($D$4="Ready",ROUND(E233*$D$6/12,2),"n.a.")</x:f>
        <x:v>0</x:v>
      </x:c>
      <x:c r="G233" s="4" t="n">
        <x:f>IF($D$4="Ready",IF(C233&gt;$D$7,0,IF(C233=$D$7,E233+F233,MIN($D$11,E233+F233))),"n.a.")</x:f>
        <x:v>0</x:v>
      </x:c>
      <x:c r="H233" s="4" t="n">
        <x:f>IF($D$4="Ready",MIN($D$8,MAX(0,E233+F233-G233)),"n.a.")</x:f>
        <x:v>0</x:v>
      </x:c>
      <x:c r="I233" s="4" t="n">
        <x:f>IF($D$4="Ready",ROUND(G233+H233,2),"n.a.")</x:f>
        <x:v>0</x:v>
      </x:c>
      <x:c r="J233" s="4" t="n">
        <x:f>IF($D$4="Ready",ROUND(I233-F233,2),"n.a.")</x:f>
        <x:v>0</x:v>
      </x:c>
      <x:c r="K233" s="4" t="n">
        <x:f>IF($D$4="Ready",MAX(0,ROUND(E233+F233-I233,2)),"n.a.")</x:f>
        <x:v>0</x:v>
      </x:c>
      <x:c r="L233" s="4"/>
    </x:row>
    <x:row r="234" ht="22" customHeight="1">
      <x:c r="A234" s="2"/>
      <x:c r="B234" s="2"/>
      <x:c r="C234" s="21" t="n">
        <x:f>218</x:f>
        <x:v>218</x:v>
      </x:c>
      <x:c r="D234" s="22" t="n">
        <x:f>IF($D$4="Ready",EDATE($D$9,C234-1),"n.a.")</x:f>
        <x:v>52932</x:v>
      </x:c>
      <x:c r="E234" s="4" t="n">
        <x:f>IF($D$4="Ready",K233,"n.a.")</x:f>
        <x:v>0</x:v>
      </x:c>
      <x:c r="F234" s="4" t="n">
        <x:f>IF($D$4="Ready",ROUND(E234*$D$6/12,2),"n.a.")</x:f>
        <x:v>0</x:v>
      </x:c>
      <x:c r="G234" s="4" t="n">
        <x:f>IF($D$4="Ready",IF(C234&gt;$D$7,0,IF(C234=$D$7,E234+F234,MIN($D$11,E234+F234))),"n.a.")</x:f>
        <x:v>0</x:v>
      </x:c>
      <x:c r="H234" s="4" t="n">
        <x:f>IF($D$4="Ready",MIN($D$8,MAX(0,E234+F234-G234)),"n.a.")</x:f>
        <x:v>0</x:v>
      </x:c>
      <x:c r="I234" s="4" t="n">
        <x:f>IF($D$4="Ready",ROUND(G234+H234,2),"n.a.")</x:f>
        <x:v>0</x:v>
      </x:c>
      <x:c r="J234" s="4" t="n">
        <x:f>IF($D$4="Ready",ROUND(I234-F234,2),"n.a.")</x:f>
        <x:v>0</x:v>
      </x:c>
      <x:c r="K234" s="4" t="n">
        <x:f>IF($D$4="Ready",MAX(0,ROUND(E234+F234-I234,2)),"n.a.")</x:f>
        <x:v>0</x:v>
      </x:c>
      <x:c r="L234" s="4"/>
    </x:row>
    <x:row r="235" ht="22" customHeight="1">
      <x:c r="A235" s="2"/>
      <x:c r="B235" s="2"/>
      <x:c r="C235" s="21" t="n">
        <x:f>219</x:f>
        <x:v>219</x:v>
      </x:c>
      <x:c r="D235" s="22" t="n">
        <x:f>IF($D$4="Ready",EDATE($D$9,C235-1),"n.a.")</x:f>
        <x:v>52963</x:v>
      </x:c>
      <x:c r="E235" s="4" t="n">
        <x:f>IF($D$4="Ready",K234,"n.a.")</x:f>
        <x:v>0</x:v>
      </x:c>
      <x:c r="F235" s="4" t="n">
        <x:f>IF($D$4="Ready",ROUND(E235*$D$6/12,2),"n.a.")</x:f>
        <x:v>0</x:v>
      </x:c>
      <x:c r="G235" s="4" t="n">
        <x:f>IF($D$4="Ready",IF(C235&gt;$D$7,0,IF(C235=$D$7,E235+F235,MIN($D$11,E235+F235))),"n.a.")</x:f>
        <x:v>0</x:v>
      </x:c>
      <x:c r="H235" s="4" t="n">
        <x:f>IF($D$4="Ready",MIN($D$8,MAX(0,E235+F235-G235)),"n.a.")</x:f>
        <x:v>0</x:v>
      </x:c>
      <x:c r="I235" s="4" t="n">
        <x:f>IF($D$4="Ready",ROUND(G235+H235,2),"n.a.")</x:f>
        <x:v>0</x:v>
      </x:c>
      <x:c r="J235" s="4" t="n">
        <x:f>IF($D$4="Ready",ROUND(I235-F235,2),"n.a.")</x:f>
        <x:v>0</x:v>
      </x:c>
      <x:c r="K235" s="4" t="n">
        <x:f>IF($D$4="Ready",MAX(0,ROUND(E235+F235-I235,2)),"n.a.")</x:f>
        <x:v>0</x:v>
      </x:c>
      <x:c r="L235" s="4"/>
    </x:row>
    <x:row r="236" ht="22" customHeight="1">
      <x:c r="A236" s="2"/>
      <x:c r="B236" s="2"/>
      <x:c r="C236" s="21" t="n">
        <x:f>220</x:f>
        <x:v>220</x:v>
      </x:c>
      <x:c r="D236" s="22" t="n">
        <x:f>IF($D$4="Ready",EDATE($D$9,C236-1),"n.a.")</x:f>
        <x:v>52994</x:v>
      </x:c>
      <x:c r="E236" s="4" t="n">
        <x:f>IF($D$4="Ready",K235,"n.a.")</x:f>
        <x:v>0</x:v>
      </x:c>
      <x:c r="F236" s="4" t="n">
        <x:f>IF($D$4="Ready",ROUND(E236*$D$6/12,2),"n.a.")</x:f>
        <x:v>0</x:v>
      </x:c>
      <x:c r="G236" s="4" t="n">
        <x:f>IF($D$4="Ready",IF(C236&gt;$D$7,0,IF(C236=$D$7,E236+F236,MIN($D$11,E236+F236))),"n.a.")</x:f>
        <x:v>0</x:v>
      </x:c>
      <x:c r="H236" s="4" t="n">
        <x:f>IF($D$4="Ready",MIN($D$8,MAX(0,E236+F236-G236)),"n.a.")</x:f>
        <x:v>0</x:v>
      </x:c>
      <x:c r="I236" s="4" t="n">
        <x:f>IF($D$4="Ready",ROUND(G236+H236,2),"n.a.")</x:f>
        <x:v>0</x:v>
      </x:c>
      <x:c r="J236" s="4" t="n">
        <x:f>IF($D$4="Ready",ROUND(I236-F236,2),"n.a.")</x:f>
        <x:v>0</x:v>
      </x:c>
      <x:c r="K236" s="4" t="n">
        <x:f>IF($D$4="Ready",MAX(0,ROUND(E236+F236-I236,2)),"n.a.")</x:f>
        <x:v>0</x:v>
      </x:c>
      <x:c r="L236" s="4"/>
    </x:row>
    <x:row r="237" ht="22" customHeight="1">
      <x:c r="A237" s="2"/>
      <x:c r="B237" s="2"/>
      <x:c r="C237" s="21" t="n">
        <x:f>221</x:f>
        <x:v>221</x:v>
      </x:c>
      <x:c r="D237" s="22" t="n">
        <x:f>IF($D$4="Ready",EDATE($D$9,C237-1),"n.a.")</x:f>
        <x:v>53022</x:v>
      </x:c>
      <x:c r="E237" s="4" t="n">
        <x:f>IF($D$4="Ready",K236,"n.a.")</x:f>
        <x:v>0</x:v>
      </x:c>
      <x:c r="F237" s="4" t="n">
        <x:f>IF($D$4="Ready",ROUND(E237*$D$6/12,2),"n.a.")</x:f>
        <x:v>0</x:v>
      </x:c>
      <x:c r="G237" s="4" t="n">
        <x:f>IF($D$4="Ready",IF(C237&gt;$D$7,0,IF(C237=$D$7,E237+F237,MIN($D$11,E237+F237))),"n.a.")</x:f>
        <x:v>0</x:v>
      </x:c>
      <x:c r="H237" s="4" t="n">
        <x:f>IF($D$4="Ready",MIN($D$8,MAX(0,E237+F237-G237)),"n.a.")</x:f>
        <x:v>0</x:v>
      </x:c>
      <x:c r="I237" s="4" t="n">
        <x:f>IF($D$4="Ready",ROUND(G237+H237,2),"n.a.")</x:f>
        <x:v>0</x:v>
      </x:c>
      <x:c r="J237" s="4" t="n">
        <x:f>IF($D$4="Ready",ROUND(I237-F237,2),"n.a.")</x:f>
        <x:v>0</x:v>
      </x:c>
      <x:c r="K237" s="4" t="n">
        <x:f>IF($D$4="Ready",MAX(0,ROUND(E237+F237-I237,2)),"n.a.")</x:f>
        <x:v>0</x:v>
      </x:c>
      <x:c r="L237" s="4"/>
    </x:row>
    <x:row r="238" ht="22" customHeight="1">
      <x:c r="A238" s="2"/>
      <x:c r="B238" s="2"/>
      <x:c r="C238" s="21" t="n">
        <x:f>222</x:f>
        <x:v>222</x:v>
      </x:c>
      <x:c r="D238" s="22" t="n">
        <x:f>IF($D$4="Ready",EDATE($D$9,C238-1),"n.a.")</x:f>
        <x:v>53053</x:v>
      </x:c>
      <x:c r="E238" s="4" t="n">
        <x:f>IF($D$4="Ready",K237,"n.a.")</x:f>
        <x:v>0</x:v>
      </x:c>
      <x:c r="F238" s="4" t="n">
        <x:f>IF($D$4="Ready",ROUND(E238*$D$6/12,2),"n.a.")</x:f>
        <x:v>0</x:v>
      </x:c>
      <x:c r="G238" s="4" t="n">
        <x:f>IF($D$4="Ready",IF(C238&gt;$D$7,0,IF(C238=$D$7,E238+F238,MIN($D$11,E238+F238))),"n.a.")</x:f>
        <x:v>0</x:v>
      </x:c>
      <x:c r="H238" s="4" t="n">
        <x:f>IF($D$4="Ready",MIN($D$8,MAX(0,E238+F238-G238)),"n.a.")</x:f>
        <x:v>0</x:v>
      </x:c>
      <x:c r="I238" s="4" t="n">
        <x:f>IF($D$4="Ready",ROUND(G238+H238,2),"n.a.")</x:f>
        <x:v>0</x:v>
      </x:c>
      <x:c r="J238" s="4" t="n">
        <x:f>IF($D$4="Ready",ROUND(I238-F238,2),"n.a.")</x:f>
        <x:v>0</x:v>
      </x:c>
      <x:c r="K238" s="4" t="n">
        <x:f>IF($D$4="Ready",MAX(0,ROUND(E238+F238-I238,2)),"n.a.")</x:f>
        <x:v>0</x:v>
      </x:c>
      <x:c r="L238" s="4"/>
    </x:row>
    <x:row r="239" ht="22" customHeight="1">
      <x:c r="A239" s="2"/>
      <x:c r="B239" s="2"/>
      <x:c r="C239" s="21" t="n">
        <x:f>223</x:f>
        <x:v>223</x:v>
      </x:c>
      <x:c r="D239" s="22" t="n">
        <x:f>IF($D$4="Ready",EDATE($D$9,C239-1),"n.a.")</x:f>
        <x:v>53083</x:v>
      </x:c>
      <x:c r="E239" s="4" t="n">
        <x:f>IF($D$4="Ready",K238,"n.a.")</x:f>
        <x:v>0</x:v>
      </x:c>
      <x:c r="F239" s="4" t="n">
        <x:f>IF($D$4="Ready",ROUND(E239*$D$6/12,2),"n.a.")</x:f>
        <x:v>0</x:v>
      </x:c>
      <x:c r="G239" s="4" t="n">
        <x:f>IF($D$4="Ready",IF(C239&gt;$D$7,0,IF(C239=$D$7,E239+F239,MIN($D$11,E239+F239))),"n.a.")</x:f>
        <x:v>0</x:v>
      </x:c>
      <x:c r="H239" s="4" t="n">
        <x:f>IF($D$4="Ready",MIN($D$8,MAX(0,E239+F239-G239)),"n.a.")</x:f>
        <x:v>0</x:v>
      </x:c>
      <x:c r="I239" s="4" t="n">
        <x:f>IF($D$4="Ready",ROUND(G239+H239,2),"n.a.")</x:f>
        <x:v>0</x:v>
      </x:c>
      <x:c r="J239" s="4" t="n">
        <x:f>IF($D$4="Ready",ROUND(I239-F239,2),"n.a.")</x:f>
        <x:v>0</x:v>
      </x:c>
      <x:c r="K239" s="4" t="n">
        <x:f>IF($D$4="Ready",MAX(0,ROUND(E239+F239-I239,2)),"n.a.")</x:f>
        <x:v>0</x:v>
      </x:c>
      <x:c r="L239" s="4"/>
    </x:row>
    <x:row r="240" ht="22" customHeight="1">
      <x:c r="A240" s="2"/>
      <x:c r="B240" s="2"/>
      <x:c r="C240" s="21" t="n">
        <x:f>224</x:f>
        <x:v>224</x:v>
      </x:c>
      <x:c r="D240" s="22" t="n">
        <x:f>IF($D$4="Ready",EDATE($D$9,C240-1),"n.a.")</x:f>
        <x:v>53114</x:v>
      </x:c>
      <x:c r="E240" s="4" t="n">
        <x:f>IF($D$4="Ready",K239,"n.a.")</x:f>
        <x:v>0</x:v>
      </x:c>
      <x:c r="F240" s="4" t="n">
        <x:f>IF($D$4="Ready",ROUND(E240*$D$6/12,2),"n.a.")</x:f>
        <x:v>0</x:v>
      </x:c>
      <x:c r="G240" s="4" t="n">
        <x:f>IF($D$4="Ready",IF(C240&gt;$D$7,0,IF(C240=$D$7,E240+F240,MIN($D$11,E240+F240))),"n.a.")</x:f>
        <x:v>0</x:v>
      </x:c>
      <x:c r="H240" s="4" t="n">
        <x:f>IF($D$4="Ready",MIN($D$8,MAX(0,E240+F240-G240)),"n.a.")</x:f>
        <x:v>0</x:v>
      </x:c>
      <x:c r="I240" s="4" t="n">
        <x:f>IF($D$4="Ready",ROUND(G240+H240,2),"n.a.")</x:f>
        <x:v>0</x:v>
      </x:c>
      <x:c r="J240" s="4" t="n">
        <x:f>IF($D$4="Ready",ROUND(I240-F240,2),"n.a.")</x:f>
        <x:v>0</x:v>
      </x:c>
      <x:c r="K240" s="4" t="n">
        <x:f>IF($D$4="Ready",MAX(0,ROUND(E240+F240-I240,2)),"n.a.")</x:f>
        <x:v>0</x:v>
      </x:c>
      <x:c r="L240" s="4"/>
    </x:row>
    <x:row r="241" ht="22" customHeight="1">
      <x:c r="A241" s="2"/>
      <x:c r="B241" s="2"/>
      <x:c r="C241" s="21" t="n">
        <x:f>225</x:f>
        <x:v>225</x:v>
      </x:c>
      <x:c r="D241" s="22" t="n">
        <x:f>IF($D$4="Ready",EDATE($D$9,C241-1),"n.a.")</x:f>
        <x:v>53144</x:v>
      </x:c>
      <x:c r="E241" s="4" t="n">
        <x:f>IF($D$4="Ready",K240,"n.a.")</x:f>
        <x:v>0</x:v>
      </x:c>
      <x:c r="F241" s="4" t="n">
        <x:f>IF($D$4="Ready",ROUND(E241*$D$6/12,2),"n.a.")</x:f>
        <x:v>0</x:v>
      </x:c>
      <x:c r="G241" s="4" t="n">
        <x:f>IF($D$4="Ready",IF(C241&gt;$D$7,0,IF(C241=$D$7,E241+F241,MIN($D$11,E241+F241))),"n.a.")</x:f>
        <x:v>0</x:v>
      </x:c>
      <x:c r="H241" s="4" t="n">
        <x:f>IF($D$4="Ready",MIN($D$8,MAX(0,E241+F241-G241)),"n.a.")</x:f>
        <x:v>0</x:v>
      </x:c>
      <x:c r="I241" s="4" t="n">
        <x:f>IF($D$4="Ready",ROUND(G241+H241,2),"n.a.")</x:f>
        <x:v>0</x:v>
      </x:c>
      <x:c r="J241" s="4" t="n">
        <x:f>IF($D$4="Ready",ROUND(I241-F241,2),"n.a.")</x:f>
        <x:v>0</x:v>
      </x:c>
      <x:c r="K241" s="4" t="n">
        <x:f>IF($D$4="Ready",MAX(0,ROUND(E241+F241-I241,2)),"n.a.")</x:f>
        <x:v>0</x:v>
      </x:c>
      <x:c r="L241" s="4"/>
    </x:row>
    <x:row r="242" ht="22" customHeight="1">
      <x:c r="A242" s="2"/>
      <x:c r="B242" s="2"/>
      <x:c r="C242" s="21" t="n">
        <x:f>226</x:f>
        <x:v>226</x:v>
      </x:c>
      <x:c r="D242" s="22" t="n">
        <x:f>IF($D$4="Ready",EDATE($D$9,C242-1),"n.a.")</x:f>
        <x:v>53175</x:v>
      </x:c>
      <x:c r="E242" s="4" t="n">
        <x:f>IF($D$4="Ready",K241,"n.a.")</x:f>
        <x:v>0</x:v>
      </x:c>
      <x:c r="F242" s="4" t="n">
        <x:f>IF($D$4="Ready",ROUND(E242*$D$6/12,2),"n.a.")</x:f>
        <x:v>0</x:v>
      </x:c>
      <x:c r="G242" s="4" t="n">
        <x:f>IF($D$4="Ready",IF(C242&gt;$D$7,0,IF(C242=$D$7,E242+F242,MIN($D$11,E242+F242))),"n.a.")</x:f>
        <x:v>0</x:v>
      </x:c>
      <x:c r="H242" s="4" t="n">
        <x:f>IF($D$4="Ready",MIN($D$8,MAX(0,E242+F242-G242)),"n.a.")</x:f>
        <x:v>0</x:v>
      </x:c>
      <x:c r="I242" s="4" t="n">
        <x:f>IF($D$4="Ready",ROUND(G242+H242,2),"n.a.")</x:f>
        <x:v>0</x:v>
      </x:c>
      <x:c r="J242" s="4" t="n">
        <x:f>IF($D$4="Ready",ROUND(I242-F242,2),"n.a.")</x:f>
        <x:v>0</x:v>
      </x:c>
      <x:c r="K242" s="4" t="n">
        <x:f>IF($D$4="Ready",MAX(0,ROUND(E242+F242-I242,2)),"n.a.")</x:f>
        <x:v>0</x:v>
      </x:c>
      <x:c r="L242" s="4"/>
    </x:row>
    <x:row r="243" ht="22" customHeight="1">
      <x:c r="A243" s="2"/>
      <x:c r="B243" s="2"/>
      <x:c r="C243" s="21" t="n">
        <x:f>227</x:f>
        <x:v>227</x:v>
      </x:c>
      <x:c r="D243" s="22" t="n">
        <x:f>IF($D$4="Ready",EDATE($D$9,C243-1),"n.a.")</x:f>
        <x:v>53206</x:v>
      </x:c>
      <x:c r="E243" s="4" t="n">
        <x:f>IF($D$4="Ready",K242,"n.a.")</x:f>
        <x:v>0</x:v>
      </x:c>
      <x:c r="F243" s="4" t="n">
        <x:f>IF($D$4="Ready",ROUND(E243*$D$6/12,2),"n.a.")</x:f>
        <x:v>0</x:v>
      </x:c>
      <x:c r="G243" s="4" t="n">
        <x:f>IF($D$4="Ready",IF(C243&gt;$D$7,0,IF(C243=$D$7,E243+F243,MIN($D$11,E243+F243))),"n.a.")</x:f>
        <x:v>0</x:v>
      </x:c>
      <x:c r="H243" s="4" t="n">
        <x:f>IF($D$4="Ready",MIN($D$8,MAX(0,E243+F243-G243)),"n.a.")</x:f>
        <x:v>0</x:v>
      </x:c>
      <x:c r="I243" s="4" t="n">
        <x:f>IF($D$4="Ready",ROUND(G243+H243,2),"n.a.")</x:f>
        <x:v>0</x:v>
      </x:c>
      <x:c r="J243" s="4" t="n">
        <x:f>IF($D$4="Ready",ROUND(I243-F243,2),"n.a.")</x:f>
        <x:v>0</x:v>
      </x:c>
      <x:c r="K243" s="4" t="n">
        <x:f>IF($D$4="Ready",MAX(0,ROUND(E243+F243-I243,2)),"n.a.")</x:f>
        <x:v>0</x:v>
      </x:c>
      <x:c r="L243" s="4"/>
    </x:row>
    <x:row r="244" ht="22" customHeight="1">
      <x:c r="A244" s="2"/>
      <x:c r="B244" s="2"/>
      <x:c r="C244" s="21" t="n">
        <x:f>228</x:f>
        <x:v>228</x:v>
      </x:c>
      <x:c r="D244" s="22" t="n">
        <x:f>IF($D$4="Ready",EDATE($D$9,C244-1),"n.a.")</x:f>
        <x:v>53236</x:v>
      </x:c>
      <x:c r="E244" s="4" t="n">
        <x:f>IF($D$4="Ready",K243,"n.a.")</x:f>
        <x:v>0</x:v>
      </x:c>
      <x:c r="F244" s="4" t="n">
        <x:f>IF($D$4="Ready",ROUND(E244*$D$6/12,2),"n.a.")</x:f>
        <x:v>0</x:v>
      </x:c>
      <x:c r="G244" s="4" t="n">
        <x:f>IF($D$4="Ready",IF(C244&gt;$D$7,0,IF(C244=$D$7,E244+F244,MIN($D$11,E244+F244))),"n.a.")</x:f>
        <x:v>0</x:v>
      </x:c>
      <x:c r="H244" s="4" t="n">
        <x:f>IF($D$4="Ready",MIN($D$8,MAX(0,E244+F244-G244)),"n.a.")</x:f>
        <x:v>0</x:v>
      </x:c>
      <x:c r="I244" s="4" t="n">
        <x:f>IF($D$4="Ready",ROUND(G244+H244,2),"n.a.")</x:f>
        <x:v>0</x:v>
      </x:c>
      <x:c r="J244" s="4" t="n">
        <x:f>IF($D$4="Ready",ROUND(I244-F244,2),"n.a.")</x:f>
        <x:v>0</x:v>
      </x:c>
      <x:c r="K244" s="4" t="n">
        <x:f>IF($D$4="Ready",MAX(0,ROUND(E244+F244-I244,2)),"n.a.")</x:f>
        <x:v>0</x:v>
      </x:c>
      <x:c r="L244" s="4"/>
    </x:row>
    <x:row r="245" ht="22" customHeight="1">
      <x:c r="A245" s="2"/>
      <x:c r="B245" s="2"/>
      <x:c r="C245" s="21" t="n">
        <x:f>229</x:f>
        <x:v>229</x:v>
      </x:c>
      <x:c r="D245" s="22" t="n">
        <x:f>IF($D$4="Ready",EDATE($D$9,C245-1),"n.a.")</x:f>
        <x:v>53267</x:v>
      </x:c>
      <x:c r="E245" s="4" t="n">
        <x:f>IF($D$4="Ready",K244,"n.a.")</x:f>
        <x:v>0</x:v>
      </x:c>
      <x:c r="F245" s="4" t="n">
        <x:f>IF($D$4="Ready",ROUND(E245*$D$6/12,2),"n.a.")</x:f>
        <x:v>0</x:v>
      </x:c>
      <x:c r="G245" s="4" t="n">
        <x:f>IF($D$4="Ready",IF(C245&gt;$D$7,0,IF(C245=$D$7,E245+F245,MIN($D$11,E245+F245))),"n.a.")</x:f>
        <x:v>0</x:v>
      </x:c>
      <x:c r="H245" s="4" t="n">
        <x:f>IF($D$4="Ready",MIN($D$8,MAX(0,E245+F245-G245)),"n.a.")</x:f>
        <x:v>0</x:v>
      </x:c>
      <x:c r="I245" s="4" t="n">
        <x:f>IF($D$4="Ready",ROUND(G245+H245,2),"n.a.")</x:f>
        <x:v>0</x:v>
      </x:c>
      <x:c r="J245" s="4" t="n">
        <x:f>IF($D$4="Ready",ROUND(I245-F245,2),"n.a.")</x:f>
        <x:v>0</x:v>
      </x:c>
      <x:c r="K245" s="4" t="n">
        <x:f>IF($D$4="Ready",MAX(0,ROUND(E245+F245-I245,2)),"n.a.")</x:f>
        <x:v>0</x:v>
      </x:c>
      <x:c r="L245" s="4"/>
    </x:row>
    <x:row r="246" ht="22" customHeight="1">
      <x:c r="A246" s="2"/>
      <x:c r="B246" s="2"/>
      <x:c r="C246" s="21" t="n">
        <x:f>230</x:f>
        <x:v>230</x:v>
      </x:c>
      <x:c r="D246" s="22" t="n">
        <x:f>IF($D$4="Ready",EDATE($D$9,C246-1),"n.a.")</x:f>
        <x:v>53297</x:v>
      </x:c>
      <x:c r="E246" s="4" t="n">
        <x:f>IF($D$4="Ready",K245,"n.a.")</x:f>
        <x:v>0</x:v>
      </x:c>
      <x:c r="F246" s="4" t="n">
        <x:f>IF($D$4="Ready",ROUND(E246*$D$6/12,2),"n.a.")</x:f>
        <x:v>0</x:v>
      </x:c>
      <x:c r="G246" s="4" t="n">
        <x:f>IF($D$4="Ready",IF(C246&gt;$D$7,0,IF(C246=$D$7,E246+F246,MIN($D$11,E246+F246))),"n.a.")</x:f>
        <x:v>0</x:v>
      </x:c>
      <x:c r="H246" s="4" t="n">
        <x:f>IF($D$4="Ready",MIN($D$8,MAX(0,E246+F246-G246)),"n.a.")</x:f>
        <x:v>0</x:v>
      </x:c>
      <x:c r="I246" s="4" t="n">
        <x:f>IF($D$4="Ready",ROUND(G246+H246,2),"n.a.")</x:f>
        <x:v>0</x:v>
      </x:c>
      <x:c r="J246" s="4" t="n">
        <x:f>IF($D$4="Ready",ROUND(I246-F246,2),"n.a.")</x:f>
        <x:v>0</x:v>
      </x:c>
      <x:c r="K246" s="4" t="n">
        <x:f>IF($D$4="Ready",MAX(0,ROUND(E246+F246-I246,2)),"n.a.")</x:f>
        <x:v>0</x:v>
      </x:c>
      <x:c r="L246" s="4"/>
    </x:row>
    <x:row r="247" ht="22" customHeight="1">
      <x:c r="A247" s="2"/>
      <x:c r="B247" s="2"/>
      <x:c r="C247" s="21" t="n">
        <x:f>231</x:f>
        <x:v>231</x:v>
      </x:c>
      <x:c r="D247" s="22" t="n">
        <x:f>IF($D$4="Ready",EDATE($D$9,C247-1),"n.a.")</x:f>
        <x:v>53328</x:v>
      </x:c>
      <x:c r="E247" s="4" t="n">
        <x:f>IF($D$4="Ready",K246,"n.a.")</x:f>
        <x:v>0</x:v>
      </x:c>
      <x:c r="F247" s="4" t="n">
        <x:f>IF($D$4="Ready",ROUND(E247*$D$6/12,2),"n.a.")</x:f>
        <x:v>0</x:v>
      </x:c>
      <x:c r="G247" s="4" t="n">
        <x:f>IF($D$4="Ready",IF(C247&gt;$D$7,0,IF(C247=$D$7,E247+F247,MIN($D$11,E247+F247))),"n.a.")</x:f>
        <x:v>0</x:v>
      </x:c>
      <x:c r="H247" s="4" t="n">
        <x:f>IF($D$4="Ready",MIN($D$8,MAX(0,E247+F247-G247)),"n.a.")</x:f>
        <x:v>0</x:v>
      </x:c>
      <x:c r="I247" s="4" t="n">
        <x:f>IF($D$4="Ready",ROUND(G247+H247,2),"n.a.")</x:f>
        <x:v>0</x:v>
      </x:c>
      <x:c r="J247" s="4" t="n">
        <x:f>IF($D$4="Ready",ROUND(I247-F247,2),"n.a.")</x:f>
        <x:v>0</x:v>
      </x:c>
      <x:c r="K247" s="4" t="n">
        <x:f>IF($D$4="Ready",MAX(0,ROUND(E247+F247-I247,2)),"n.a.")</x:f>
        <x:v>0</x:v>
      </x:c>
      <x:c r="L247" s="4"/>
    </x:row>
    <x:row r="248" ht="22" customHeight="1">
      <x:c r="A248" s="2"/>
      <x:c r="B248" s="2"/>
      <x:c r="C248" s="21" t="n">
        <x:f>232</x:f>
        <x:v>232</x:v>
      </x:c>
      <x:c r="D248" s="22" t="n">
        <x:f>IF($D$4="Ready",EDATE($D$9,C248-1),"n.a.")</x:f>
        <x:v>53359</x:v>
      </x:c>
      <x:c r="E248" s="4" t="n">
        <x:f>IF($D$4="Ready",K247,"n.a.")</x:f>
        <x:v>0</x:v>
      </x:c>
      <x:c r="F248" s="4" t="n">
        <x:f>IF($D$4="Ready",ROUND(E248*$D$6/12,2),"n.a.")</x:f>
        <x:v>0</x:v>
      </x:c>
      <x:c r="G248" s="4" t="n">
        <x:f>IF($D$4="Ready",IF(C248&gt;$D$7,0,IF(C248=$D$7,E248+F248,MIN($D$11,E248+F248))),"n.a.")</x:f>
        <x:v>0</x:v>
      </x:c>
      <x:c r="H248" s="4" t="n">
        <x:f>IF($D$4="Ready",MIN($D$8,MAX(0,E248+F248-G248)),"n.a.")</x:f>
        <x:v>0</x:v>
      </x:c>
      <x:c r="I248" s="4" t="n">
        <x:f>IF($D$4="Ready",ROUND(G248+H248,2),"n.a.")</x:f>
        <x:v>0</x:v>
      </x:c>
      <x:c r="J248" s="4" t="n">
        <x:f>IF($D$4="Ready",ROUND(I248-F248,2),"n.a.")</x:f>
        <x:v>0</x:v>
      </x:c>
      <x:c r="K248" s="4" t="n">
        <x:f>IF($D$4="Ready",MAX(0,ROUND(E248+F248-I248,2)),"n.a.")</x:f>
        <x:v>0</x:v>
      </x:c>
      <x:c r="L248" s="4"/>
    </x:row>
    <x:row r="249" ht="22" customHeight="1">
      <x:c r="A249" s="2"/>
      <x:c r="B249" s="2"/>
      <x:c r="C249" s="21" t="n">
        <x:f>233</x:f>
        <x:v>233</x:v>
      </x:c>
      <x:c r="D249" s="22" t="n">
        <x:f>IF($D$4="Ready",EDATE($D$9,C249-1),"n.a.")</x:f>
        <x:v>53387</x:v>
      </x:c>
      <x:c r="E249" s="4" t="n">
        <x:f>IF($D$4="Ready",K248,"n.a.")</x:f>
        <x:v>0</x:v>
      </x:c>
      <x:c r="F249" s="4" t="n">
        <x:f>IF($D$4="Ready",ROUND(E249*$D$6/12,2),"n.a.")</x:f>
        <x:v>0</x:v>
      </x:c>
      <x:c r="G249" s="4" t="n">
        <x:f>IF($D$4="Ready",IF(C249&gt;$D$7,0,IF(C249=$D$7,E249+F249,MIN($D$11,E249+F249))),"n.a.")</x:f>
        <x:v>0</x:v>
      </x:c>
      <x:c r="H249" s="4" t="n">
        <x:f>IF($D$4="Ready",MIN($D$8,MAX(0,E249+F249-G249)),"n.a.")</x:f>
        <x:v>0</x:v>
      </x:c>
      <x:c r="I249" s="4" t="n">
        <x:f>IF($D$4="Ready",ROUND(G249+H249,2),"n.a.")</x:f>
        <x:v>0</x:v>
      </x:c>
      <x:c r="J249" s="4" t="n">
        <x:f>IF($D$4="Ready",ROUND(I249-F249,2),"n.a.")</x:f>
        <x:v>0</x:v>
      </x:c>
      <x:c r="K249" s="4" t="n">
        <x:f>IF($D$4="Ready",MAX(0,ROUND(E249+F249-I249,2)),"n.a.")</x:f>
        <x:v>0</x:v>
      </x:c>
      <x:c r="L249" s="4"/>
    </x:row>
    <x:row r="250" ht="22" customHeight="1">
      <x:c r="A250" s="2"/>
      <x:c r="B250" s="2"/>
      <x:c r="C250" s="21" t="n">
        <x:f>234</x:f>
        <x:v>234</x:v>
      </x:c>
      <x:c r="D250" s="22" t="n">
        <x:f>IF($D$4="Ready",EDATE($D$9,C250-1),"n.a.")</x:f>
        <x:v>53418</x:v>
      </x:c>
      <x:c r="E250" s="4" t="n">
        <x:f>IF($D$4="Ready",K249,"n.a.")</x:f>
        <x:v>0</x:v>
      </x:c>
      <x:c r="F250" s="4" t="n">
        <x:f>IF($D$4="Ready",ROUND(E250*$D$6/12,2),"n.a.")</x:f>
        <x:v>0</x:v>
      </x:c>
      <x:c r="G250" s="4" t="n">
        <x:f>IF($D$4="Ready",IF(C250&gt;$D$7,0,IF(C250=$D$7,E250+F250,MIN($D$11,E250+F250))),"n.a.")</x:f>
        <x:v>0</x:v>
      </x:c>
      <x:c r="H250" s="4" t="n">
        <x:f>IF($D$4="Ready",MIN($D$8,MAX(0,E250+F250-G250)),"n.a.")</x:f>
        <x:v>0</x:v>
      </x:c>
      <x:c r="I250" s="4" t="n">
        <x:f>IF($D$4="Ready",ROUND(G250+H250,2),"n.a.")</x:f>
        <x:v>0</x:v>
      </x:c>
      <x:c r="J250" s="4" t="n">
        <x:f>IF($D$4="Ready",ROUND(I250-F250,2),"n.a.")</x:f>
        <x:v>0</x:v>
      </x:c>
      <x:c r="K250" s="4" t="n">
        <x:f>IF($D$4="Ready",MAX(0,ROUND(E250+F250-I250,2)),"n.a.")</x:f>
        <x:v>0</x:v>
      </x:c>
      <x:c r="L250" s="4"/>
    </x:row>
    <x:row r="251" ht="22" customHeight="1">
      <x:c r="A251" s="2"/>
      <x:c r="B251" s="2"/>
      <x:c r="C251" s="21" t="n">
        <x:f>235</x:f>
        <x:v>235</x:v>
      </x:c>
      <x:c r="D251" s="22" t="n">
        <x:f>IF($D$4="Ready",EDATE($D$9,C251-1),"n.a.")</x:f>
        <x:v>53448</x:v>
      </x:c>
      <x:c r="E251" s="4" t="n">
        <x:f>IF($D$4="Ready",K250,"n.a.")</x:f>
        <x:v>0</x:v>
      </x:c>
      <x:c r="F251" s="4" t="n">
        <x:f>IF($D$4="Ready",ROUND(E251*$D$6/12,2),"n.a.")</x:f>
        <x:v>0</x:v>
      </x:c>
      <x:c r="G251" s="4" t="n">
        <x:f>IF($D$4="Ready",IF(C251&gt;$D$7,0,IF(C251=$D$7,E251+F251,MIN($D$11,E251+F251))),"n.a.")</x:f>
        <x:v>0</x:v>
      </x:c>
      <x:c r="H251" s="4" t="n">
        <x:f>IF($D$4="Ready",MIN($D$8,MAX(0,E251+F251-G251)),"n.a.")</x:f>
        <x:v>0</x:v>
      </x:c>
      <x:c r="I251" s="4" t="n">
        <x:f>IF($D$4="Ready",ROUND(G251+H251,2),"n.a.")</x:f>
        <x:v>0</x:v>
      </x:c>
      <x:c r="J251" s="4" t="n">
        <x:f>IF($D$4="Ready",ROUND(I251-F251,2),"n.a.")</x:f>
        <x:v>0</x:v>
      </x:c>
      <x:c r="K251" s="4" t="n">
        <x:f>IF($D$4="Ready",MAX(0,ROUND(E251+F251-I251,2)),"n.a.")</x:f>
        <x:v>0</x:v>
      </x:c>
      <x:c r="L251" s="4"/>
    </x:row>
    <x:row r="252" ht="22" customHeight="1">
      <x:c r="A252" s="2"/>
      <x:c r="B252" s="2"/>
      <x:c r="C252" s="21" t="n">
        <x:f>236</x:f>
        <x:v>236</x:v>
      </x:c>
      <x:c r="D252" s="22" t="n">
        <x:f>IF($D$4="Ready",EDATE($D$9,C252-1),"n.a.")</x:f>
        <x:v>53479</x:v>
      </x:c>
      <x:c r="E252" s="4" t="n">
        <x:f>IF($D$4="Ready",K251,"n.a.")</x:f>
        <x:v>0</x:v>
      </x:c>
      <x:c r="F252" s="4" t="n">
        <x:f>IF($D$4="Ready",ROUND(E252*$D$6/12,2),"n.a.")</x:f>
        <x:v>0</x:v>
      </x:c>
      <x:c r="G252" s="4" t="n">
        <x:f>IF($D$4="Ready",IF(C252&gt;$D$7,0,IF(C252=$D$7,E252+F252,MIN($D$11,E252+F252))),"n.a.")</x:f>
        <x:v>0</x:v>
      </x:c>
      <x:c r="H252" s="4" t="n">
        <x:f>IF($D$4="Ready",MIN($D$8,MAX(0,E252+F252-G252)),"n.a.")</x:f>
        <x:v>0</x:v>
      </x:c>
      <x:c r="I252" s="4" t="n">
        <x:f>IF($D$4="Ready",ROUND(G252+H252,2),"n.a.")</x:f>
        <x:v>0</x:v>
      </x:c>
      <x:c r="J252" s="4" t="n">
        <x:f>IF($D$4="Ready",ROUND(I252-F252,2),"n.a.")</x:f>
        <x:v>0</x:v>
      </x:c>
      <x:c r="K252" s="4" t="n">
        <x:f>IF($D$4="Ready",MAX(0,ROUND(E252+F252-I252,2)),"n.a.")</x:f>
        <x:v>0</x:v>
      </x:c>
      <x:c r="L252" s="4"/>
    </x:row>
    <x:row r="253" ht="22" customHeight="1">
      <x:c r="A253" s="2"/>
      <x:c r="B253" s="2"/>
      <x:c r="C253" s="21" t="n">
        <x:f>237</x:f>
        <x:v>237</x:v>
      </x:c>
      <x:c r="D253" s="22" t="n">
        <x:f>IF($D$4="Ready",EDATE($D$9,C253-1),"n.a.")</x:f>
        <x:v>53509</x:v>
      </x:c>
      <x:c r="E253" s="4" t="n">
        <x:f>IF($D$4="Ready",K252,"n.a.")</x:f>
        <x:v>0</x:v>
      </x:c>
      <x:c r="F253" s="4" t="n">
        <x:f>IF($D$4="Ready",ROUND(E253*$D$6/12,2),"n.a.")</x:f>
        <x:v>0</x:v>
      </x:c>
      <x:c r="G253" s="4" t="n">
        <x:f>IF($D$4="Ready",IF(C253&gt;$D$7,0,IF(C253=$D$7,E253+F253,MIN($D$11,E253+F253))),"n.a.")</x:f>
        <x:v>0</x:v>
      </x:c>
      <x:c r="H253" s="4" t="n">
        <x:f>IF($D$4="Ready",MIN($D$8,MAX(0,E253+F253-G253)),"n.a.")</x:f>
        <x:v>0</x:v>
      </x:c>
      <x:c r="I253" s="4" t="n">
        <x:f>IF($D$4="Ready",ROUND(G253+H253,2),"n.a.")</x:f>
        <x:v>0</x:v>
      </x:c>
      <x:c r="J253" s="4" t="n">
        <x:f>IF($D$4="Ready",ROUND(I253-F253,2),"n.a.")</x:f>
        <x:v>0</x:v>
      </x:c>
      <x:c r="K253" s="4" t="n">
        <x:f>IF($D$4="Ready",MAX(0,ROUND(E253+F253-I253,2)),"n.a.")</x:f>
        <x:v>0</x:v>
      </x:c>
      <x:c r="L253" s="4"/>
    </x:row>
    <x:row r="254" ht="22" customHeight="1">
      <x:c r="A254" s="2"/>
      <x:c r="B254" s="2"/>
      <x:c r="C254" s="21" t="n">
        <x:f>238</x:f>
        <x:v>238</x:v>
      </x:c>
      <x:c r="D254" s="22" t="n">
        <x:f>IF($D$4="Ready",EDATE($D$9,C254-1),"n.a.")</x:f>
        <x:v>53540</x:v>
      </x:c>
      <x:c r="E254" s="4" t="n">
        <x:f>IF($D$4="Ready",K253,"n.a.")</x:f>
        <x:v>0</x:v>
      </x:c>
      <x:c r="F254" s="4" t="n">
        <x:f>IF($D$4="Ready",ROUND(E254*$D$6/12,2),"n.a.")</x:f>
        <x:v>0</x:v>
      </x:c>
      <x:c r="G254" s="4" t="n">
        <x:f>IF($D$4="Ready",IF(C254&gt;$D$7,0,IF(C254=$D$7,E254+F254,MIN($D$11,E254+F254))),"n.a.")</x:f>
        <x:v>0</x:v>
      </x:c>
      <x:c r="H254" s="4" t="n">
        <x:f>IF($D$4="Ready",MIN($D$8,MAX(0,E254+F254-G254)),"n.a.")</x:f>
        <x:v>0</x:v>
      </x:c>
      <x:c r="I254" s="4" t="n">
        <x:f>IF($D$4="Ready",ROUND(G254+H254,2),"n.a.")</x:f>
        <x:v>0</x:v>
      </x:c>
      <x:c r="J254" s="4" t="n">
        <x:f>IF($D$4="Ready",ROUND(I254-F254,2),"n.a.")</x:f>
        <x:v>0</x:v>
      </x:c>
      <x:c r="K254" s="4" t="n">
        <x:f>IF($D$4="Ready",MAX(0,ROUND(E254+F254-I254,2)),"n.a.")</x:f>
        <x:v>0</x:v>
      </x:c>
      <x:c r="L254" s="4"/>
    </x:row>
    <x:row r="255" ht="22" customHeight="1">
      <x:c r="A255" s="2"/>
      <x:c r="B255" s="2"/>
      <x:c r="C255" s="21" t="n">
        <x:f>239</x:f>
        <x:v>239</x:v>
      </x:c>
      <x:c r="D255" s="22" t="n">
        <x:f>IF($D$4="Ready",EDATE($D$9,C255-1),"n.a.")</x:f>
        <x:v>53571</x:v>
      </x:c>
      <x:c r="E255" s="4" t="n">
        <x:f>IF($D$4="Ready",K254,"n.a.")</x:f>
        <x:v>0</x:v>
      </x:c>
      <x:c r="F255" s="4" t="n">
        <x:f>IF($D$4="Ready",ROUND(E255*$D$6/12,2),"n.a.")</x:f>
        <x:v>0</x:v>
      </x:c>
      <x:c r="G255" s="4" t="n">
        <x:f>IF($D$4="Ready",IF(C255&gt;$D$7,0,IF(C255=$D$7,E255+F255,MIN($D$11,E255+F255))),"n.a.")</x:f>
        <x:v>0</x:v>
      </x:c>
      <x:c r="H255" s="4" t="n">
        <x:f>IF($D$4="Ready",MIN($D$8,MAX(0,E255+F255-G255)),"n.a.")</x:f>
        <x:v>0</x:v>
      </x:c>
      <x:c r="I255" s="4" t="n">
        <x:f>IF($D$4="Ready",ROUND(G255+H255,2),"n.a.")</x:f>
        <x:v>0</x:v>
      </x:c>
      <x:c r="J255" s="4" t="n">
        <x:f>IF($D$4="Ready",ROUND(I255-F255,2),"n.a.")</x:f>
        <x:v>0</x:v>
      </x:c>
      <x:c r="K255" s="4" t="n">
        <x:f>IF($D$4="Ready",MAX(0,ROUND(E255+F255-I255,2)),"n.a.")</x:f>
        <x:v>0</x:v>
      </x:c>
      <x:c r="L255" s="4"/>
    </x:row>
    <x:row r="256" ht="22" customHeight="1">
      <x:c r="A256" s="2"/>
      <x:c r="B256" s="2"/>
      <x:c r="C256" s="21" t="n">
        <x:f>240</x:f>
        <x:v>240</x:v>
      </x:c>
      <x:c r="D256" s="22" t="n">
        <x:f>IF($D$4="Ready",EDATE($D$9,C256-1),"n.a.")</x:f>
        <x:v>53601</x:v>
      </x:c>
      <x:c r="E256" s="4" t="n">
        <x:f>IF($D$4="Ready",K255,"n.a.")</x:f>
        <x:v>0</x:v>
      </x:c>
      <x:c r="F256" s="4" t="n">
        <x:f>IF($D$4="Ready",ROUND(E256*$D$6/12,2),"n.a.")</x:f>
        <x:v>0</x:v>
      </x:c>
      <x:c r="G256" s="4" t="n">
        <x:f>IF($D$4="Ready",IF(C256&gt;$D$7,0,IF(C256=$D$7,E256+F256,MIN($D$11,E256+F256))),"n.a.")</x:f>
        <x:v>0</x:v>
      </x:c>
      <x:c r="H256" s="4" t="n">
        <x:f>IF($D$4="Ready",MIN($D$8,MAX(0,E256+F256-G256)),"n.a.")</x:f>
        <x:v>0</x:v>
      </x:c>
      <x:c r="I256" s="4" t="n">
        <x:f>IF($D$4="Ready",ROUND(G256+H256,2),"n.a.")</x:f>
        <x:v>0</x:v>
      </x:c>
      <x:c r="J256" s="4" t="n">
        <x:f>IF($D$4="Ready",ROUND(I256-F256,2),"n.a.")</x:f>
        <x:v>0</x:v>
      </x:c>
      <x:c r="K256" s="4" t="n">
        <x:f>IF($D$4="Ready",MAX(0,ROUND(E256+F256-I256,2)),"n.a.")</x:f>
        <x:v>0</x:v>
      </x:c>
      <x:c r="L256" s="4"/>
    </x:row>
    <x:row r="257" ht="22" customHeight="1">
      <x:c r="A257" s="2"/>
      <x:c r="B257" s="2"/>
      <x:c r="C257" s="21" t="n">
        <x:f>241</x:f>
        <x:v>241</x:v>
      </x:c>
      <x:c r="D257" s="22" t="n">
        <x:f>IF($D$4="Ready",EDATE($D$9,C257-1),"n.a.")</x:f>
        <x:v>53632</x:v>
      </x:c>
      <x:c r="E257" s="4" t="n">
        <x:f>IF($D$4="Ready",K256,"n.a.")</x:f>
        <x:v>0</x:v>
      </x:c>
      <x:c r="F257" s="4" t="n">
        <x:f>IF($D$4="Ready",ROUND(E257*$D$6/12,2),"n.a.")</x:f>
        <x:v>0</x:v>
      </x:c>
      <x:c r="G257" s="4" t="n">
        <x:f>IF($D$4="Ready",IF(C257&gt;$D$7,0,IF(C257=$D$7,E257+F257,MIN($D$11,E257+F257))),"n.a.")</x:f>
        <x:v>0</x:v>
      </x:c>
      <x:c r="H257" s="4" t="n">
        <x:f>IF($D$4="Ready",MIN($D$8,MAX(0,E257+F257-G257)),"n.a.")</x:f>
        <x:v>0</x:v>
      </x:c>
      <x:c r="I257" s="4" t="n">
        <x:f>IF($D$4="Ready",ROUND(G257+H257,2),"n.a.")</x:f>
        <x:v>0</x:v>
      </x:c>
      <x:c r="J257" s="4" t="n">
        <x:f>IF($D$4="Ready",ROUND(I257-F257,2),"n.a.")</x:f>
        <x:v>0</x:v>
      </x:c>
      <x:c r="K257" s="4" t="n">
        <x:f>IF($D$4="Ready",MAX(0,ROUND(E257+F257-I257,2)),"n.a.")</x:f>
        <x:v>0</x:v>
      </x:c>
      <x:c r="L257" s="4"/>
    </x:row>
    <x:row r="258" ht="22" customHeight="1">
      <x:c r="A258" s="2"/>
      <x:c r="B258" s="2"/>
      <x:c r="C258" s="21" t="n">
        <x:f>242</x:f>
        <x:v>242</x:v>
      </x:c>
      <x:c r="D258" s="22" t="n">
        <x:f>IF($D$4="Ready",EDATE($D$9,C258-1),"n.a.")</x:f>
        <x:v>53662</x:v>
      </x:c>
      <x:c r="E258" s="4" t="n">
        <x:f>IF($D$4="Ready",K257,"n.a.")</x:f>
        <x:v>0</x:v>
      </x:c>
      <x:c r="F258" s="4" t="n">
        <x:f>IF($D$4="Ready",ROUND(E258*$D$6/12,2),"n.a.")</x:f>
        <x:v>0</x:v>
      </x:c>
      <x:c r="G258" s="4" t="n">
        <x:f>IF($D$4="Ready",IF(C258&gt;$D$7,0,IF(C258=$D$7,E258+F258,MIN($D$11,E258+F258))),"n.a.")</x:f>
        <x:v>0</x:v>
      </x:c>
      <x:c r="H258" s="4" t="n">
        <x:f>IF($D$4="Ready",MIN($D$8,MAX(0,E258+F258-G258)),"n.a.")</x:f>
        <x:v>0</x:v>
      </x:c>
      <x:c r="I258" s="4" t="n">
        <x:f>IF($D$4="Ready",ROUND(G258+H258,2),"n.a.")</x:f>
        <x:v>0</x:v>
      </x:c>
      <x:c r="J258" s="4" t="n">
        <x:f>IF($D$4="Ready",ROUND(I258-F258,2),"n.a.")</x:f>
        <x:v>0</x:v>
      </x:c>
      <x:c r="K258" s="4" t="n">
        <x:f>IF($D$4="Ready",MAX(0,ROUND(E258+F258-I258,2)),"n.a.")</x:f>
        <x:v>0</x:v>
      </x:c>
      <x:c r="L258" s="4"/>
    </x:row>
    <x:row r="259" ht="22" customHeight="1">
      <x:c r="A259" s="2"/>
      <x:c r="B259" s="2"/>
      <x:c r="C259" s="21" t="n">
        <x:f>243</x:f>
        <x:v>243</x:v>
      </x:c>
      <x:c r="D259" s="22" t="n">
        <x:f>IF($D$4="Ready",EDATE($D$9,C259-1),"n.a.")</x:f>
        <x:v>53693</x:v>
      </x:c>
      <x:c r="E259" s="4" t="n">
        <x:f>IF($D$4="Ready",K258,"n.a.")</x:f>
        <x:v>0</x:v>
      </x:c>
      <x:c r="F259" s="4" t="n">
        <x:f>IF($D$4="Ready",ROUND(E259*$D$6/12,2),"n.a.")</x:f>
        <x:v>0</x:v>
      </x:c>
      <x:c r="G259" s="4" t="n">
        <x:f>IF($D$4="Ready",IF(C259&gt;$D$7,0,IF(C259=$D$7,E259+F259,MIN($D$11,E259+F259))),"n.a.")</x:f>
        <x:v>0</x:v>
      </x:c>
      <x:c r="H259" s="4" t="n">
        <x:f>IF($D$4="Ready",MIN($D$8,MAX(0,E259+F259-G259)),"n.a.")</x:f>
        <x:v>0</x:v>
      </x:c>
      <x:c r="I259" s="4" t="n">
        <x:f>IF($D$4="Ready",ROUND(G259+H259,2),"n.a.")</x:f>
        <x:v>0</x:v>
      </x:c>
      <x:c r="J259" s="4" t="n">
        <x:f>IF($D$4="Ready",ROUND(I259-F259,2),"n.a.")</x:f>
        <x:v>0</x:v>
      </x:c>
      <x:c r="K259" s="4" t="n">
        <x:f>IF($D$4="Ready",MAX(0,ROUND(E259+F259-I259,2)),"n.a.")</x:f>
        <x:v>0</x:v>
      </x:c>
      <x:c r="L259" s="4"/>
    </x:row>
    <x:row r="260" ht="22" customHeight="1">
      <x:c r="A260" s="2"/>
      <x:c r="B260" s="2"/>
      <x:c r="C260" s="21" t="n">
        <x:f>244</x:f>
        <x:v>244</x:v>
      </x:c>
      <x:c r="D260" s="22" t="n">
        <x:f>IF($D$4="Ready",EDATE($D$9,C260-1),"n.a.")</x:f>
        <x:v>53724</x:v>
      </x:c>
      <x:c r="E260" s="4" t="n">
        <x:f>IF($D$4="Ready",K259,"n.a.")</x:f>
        <x:v>0</x:v>
      </x:c>
      <x:c r="F260" s="4" t="n">
        <x:f>IF($D$4="Ready",ROUND(E260*$D$6/12,2),"n.a.")</x:f>
        <x:v>0</x:v>
      </x:c>
      <x:c r="G260" s="4" t="n">
        <x:f>IF($D$4="Ready",IF(C260&gt;$D$7,0,IF(C260=$D$7,E260+F260,MIN($D$11,E260+F260))),"n.a.")</x:f>
        <x:v>0</x:v>
      </x:c>
      <x:c r="H260" s="4" t="n">
        <x:f>IF($D$4="Ready",MIN($D$8,MAX(0,E260+F260-G260)),"n.a.")</x:f>
        <x:v>0</x:v>
      </x:c>
      <x:c r="I260" s="4" t="n">
        <x:f>IF($D$4="Ready",ROUND(G260+H260,2),"n.a.")</x:f>
        <x:v>0</x:v>
      </x:c>
      <x:c r="J260" s="4" t="n">
        <x:f>IF($D$4="Ready",ROUND(I260-F260,2),"n.a.")</x:f>
        <x:v>0</x:v>
      </x:c>
      <x:c r="K260" s="4" t="n">
        <x:f>IF($D$4="Ready",MAX(0,ROUND(E260+F260-I260,2)),"n.a.")</x:f>
        <x:v>0</x:v>
      </x:c>
      <x:c r="L260" s="4"/>
    </x:row>
    <x:row r="261" ht="22" customHeight="1">
      <x:c r="A261" s="2"/>
      <x:c r="B261" s="2"/>
      <x:c r="C261" s="21" t="n">
        <x:f>245</x:f>
        <x:v>245</x:v>
      </x:c>
      <x:c r="D261" s="22" t="n">
        <x:f>IF($D$4="Ready",EDATE($D$9,C261-1),"n.a.")</x:f>
        <x:v>53752</x:v>
      </x:c>
      <x:c r="E261" s="4" t="n">
        <x:f>IF($D$4="Ready",K260,"n.a.")</x:f>
        <x:v>0</x:v>
      </x:c>
      <x:c r="F261" s="4" t="n">
        <x:f>IF($D$4="Ready",ROUND(E261*$D$6/12,2),"n.a.")</x:f>
        <x:v>0</x:v>
      </x:c>
      <x:c r="G261" s="4" t="n">
        <x:f>IF($D$4="Ready",IF(C261&gt;$D$7,0,IF(C261=$D$7,E261+F261,MIN($D$11,E261+F261))),"n.a.")</x:f>
        <x:v>0</x:v>
      </x:c>
      <x:c r="H261" s="4" t="n">
        <x:f>IF($D$4="Ready",MIN($D$8,MAX(0,E261+F261-G261)),"n.a.")</x:f>
        <x:v>0</x:v>
      </x:c>
      <x:c r="I261" s="4" t="n">
        <x:f>IF($D$4="Ready",ROUND(G261+H261,2),"n.a.")</x:f>
        <x:v>0</x:v>
      </x:c>
      <x:c r="J261" s="4" t="n">
        <x:f>IF($D$4="Ready",ROUND(I261-F261,2),"n.a.")</x:f>
        <x:v>0</x:v>
      </x:c>
      <x:c r="K261" s="4" t="n">
        <x:f>IF($D$4="Ready",MAX(0,ROUND(E261+F261-I261,2)),"n.a.")</x:f>
        <x:v>0</x:v>
      </x:c>
      <x:c r="L261" s="4"/>
    </x:row>
    <x:row r="262" ht="22" customHeight="1">
      <x:c r="A262" s="2"/>
      <x:c r="B262" s="2"/>
      <x:c r="C262" s="21" t="n">
        <x:f>246</x:f>
        <x:v>246</x:v>
      </x:c>
      <x:c r="D262" s="22" t="n">
        <x:f>IF($D$4="Ready",EDATE($D$9,C262-1),"n.a.")</x:f>
        <x:v>53783</x:v>
      </x:c>
      <x:c r="E262" s="4" t="n">
        <x:f>IF($D$4="Ready",K261,"n.a.")</x:f>
        <x:v>0</x:v>
      </x:c>
      <x:c r="F262" s="4" t="n">
        <x:f>IF($D$4="Ready",ROUND(E262*$D$6/12,2),"n.a.")</x:f>
        <x:v>0</x:v>
      </x:c>
      <x:c r="G262" s="4" t="n">
        <x:f>IF($D$4="Ready",IF(C262&gt;$D$7,0,IF(C262=$D$7,E262+F262,MIN($D$11,E262+F262))),"n.a.")</x:f>
        <x:v>0</x:v>
      </x:c>
      <x:c r="H262" s="4" t="n">
        <x:f>IF($D$4="Ready",MIN($D$8,MAX(0,E262+F262-G262)),"n.a.")</x:f>
        <x:v>0</x:v>
      </x:c>
      <x:c r="I262" s="4" t="n">
        <x:f>IF($D$4="Ready",ROUND(G262+H262,2),"n.a.")</x:f>
        <x:v>0</x:v>
      </x:c>
      <x:c r="J262" s="4" t="n">
        <x:f>IF($D$4="Ready",ROUND(I262-F262,2),"n.a.")</x:f>
        <x:v>0</x:v>
      </x:c>
      <x:c r="K262" s="4" t="n">
        <x:f>IF($D$4="Ready",MAX(0,ROUND(E262+F262-I262,2)),"n.a.")</x:f>
        <x:v>0</x:v>
      </x:c>
      <x:c r="L262" s="4"/>
    </x:row>
    <x:row r="263" ht="22" customHeight="1">
      <x:c r="A263" s="2"/>
      <x:c r="B263" s="2"/>
      <x:c r="C263" s="21" t="n">
        <x:f>247</x:f>
        <x:v>247</x:v>
      </x:c>
      <x:c r="D263" s="22" t="n">
        <x:f>IF($D$4="Ready",EDATE($D$9,C263-1),"n.a.")</x:f>
        <x:v>53813</x:v>
      </x:c>
      <x:c r="E263" s="4" t="n">
        <x:f>IF($D$4="Ready",K262,"n.a.")</x:f>
        <x:v>0</x:v>
      </x:c>
      <x:c r="F263" s="4" t="n">
        <x:f>IF($D$4="Ready",ROUND(E263*$D$6/12,2),"n.a.")</x:f>
        <x:v>0</x:v>
      </x:c>
      <x:c r="G263" s="4" t="n">
        <x:f>IF($D$4="Ready",IF(C263&gt;$D$7,0,IF(C263=$D$7,E263+F263,MIN($D$11,E263+F263))),"n.a.")</x:f>
        <x:v>0</x:v>
      </x:c>
      <x:c r="H263" s="4" t="n">
        <x:f>IF($D$4="Ready",MIN($D$8,MAX(0,E263+F263-G263)),"n.a.")</x:f>
        <x:v>0</x:v>
      </x:c>
      <x:c r="I263" s="4" t="n">
        <x:f>IF($D$4="Ready",ROUND(G263+H263,2),"n.a.")</x:f>
        <x:v>0</x:v>
      </x:c>
      <x:c r="J263" s="4" t="n">
        <x:f>IF($D$4="Ready",ROUND(I263-F263,2),"n.a.")</x:f>
        <x:v>0</x:v>
      </x:c>
      <x:c r="K263" s="4" t="n">
        <x:f>IF($D$4="Ready",MAX(0,ROUND(E263+F263-I263,2)),"n.a.")</x:f>
        <x:v>0</x:v>
      </x:c>
      <x:c r="L263" s="4"/>
    </x:row>
    <x:row r="264" ht="22" customHeight="1">
      <x:c r="A264" s="2"/>
      <x:c r="B264" s="2"/>
      <x:c r="C264" s="21" t="n">
        <x:f>248</x:f>
        <x:v>248</x:v>
      </x:c>
      <x:c r="D264" s="22" t="n">
        <x:f>IF($D$4="Ready",EDATE($D$9,C264-1),"n.a.")</x:f>
        <x:v>53844</x:v>
      </x:c>
      <x:c r="E264" s="4" t="n">
        <x:f>IF($D$4="Ready",K263,"n.a.")</x:f>
        <x:v>0</x:v>
      </x:c>
      <x:c r="F264" s="4" t="n">
        <x:f>IF($D$4="Ready",ROUND(E264*$D$6/12,2),"n.a.")</x:f>
        <x:v>0</x:v>
      </x:c>
      <x:c r="G264" s="4" t="n">
        <x:f>IF($D$4="Ready",IF(C264&gt;$D$7,0,IF(C264=$D$7,E264+F264,MIN($D$11,E264+F264))),"n.a.")</x:f>
        <x:v>0</x:v>
      </x:c>
      <x:c r="H264" s="4" t="n">
        <x:f>IF($D$4="Ready",MIN($D$8,MAX(0,E264+F264-G264)),"n.a.")</x:f>
        <x:v>0</x:v>
      </x:c>
      <x:c r="I264" s="4" t="n">
        <x:f>IF($D$4="Ready",ROUND(G264+H264,2),"n.a.")</x:f>
        <x:v>0</x:v>
      </x:c>
      <x:c r="J264" s="4" t="n">
        <x:f>IF($D$4="Ready",ROUND(I264-F264,2),"n.a.")</x:f>
        <x:v>0</x:v>
      </x:c>
      <x:c r="K264" s="4" t="n">
        <x:f>IF($D$4="Ready",MAX(0,ROUND(E264+F264-I264,2)),"n.a.")</x:f>
        <x:v>0</x:v>
      </x:c>
      <x:c r="L264" s="4"/>
    </x:row>
    <x:row r="265" ht="22" customHeight="1">
      <x:c r="A265" s="2"/>
      <x:c r="B265" s="2"/>
      <x:c r="C265" s="21" t="n">
        <x:f>249</x:f>
        <x:v>249</x:v>
      </x:c>
      <x:c r="D265" s="22" t="n">
        <x:f>IF($D$4="Ready",EDATE($D$9,C265-1),"n.a.")</x:f>
        <x:v>53874</x:v>
      </x:c>
      <x:c r="E265" s="4" t="n">
        <x:f>IF($D$4="Ready",K264,"n.a.")</x:f>
        <x:v>0</x:v>
      </x:c>
      <x:c r="F265" s="4" t="n">
        <x:f>IF($D$4="Ready",ROUND(E265*$D$6/12,2),"n.a.")</x:f>
        <x:v>0</x:v>
      </x:c>
      <x:c r="G265" s="4" t="n">
        <x:f>IF($D$4="Ready",IF(C265&gt;$D$7,0,IF(C265=$D$7,E265+F265,MIN($D$11,E265+F265))),"n.a.")</x:f>
        <x:v>0</x:v>
      </x:c>
      <x:c r="H265" s="4" t="n">
        <x:f>IF($D$4="Ready",MIN($D$8,MAX(0,E265+F265-G265)),"n.a.")</x:f>
        <x:v>0</x:v>
      </x:c>
      <x:c r="I265" s="4" t="n">
        <x:f>IF($D$4="Ready",ROUND(G265+H265,2),"n.a.")</x:f>
        <x:v>0</x:v>
      </x:c>
      <x:c r="J265" s="4" t="n">
        <x:f>IF($D$4="Ready",ROUND(I265-F265,2),"n.a.")</x:f>
        <x:v>0</x:v>
      </x:c>
      <x:c r="K265" s="4" t="n">
        <x:f>IF($D$4="Ready",MAX(0,ROUND(E265+F265-I265,2)),"n.a.")</x:f>
        <x:v>0</x:v>
      </x:c>
      <x:c r="L265" s="4"/>
    </x:row>
    <x:row r="266" ht="22" customHeight="1">
      <x:c r="A266" s="2"/>
      <x:c r="B266" s="2"/>
      <x:c r="C266" s="21" t="n">
        <x:f>250</x:f>
        <x:v>250</x:v>
      </x:c>
      <x:c r="D266" s="22" t="n">
        <x:f>IF($D$4="Ready",EDATE($D$9,C266-1),"n.a.")</x:f>
        <x:v>53905</x:v>
      </x:c>
      <x:c r="E266" s="4" t="n">
        <x:f>IF($D$4="Ready",K265,"n.a.")</x:f>
        <x:v>0</x:v>
      </x:c>
      <x:c r="F266" s="4" t="n">
        <x:f>IF($D$4="Ready",ROUND(E266*$D$6/12,2),"n.a.")</x:f>
        <x:v>0</x:v>
      </x:c>
      <x:c r="G266" s="4" t="n">
        <x:f>IF($D$4="Ready",IF(C266&gt;$D$7,0,IF(C266=$D$7,E266+F266,MIN($D$11,E266+F266))),"n.a.")</x:f>
        <x:v>0</x:v>
      </x:c>
      <x:c r="H266" s="4" t="n">
        <x:f>IF($D$4="Ready",MIN($D$8,MAX(0,E266+F266-G266)),"n.a.")</x:f>
        <x:v>0</x:v>
      </x:c>
      <x:c r="I266" s="4" t="n">
        <x:f>IF($D$4="Ready",ROUND(G266+H266,2),"n.a.")</x:f>
        <x:v>0</x:v>
      </x:c>
      <x:c r="J266" s="4" t="n">
        <x:f>IF($D$4="Ready",ROUND(I266-F266,2),"n.a.")</x:f>
        <x:v>0</x:v>
      </x:c>
      <x:c r="K266" s="4" t="n">
        <x:f>IF($D$4="Ready",MAX(0,ROUND(E266+F266-I266,2)),"n.a.")</x:f>
        <x:v>0</x:v>
      </x:c>
      <x:c r="L266" s="4"/>
    </x:row>
    <x:row r="267" ht="22" customHeight="1">
      <x:c r="A267" s="2"/>
      <x:c r="B267" s="2"/>
      <x:c r="C267" s="21" t="n">
        <x:f>251</x:f>
        <x:v>251</x:v>
      </x:c>
      <x:c r="D267" s="22" t="n">
        <x:f>IF($D$4="Ready",EDATE($D$9,C267-1),"n.a.")</x:f>
        <x:v>53936</x:v>
      </x:c>
      <x:c r="E267" s="4" t="n">
        <x:f>IF($D$4="Ready",K266,"n.a.")</x:f>
        <x:v>0</x:v>
      </x:c>
      <x:c r="F267" s="4" t="n">
        <x:f>IF($D$4="Ready",ROUND(E267*$D$6/12,2),"n.a.")</x:f>
        <x:v>0</x:v>
      </x:c>
      <x:c r="G267" s="4" t="n">
        <x:f>IF($D$4="Ready",IF(C267&gt;$D$7,0,IF(C267=$D$7,E267+F267,MIN($D$11,E267+F267))),"n.a.")</x:f>
        <x:v>0</x:v>
      </x:c>
      <x:c r="H267" s="4" t="n">
        <x:f>IF($D$4="Ready",MIN($D$8,MAX(0,E267+F267-G267)),"n.a.")</x:f>
        <x:v>0</x:v>
      </x:c>
      <x:c r="I267" s="4" t="n">
        <x:f>IF($D$4="Ready",ROUND(G267+H267,2),"n.a.")</x:f>
        <x:v>0</x:v>
      </x:c>
      <x:c r="J267" s="4" t="n">
        <x:f>IF($D$4="Ready",ROUND(I267-F267,2),"n.a.")</x:f>
        <x:v>0</x:v>
      </x:c>
      <x:c r="K267" s="4" t="n">
        <x:f>IF($D$4="Ready",MAX(0,ROUND(E267+F267-I267,2)),"n.a.")</x:f>
        <x:v>0</x:v>
      </x:c>
      <x:c r="L267" s="4"/>
    </x:row>
    <x:row r="268" ht="22" customHeight="1">
      <x:c r="A268" s="2"/>
      <x:c r="B268" s="2"/>
      <x:c r="C268" s="21" t="n">
        <x:f>252</x:f>
        <x:v>252</x:v>
      </x:c>
      <x:c r="D268" s="22" t="n">
        <x:f>IF($D$4="Ready",EDATE($D$9,C268-1),"n.a.")</x:f>
        <x:v>53966</x:v>
      </x:c>
      <x:c r="E268" s="4" t="n">
        <x:f>IF($D$4="Ready",K267,"n.a.")</x:f>
        <x:v>0</x:v>
      </x:c>
      <x:c r="F268" s="4" t="n">
        <x:f>IF($D$4="Ready",ROUND(E268*$D$6/12,2),"n.a.")</x:f>
        <x:v>0</x:v>
      </x:c>
      <x:c r="G268" s="4" t="n">
        <x:f>IF($D$4="Ready",IF(C268&gt;$D$7,0,IF(C268=$D$7,E268+F268,MIN($D$11,E268+F268))),"n.a.")</x:f>
        <x:v>0</x:v>
      </x:c>
      <x:c r="H268" s="4" t="n">
        <x:f>IF($D$4="Ready",MIN($D$8,MAX(0,E268+F268-G268)),"n.a.")</x:f>
        <x:v>0</x:v>
      </x:c>
      <x:c r="I268" s="4" t="n">
        <x:f>IF($D$4="Ready",ROUND(G268+H268,2),"n.a.")</x:f>
        <x:v>0</x:v>
      </x:c>
      <x:c r="J268" s="4" t="n">
        <x:f>IF($D$4="Ready",ROUND(I268-F268,2),"n.a.")</x:f>
        <x:v>0</x:v>
      </x:c>
      <x:c r="K268" s="4" t="n">
        <x:f>IF($D$4="Ready",MAX(0,ROUND(E268+F268-I268,2)),"n.a.")</x:f>
        <x:v>0</x:v>
      </x:c>
      <x:c r="L268" s="4"/>
    </x:row>
    <x:row r="269" ht="22" customHeight="1">
      <x:c r="A269" s="2"/>
      <x:c r="B269" s="2"/>
      <x:c r="C269" s="21" t="n">
        <x:f>253</x:f>
        <x:v>253</x:v>
      </x:c>
      <x:c r="D269" s="22" t="n">
        <x:f>IF($D$4="Ready",EDATE($D$9,C269-1),"n.a.")</x:f>
        <x:v>53997</x:v>
      </x:c>
      <x:c r="E269" s="4" t="n">
        <x:f>IF($D$4="Ready",K268,"n.a.")</x:f>
        <x:v>0</x:v>
      </x:c>
      <x:c r="F269" s="4" t="n">
        <x:f>IF($D$4="Ready",ROUND(E269*$D$6/12,2),"n.a.")</x:f>
        <x:v>0</x:v>
      </x:c>
      <x:c r="G269" s="4" t="n">
        <x:f>IF($D$4="Ready",IF(C269&gt;$D$7,0,IF(C269=$D$7,E269+F269,MIN($D$11,E269+F269))),"n.a.")</x:f>
        <x:v>0</x:v>
      </x:c>
      <x:c r="H269" s="4" t="n">
        <x:f>IF($D$4="Ready",MIN($D$8,MAX(0,E269+F269-G269)),"n.a.")</x:f>
        <x:v>0</x:v>
      </x:c>
      <x:c r="I269" s="4" t="n">
        <x:f>IF($D$4="Ready",ROUND(G269+H269,2),"n.a.")</x:f>
        <x:v>0</x:v>
      </x:c>
      <x:c r="J269" s="4" t="n">
        <x:f>IF($D$4="Ready",ROUND(I269-F269,2),"n.a.")</x:f>
        <x:v>0</x:v>
      </x:c>
      <x:c r="K269" s="4" t="n">
        <x:f>IF($D$4="Ready",MAX(0,ROUND(E269+F269-I269,2)),"n.a.")</x:f>
        <x:v>0</x:v>
      </x:c>
      <x:c r="L269" s="4"/>
    </x:row>
    <x:row r="270" ht="22" customHeight="1">
      <x:c r="A270" s="2"/>
      <x:c r="B270" s="2"/>
      <x:c r="C270" s="21" t="n">
        <x:f>254</x:f>
        <x:v>254</x:v>
      </x:c>
      <x:c r="D270" s="22" t="n">
        <x:f>IF($D$4="Ready",EDATE($D$9,C270-1),"n.a.")</x:f>
        <x:v>54027</x:v>
      </x:c>
      <x:c r="E270" s="4" t="n">
        <x:f>IF($D$4="Ready",K269,"n.a.")</x:f>
        <x:v>0</x:v>
      </x:c>
      <x:c r="F270" s="4" t="n">
        <x:f>IF($D$4="Ready",ROUND(E270*$D$6/12,2),"n.a.")</x:f>
        <x:v>0</x:v>
      </x:c>
      <x:c r="G270" s="4" t="n">
        <x:f>IF($D$4="Ready",IF(C270&gt;$D$7,0,IF(C270=$D$7,E270+F270,MIN($D$11,E270+F270))),"n.a.")</x:f>
        <x:v>0</x:v>
      </x:c>
      <x:c r="H270" s="4" t="n">
        <x:f>IF($D$4="Ready",MIN($D$8,MAX(0,E270+F270-G270)),"n.a.")</x:f>
        <x:v>0</x:v>
      </x:c>
      <x:c r="I270" s="4" t="n">
        <x:f>IF($D$4="Ready",ROUND(G270+H270,2),"n.a.")</x:f>
        <x:v>0</x:v>
      </x:c>
      <x:c r="J270" s="4" t="n">
        <x:f>IF($D$4="Ready",ROUND(I270-F270,2),"n.a.")</x:f>
        <x:v>0</x:v>
      </x:c>
      <x:c r="K270" s="4" t="n">
        <x:f>IF($D$4="Ready",MAX(0,ROUND(E270+F270-I270,2)),"n.a.")</x:f>
        <x:v>0</x:v>
      </x:c>
      <x:c r="L270" s="4"/>
    </x:row>
    <x:row r="271" ht="22" customHeight="1">
      <x:c r="A271" s="2"/>
      <x:c r="B271" s="2"/>
      <x:c r="C271" s="21" t="n">
        <x:f>255</x:f>
        <x:v>255</x:v>
      </x:c>
      <x:c r="D271" s="22" t="n">
        <x:f>IF($D$4="Ready",EDATE($D$9,C271-1),"n.a.")</x:f>
        <x:v>54058</x:v>
      </x:c>
      <x:c r="E271" s="4" t="n">
        <x:f>IF($D$4="Ready",K270,"n.a.")</x:f>
        <x:v>0</x:v>
      </x:c>
      <x:c r="F271" s="4" t="n">
        <x:f>IF($D$4="Ready",ROUND(E271*$D$6/12,2),"n.a.")</x:f>
        <x:v>0</x:v>
      </x:c>
      <x:c r="G271" s="4" t="n">
        <x:f>IF($D$4="Ready",IF(C271&gt;$D$7,0,IF(C271=$D$7,E271+F271,MIN($D$11,E271+F271))),"n.a.")</x:f>
        <x:v>0</x:v>
      </x:c>
      <x:c r="H271" s="4" t="n">
        <x:f>IF($D$4="Ready",MIN($D$8,MAX(0,E271+F271-G271)),"n.a.")</x:f>
        <x:v>0</x:v>
      </x:c>
      <x:c r="I271" s="4" t="n">
        <x:f>IF($D$4="Ready",ROUND(G271+H271,2),"n.a.")</x:f>
        <x:v>0</x:v>
      </x:c>
      <x:c r="J271" s="4" t="n">
        <x:f>IF($D$4="Ready",ROUND(I271-F271,2),"n.a.")</x:f>
        <x:v>0</x:v>
      </x:c>
      <x:c r="K271" s="4" t="n">
        <x:f>IF($D$4="Ready",MAX(0,ROUND(E271+F271-I271,2)),"n.a.")</x:f>
        <x:v>0</x:v>
      </x:c>
      <x:c r="L271" s="4"/>
    </x:row>
    <x:row r="272" ht="22" customHeight="1">
      <x:c r="A272" s="2"/>
      <x:c r="B272" s="2"/>
      <x:c r="C272" s="21" t="n">
        <x:f>256</x:f>
        <x:v>256</x:v>
      </x:c>
      <x:c r="D272" s="22" t="n">
        <x:f>IF($D$4="Ready",EDATE($D$9,C272-1),"n.a.")</x:f>
        <x:v>54089</x:v>
      </x:c>
      <x:c r="E272" s="4" t="n">
        <x:f>IF($D$4="Ready",K271,"n.a.")</x:f>
        <x:v>0</x:v>
      </x:c>
      <x:c r="F272" s="4" t="n">
        <x:f>IF($D$4="Ready",ROUND(E272*$D$6/12,2),"n.a.")</x:f>
        <x:v>0</x:v>
      </x:c>
      <x:c r="G272" s="4" t="n">
        <x:f>IF($D$4="Ready",IF(C272&gt;$D$7,0,IF(C272=$D$7,E272+F272,MIN($D$11,E272+F272))),"n.a.")</x:f>
        <x:v>0</x:v>
      </x:c>
      <x:c r="H272" s="4" t="n">
        <x:f>IF($D$4="Ready",MIN($D$8,MAX(0,E272+F272-G272)),"n.a.")</x:f>
        <x:v>0</x:v>
      </x:c>
      <x:c r="I272" s="4" t="n">
        <x:f>IF($D$4="Ready",ROUND(G272+H272,2),"n.a.")</x:f>
        <x:v>0</x:v>
      </x:c>
      <x:c r="J272" s="4" t="n">
        <x:f>IF($D$4="Ready",ROUND(I272-F272,2),"n.a.")</x:f>
        <x:v>0</x:v>
      </x:c>
      <x:c r="K272" s="4" t="n">
        <x:f>IF($D$4="Ready",MAX(0,ROUND(E272+F272-I272,2)),"n.a.")</x:f>
        <x:v>0</x:v>
      </x:c>
      <x:c r="L272" s="4"/>
    </x:row>
    <x:row r="273" ht="22" customHeight="1">
      <x:c r="A273" s="2"/>
      <x:c r="B273" s="2"/>
      <x:c r="C273" s="21" t="n">
        <x:f>257</x:f>
        <x:v>257</x:v>
      </x:c>
      <x:c r="D273" s="22" t="n">
        <x:f>IF($D$4="Ready",EDATE($D$9,C273-1),"n.a.")</x:f>
        <x:v>54118</x:v>
      </x:c>
      <x:c r="E273" s="4" t="n">
        <x:f>IF($D$4="Ready",K272,"n.a.")</x:f>
        <x:v>0</x:v>
      </x:c>
      <x:c r="F273" s="4" t="n">
        <x:f>IF($D$4="Ready",ROUND(E273*$D$6/12,2),"n.a.")</x:f>
        <x:v>0</x:v>
      </x:c>
      <x:c r="G273" s="4" t="n">
        <x:f>IF($D$4="Ready",IF(C273&gt;$D$7,0,IF(C273=$D$7,E273+F273,MIN($D$11,E273+F273))),"n.a.")</x:f>
        <x:v>0</x:v>
      </x:c>
      <x:c r="H273" s="4" t="n">
        <x:f>IF($D$4="Ready",MIN($D$8,MAX(0,E273+F273-G273)),"n.a.")</x:f>
        <x:v>0</x:v>
      </x:c>
      <x:c r="I273" s="4" t="n">
        <x:f>IF($D$4="Ready",ROUND(G273+H273,2),"n.a.")</x:f>
        <x:v>0</x:v>
      </x:c>
      <x:c r="J273" s="4" t="n">
        <x:f>IF($D$4="Ready",ROUND(I273-F273,2),"n.a.")</x:f>
        <x:v>0</x:v>
      </x:c>
      <x:c r="K273" s="4" t="n">
        <x:f>IF($D$4="Ready",MAX(0,ROUND(E273+F273-I273,2)),"n.a.")</x:f>
        <x:v>0</x:v>
      </x:c>
      <x:c r="L273" s="4"/>
    </x:row>
    <x:row r="274" ht="22" customHeight="1">
      <x:c r="A274" s="2"/>
      <x:c r="B274" s="2"/>
      <x:c r="C274" s="21" t="n">
        <x:f>258</x:f>
        <x:v>258</x:v>
      </x:c>
      <x:c r="D274" s="22" t="n">
        <x:f>IF($D$4="Ready",EDATE($D$9,C274-1),"n.a.")</x:f>
        <x:v>54149</x:v>
      </x:c>
      <x:c r="E274" s="4" t="n">
        <x:f>IF($D$4="Ready",K273,"n.a.")</x:f>
        <x:v>0</x:v>
      </x:c>
      <x:c r="F274" s="4" t="n">
        <x:f>IF($D$4="Ready",ROUND(E274*$D$6/12,2),"n.a.")</x:f>
        <x:v>0</x:v>
      </x:c>
      <x:c r="G274" s="4" t="n">
        <x:f>IF($D$4="Ready",IF(C274&gt;$D$7,0,IF(C274=$D$7,E274+F274,MIN($D$11,E274+F274))),"n.a.")</x:f>
        <x:v>0</x:v>
      </x:c>
      <x:c r="H274" s="4" t="n">
        <x:f>IF($D$4="Ready",MIN($D$8,MAX(0,E274+F274-G274)),"n.a.")</x:f>
        <x:v>0</x:v>
      </x:c>
      <x:c r="I274" s="4" t="n">
        <x:f>IF($D$4="Ready",ROUND(G274+H274,2),"n.a.")</x:f>
        <x:v>0</x:v>
      </x:c>
      <x:c r="J274" s="4" t="n">
        <x:f>IF($D$4="Ready",ROUND(I274-F274,2),"n.a.")</x:f>
        <x:v>0</x:v>
      </x:c>
      <x:c r="K274" s="4" t="n">
        <x:f>IF($D$4="Ready",MAX(0,ROUND(E274+F274-I274,2)),"n.a.")</x:f>
        <x:v>0</x:v>
      </x:c>
      <x:c r="L274" s="4"/>
    </x:row>
    <x:row r="275" ht="22" customHeight="1">
      <x:c r="A275" s="2"/>
      <x:c r="B275" s="2"/>
      <x:c r="C275" s="21" t="n">
        <x:f>259</x:f>
        <x:v>259</x:v>
      </x:c>
      <x:c r="D275" s="22" t="n">
        <x:f>IF($D$4="Ready",EDATE($D$9,C275-1),"n.a.")</x:f>
        <x:v>54179</x:v>
      </x:c>
      <x:c r="E275" s="4" t="n">
        <x:f>IF($D$4="Ready",K274,"n.a.")</x:f>
        <x:v>0</x:v>
      </x:c>
      <x:c r="F275" s="4" t="n">
        <x:f>IF($D$4="Ready",ROUND(E275*$D$6/12,2),"n.a.")</x:f>
        <x:v>0</x:v>
      </x:c>
      <x:c r="G275" s="4" t="n">
        <x:f>IF($D$4="Ready",IF(C275&gt;$D$7,0,IF(C275=$D$7,E275+F275,MIN($D$11,E275+F275))),"n.a.")</x:f>
        <x:v>0</x:v>
      </x:c>
      <x:c r="H275" s="4" t="n">
        <x:f>IF($D$4="Ready",MIN($D$8,MAX(0,E275+F275-G275)),"n.a.")</x:f>
        <x:v>0</x:v>
      </x:c>
      <x:c r="I275" s="4" t="n">
        <x:f>IF($D$4="Ready",ROUND(G275+H275,2),"n.a.")</x:f>
        <x:v>0</x:v>
      </x:c>
      <x:c r="J275" s="4" t="n">
        <x:f>IF($D$4="Ready",ROUND(I275-F275,2),"n.a.")</x:f>
        <x:v>0</x:v>
      </x:c>
      <x:c r="K275" s="4" t="n">
        <x:f>IF($D$4="Ready",MAX(0,ROUND(E275+F275-I275,2)),"n.a.")</x:f>
        <x:v>0</x:v>
      </x:c>
      <x:c r="L275" s="4"/>
    </x:row>
    <x:row r="276" ht="22" customHeight="1">
      <x:c r="A276" s="2"/>
      <x:c r="B276" s="2"/>
      <x:c r="C276" s="21" t="n">
        <x:f>260</x:f>
        <x:v>260</x:v>
      </x:c>
      <x:c r="D276" s="22" t="n">
        <x:f>IF($D$4="Ready",EDATE($D$9,C276-1),"n.a.")</x:f>
        <x:v>54210</x:v>
      </x:c>
      <x:c r="E276" s="4" t="n">
        <x:f>IF($D$4="Ready",K275,"n.a.")</x:f>
        <x:v>0</x:v>
      </x:c>
      <x:c r="F276" s="4" t="n">
        <x:f>IF($D$4="Ready",ROUND(E276*$D$6/12,2),"n.a.")</x:f>
        <x:v>0</x:v>
      </x:c>
      <x:c r="G276" s="4" t="n">
        <x:f>IF($D$4="Ready",IF(C276&gt;$D$7,0,IF(C276=$D$7,E276+F276,MIN($D$11,E276+F276))),"n.a.")</x:f>
        <x:v>0</x:v>
      </x:c>
      <x:c r="H276" s="4" t="n">
        <x:f>IF($D$4="Ready",MIN($D$8,MAX(0,E276+F276-G276)),"n.a.")</x:f>
        <x:v>0</x:v>
      </x:c>
      <x:c r="I276" s="4" t="n">
        <x:f>IF($D$4="Ready",ROUND(G276+H276,2),"n.a.")</x:f>
        <x:v>0</x:v>
      </x:c>
      <x:c r="J276" s="4" t="n">
        <x:f>IF($D$4="Ready",ROUND(I276-F276,2),"n.a.")</x:f>
        <x:v>0</x:v>
      </x:c>
      <x:c r="K276" s="4" t="n">
        <x:f>IF($D$4="Ready",MAX(0,ROUND(E276+F276-I276,2)),"n.a.")</x:f>
        <x:v>0</x:v>
      </x:c>
      <x:c r="L276" s="4"/>
    </x:row>
    <x:row r="277" ht="22" customHeight="1">
      <x:c r="A277" s="2"/>
      <x:c r="B277" s="2"/>
      <x:c r="C277" s="21" t="n">
        <x:f>261</x:f>
        <x:v>261</x:v>
      </x:c>
      <x:c r="D277" s="22" t="n">
        <x:f>IF($D$4="Ready",EDATE($D$9,C277-1),"n.a.")</x:f>
        <x:v>54240</x:v>
      </x:c>
      <x:c r="E277" s="4" t="n">
        <x:f>IF($D$4="Ready",K276,"n.a.")</x:f>
        <x:v>0</x:v>
      </x:c>
      <x:c r="F277" s="4" t="n">
        <x:f>IF($D$4="Ready",ROUND(E277*$D$6/12,2),"n.a.")</x:f>
        <x:v>0</x:v>
      </x:c>
      <x:c r="G277" s="4" t="n">
        <x:f>IF($D$4="Ready",IF(C277&gt;$D$7,0,IF(C277=$D$7,E277+F277,MIN($D$11,E277+F277))),"n.a.")</x:f>
        <x:v>0</x:v>
      </x:c>
      <x:c r="H277" s="4" t="n">
        <x:f>IF($D$4="Ready",MIN($D$8,MAX(0,E277+F277-G277)),"n.a.")</x:f>
        <x:v>0</x:v>
      </x:c>
      <x:c r="I277" s="4" t="n">
        <x:f>IF($D$4="Ready",ROUND(G277+H277,2),"n.a.")</x:f>
        <x:v>0</x:v>
      </x:c>
      <x:c r="J277" s="4" t="n">
        <x:f>IF($D$4="Ready",ROUND(I277-F277,2),"n.a.")</x:f>
        <x:v>0</x:v>
      </x:c>
      <x:c r="K277" s="4" t="n">
        <x:f>IF($D$4="Ready",MAX(0,ROUND(E277+F277-I277,2)),"n.a.")</x:f>
        <x:v>0</x:v>
      </x:c>
      <x:c r="L277" s="4"/>
    </x:row>
    <x:row r="278" ht="22" customHeight="1">
      <x:c r="A278" s="2"/>
      <x:c r="B278" s="2"/>
      <x:c r="C278" s="21" t="n">
        <x:f>262</x:f>
        <x:v>262</x:v>
      </x:c>
      <x:c r="D278" s="22" t="n">
        <x:f>IF($D$4="Ready",EDATE($D$9,C278-1),"n.a.")</x:f>
        <x:v>54271</x:v>
      </x:c>
      <x:c r="E278" s="4" t="n">
        <x:f>IF($D$4="Ready",K277,"n.a.")</x:f>
        <x:v>0</x:v>
      </x:c>
      <x:c r="F278" s="4" t="n">
        <x:f>IF($D$4="Ready",ROUND(E278*$D$6/12,2),"n.a.")</x:f>
        <x:v>0</x:v>
      </x:c>
      <x:c r="G278" s="4" t="n">
        <x:f>IF($D$4="Ready",IF(C278&gt;$D$7,0,IF(C278=$D$7,E278+F278,MIN($D$11,E278+F278))),"n.a.")</x:f>
        <x:v>0</x:v>
      </x:c>
      <x:c r="H278" s="4" t="n">
        <x:f>IF($D$4="Ready",MIN($D$8,MAX(0,E278+F278-G278)),"n.a.")</x:f>
        <x:v>0</x:v>
      </x:c>
      <x:c r="I278" s="4" t="n">
        <x:f>IF($D$4="Ready",ROUND(G278+H278,2),"n.a.")</x:f>
        <x:v>0</x:v>
      </x:c>
      <x:c r="J278" s="4" t="n">
        <x:f>IF($D$4="Ready",ROUND(I278-F278,2),"n.a.")</x:f>
        <x:v>0</x:v>
      </x:c>
      <x:c r="K278" s="4" t="n">
        <x:f>IF($D$4="Ready",MAX(0,ROUND(E278+F278-I278,2)),"n.a.")</x:f>
        <x:v>0</x:v>
      </x:c>
      <x:c r="L278" s="4"/>
    </x:row>
    <x:row r="279" ht="22" customHeight="1">
      <x:c r="A279" s="2"/>
      <x:c r="B279" s="2"/>
      <x:c r="C279" s="21" t="n">
        <x:f>263</x:f>
        <x:v>263</x:v>
      </x:c>
      <x:c r="D279" s="22" t="n">
        <x:f>IF($D$4="Ready",EDATE($D$9,C279-1),"n.a.")</x:f>
        <x:v>54302</x:v>
      </x:c>
      <x:c r="E279" s="4" t="n">
        <x:f>IF($D$4="Ready",K278,"n.a.")</x:f>
        <x:v>0</x:v>
      </x:c>
      <x:c r="F279" s="4" t="n">
        <x:f>IF($D$4="Ready",ROUND(E279*$D$6/12,2),"n.a.")</x:f>
        <x:v>0</x:v>
      </x:c>
      <x:c r="G279" s="4" t="n">
        <x:f>IF($D$4="Ready",IF(C279&gt;$D$7,0,IF(C279=$D$7,E279+F279,MIN($D$11,E279+F279))),"n.a.")</x:f>
        <x:v>0</x:v>
      </x:c>
      <x:c r="H279" s="4" t="n">
        <x:f>IF($D$4="Ready",MIN($D$8,MAX(0,E279+F279-G279)),"n.a.")</x:f>
        <x:v>0</x:v>
      </x:c>
      <x:c r="I279" s="4" t="n">
        <x:f>IF($D$4="Ready",ROUND(G279+H279,2),"n.a.")</x:f>
        <x:v>0</x:v>
      </x:c>
      <x:c r="J279" s="4" t="n">
        <x:f>IF($D$4="Ready",ROUND(I279-F279,2),"n.a.")</x:f>
        <x:v>0</x:v>
      </x:c>
      <x:c r="K279" s="4" t="n">
        <x:f>IF($D$4="Ready",MAX(0,ROUND(E279+F279-I279,2)),"n.a.")</x:f>
        <x:v>0</x:v>
      </x:c>
      <x:c r="L279" s="4"/>
    </x:row>
    <x:row r="280" ht="22" customHeight="1">
      <x:c r="A280" s="2"/>
      <x:c r="B280" s="2"/>
      <x:c r="C280" s="21" t="n">
        <x:f>264</x:f>
        <x:v>264</x:v>
      </x:c>
      <x:c r="D280" s="22" t="n">
        <x:f>IF($D$4="Ready",EDATE($D$9,C280-1),"n.a.")</x:f>
        <x:v>54332</x:v>
      </x:c>
      <x:c r="E280" s="4" t="n">
        <x:f>IF($D$4="Ready",K279,"n.a.")</x:f>
        <x:v>0</x:v>
      </x:c>
      <x:c r="F280" s="4" t="n">
        <x:f>IF($D$4="Ready",ROUND(E280*$D$6/12,2),"n.a.")</x:f>
        <x:v>0</x:v>
      </x:c>
      <x:c r="G280" s="4" t="n">
        <x:f>IF($D$4="Ready",IF(C280&gt;$D$7,0,IF(C280=$D$7,E280+F280,MIN($D$11,E280+F280))),"n.a.")</x:f>
        <x:v>0</x:v>
      </x:c>
      <x:c r="H280" s="4" t="n">
        <x:f>IF($D$4="Ready",MIN($D$8,MAX(0,E280+F280-G280)),"n.a.")</x:f>
        <x:v>0</x:v>
      </x:c>
      <x:c r="I280" s="4" t="n">
        <x:f>IF($D$4="Ready",ROUND(G280+H280,2),"n.a.")</x:f>
        <x:v>0</x:v>
      </x:c>
      <x:c r="J280" s="4" t="n">
        <x:f>IF($D$4="Ready",ROUND(I280-F280,2),"n.a.")</x:f>
        <x:v>0</x:v>
      </x:c>
      <x:c r="K280" s="4" t="n">
        <x:f>IF($D$4="Ready",MAX(0,ROUND(E280+F280-I280,2)),"n.a.")</x:f>
        <x:v>0</x:v>
      </x:c>
      <x:c r="L280" s="4"/>
    </x:row>
    <x:row r="281" ht="22" customHeight="1">
      <x:c r="A281" s="2"/>
      <x:c r="B281" s="2"/>
      <x:c r="C281" s="21" t="n">
        <x:f>265</x:f>
        <x:v>265</x:v>
      </x:c>
      <x:c r="D281" s="22" t="n">
        <x:f>IF($D$4="Ready",EDATE($D$9,C281-1),"n.a.")</x:f>
        <x:v>54363</x:v>
      </x:c>
      <x:c r="E281" s="4" t="n">
        <x:f>IF($D$4="Ready",K280,"n.a.")</x:f>
        <x:v>0</x:v>
      </x:c>
      <x:c r="F281" s="4" t="n">
        <x:f>IF($D$4="Ready",ROUND(E281*$D$6/12,2),"n.a.")</x:f>
        <x:v>0</x:v>
      </x:c>
      <x:c r="G281" s="4" t="n">
        <x:f>IF($D$4="Ready",IF(C281&gt;$D$7,0,IF(C281=$D$7,E281+F281,MIN($D$11,E281+F281))),"n.a.")</x:f>
        <x:v>0</x:v>
      </x:c>
      <x:c r="H281" s="4" t="n">
        <x:f>IF($D$4="Ready",MIN($D$8,MAX(0,E281+F281-G281)),"n.a.")</x:f>
        <x:v>0</x:v>
      </x:c>
      <x:c r="I281" s="4" t="n">
        <x:f>IF($D$4="Ready",ROUND(G281+H281,2),"n.a.")</x:f>
        <x:v>0</x:v>
      </x:c>
      <x:c r="J281" s="4" t="n">
        <x:f>IF($D$4="Ready",ROUND(I281-F281,2),"n.a.")</x:f>
        <x:v>0</x:v>
      </x:c>
      <x:c r="K281" s="4" t="n">
        <x:f>IF($D$4="Ready",MAX(0,ROUND(E281+F281-I281,2)),"n.a.")</x:f>
        <x:v>0</x:v>
      </x:c>
      <x:c r="L281" s="4"/>
    </x:row>
    <x:row r="282" ht="22" customHeight="1">
      <x:c r="A282" s="2"/>
      <x:c r="B282" s="2"/>
      <x:c r="C282" s="21" t="n">
        <x:f>266</x:f>
        <x:v>266</x:v>
      </x:c>
      <x:c r="D282" s="22" t="n">
        <x:f>IF($D$4="Ready",EDATE($D$9,C282-1),"n.a.")</x:f>
        <x:v>54393</x:v>
      </x:c>
      <x:c r="E282" s="4" t="n">
        <x:f>IF($D$4="Ready",K281,"n.a.")</x:f>
        <x:v>0</x:v>
      </x:c>
      <x:c r="F282" s="4" t="n">
        <x:f>IF($D$4="Ready",ROUND(E282*$D$6/12,2),"n.a.")</x:f>
        <x:v>0</x:v>
      </x:c>
      <x:c r="G282" s="4" t="n">
        <x:f>IF($D$4="Ready",IF(C282&gt;$D$7,0,IF(C282=$D$7,E282+F282,MIN($D$11,E282+F282))),"n.a.")</x:f>
        <x:v>0</x:v>
      </x:c>
      <x:c r="H282" s="4" t="n">
        <x:f>IF($D$4="Ready",MIN($D$8,MAX(0,E282+F282-G282)),"n.a.")</x:f>
        <x:v>0</x:v>
      </x:c>
      <x:c r="I282" s="4" t="n">
        <x:f>IF($D$4="Ready",ROUND(G282+H282,2),"n.a.")</x:f>
        <x:v>0</x:v>
      </x:c>
      <x:c r="J282" s="4" t="n">
        <x:f>IF($D$4="Ready",ROUND(I282-F282,2),"n.a.")</x:f>
        <x:v>0</x:v>
      </x:c>
      <x:c r="K282" s="4" t="n">
        <x:f>IF($D$4="Ready",MAX(0,ROUND(E282+F282-I282,2)),"n.a.")</x:f>
        <x:v>0</x:v>
      </x:c>
      <x:c r="L282" s="4"/>
    </x:row>
    <x:row r="283" ht="22" customHeight="1">
      <x:c r="A283" s="2"/>
      <x:c r="B283" s="2"/>
      <x:c r="C283" s="21" t="n">
        <x:f>267</x:f>
        <x:v>267</x:v>
      </x:c>
      <x:c r="D283" s="22" t="n">
        <x:f>IF($D$4="Ready",EDATE($D$9,C283-1),"n.a.")</x:f>
        <x:v>54424</x:v>
      </x:c>
      <x:c r="E283" s="4" t="n">
        <x:f>IF($D$4="Ready",K282,"n.a.")</x:f>
        <x:v>0</x:v>
      </x:c>
      <x:c r="F283" s="4" t="n">
        <x:f>IF($D$4="Ready",ROUND(E283*$D$6/12,2),"n.a.")</x:f>
        <x:v>0</x:v>
      </x:c>
      <x:c r="G283" s="4" t="n">
        <x:f>IF($D$4="Ready",IF(C283&gt;$D$7,0,IF(C283=$D$7,E283+F283,MIN($D$11,E283+F283))),"n.a.")</x:f>
        <x:v>0</x:v>
      </x:c>
      <x:c r="H283" s="4" t="n">
        <x:f>IF($D$4="Ready",MIN($D$8,MAX(0,E283+F283-G283)),"n.a.")</x:f>
        <x:v>0</x:v>
      </x:c>
      <x:c r="I283" s="4" t="n">
        <x:f>IF($D$4="Ready",ROUND(G283+H283,2),"n.a.")</x:f>
        <x:v>0</x:v>
      </x:c>
      <x:c r="J283" s="4" t="n">
        <x:f>IF($D$4="Ready",ROUND(I283-F283,2),"n.a.")</x:f>
        <x:v>0</x:v>
      </x:c>
      <x:c r="K283" s="4" t="n">
        <x:f>IF($D$4="Ready",MAX(0,ROUND(E283+F283-I283,2)),"n.a.")</x:f>
        <x:v>0</x:v>
      </x:c>
      <x:c r="L283" s="4"/>
    </x:row>
    <x:row r="284" ht="22" customHeight="1">
      <x:c r="A284" s="2"/>
      <x:c r="B284" s="2"/>
      <x:c r="C284" s="21" t="n">
        <x:f>268</x:f>
        <x:v>268</x:v>
      </x:c>
      <x:c r="D284" s="22" t="n">
        <x:f>IF($D$4="Ready",EDATE($D$9,C284-1),"n.a.")</x:f>
        <x:v>54455</x:v>
      </x:c>
      <x:c r="E284" s="4" t="n">
        <x:f>IF($D$4="Ready",K283,"n.a.")</x:f>
        <x:v>0</x:v>
      </x:c>
      <x:c r="F284" s="4" t="n">
        <x:f>IF($D$4="Ready",ROUND(E284*$D$6/12,2),"n.a.")</x:f>
        <x:v>0</x:v>
      </x:c>
      <x:c r="G284" s="4" t="n">
        <x:f>IF($D$4="Ready",IF(C284&gt;$D$7,0,IF(C284=$D$7,E284+F284,MIN($D$11,E284+F284))),"n.a.")</x:f>
        <x:v>0</x:v>
      </x:c>
      <x:c r="H284" s="4" t="n">
        <x:f>IF($D$4="Ready",MIN($D$8,MAX(0,E284+F284-G284)),"n.a.")</x:f>
        <x:v>0</x:v>
      </x:c>
      <x:c r="I284" s="4" t="n">
        <x:f>IF($D$4="Ready",ROUND(G284+H284,2),"n.a.")</x:f>
        <x:v>0</x:v>
      </x:c>
      <x:c r="J284" s="4" t="n">
        <x:f>IF($D$4="Ready",ROUND(I284-F284,2),"n.a.")</x:f>
        <x:v>0</x:v>
      </x:c>
      <x:c r="K284" s="4" t="n">
        <x:f>IF($D$4="Ready",MAX(0,ROUND(E284+F284-I284,2)),"n.a.")</x:f>
        <x:v>0</x:v>
      </x:c>
      <x:c r="L284" s="4"/>
    </x:row>
    <x:row r="285" ht="22" customHeight="1">
      <x:c r="A285" s="2"/>
      <x:c r="B285" s="2"/>
      <x:c r="C285" s="21" t="n">
        <x:f>269</x:f>
        <x:v>269</x:v>
      </x:c>
      <x:c r="D285" s="22" t="n">
        <x:f>IF($D$4="Ready",EDATE($D$9,C285-1),"n.a.")</x:f>
        <x:v>54483</x:v>
      </x:c>
      <x:c r="E285" s="4" t="n">
        <x:f>IF($D$4="Ready",K284,"n.a.")</x:f>
        <x:v>0</x:v>
      </x:c>
      <x:c r="F285" s="4" t="n">
        <x:f>IF($D$4="Ready",ROUND(E285*$D$6/12,2),"n.a.")</x:f>
        <x:v>0</x:v>
      </x:c>
      <x:c r="G285" s="4" t="n">
        <x:f>IF($D$4="Ready",IF(C285&gt;$D$7,0,IF(C285=$D$7,E285+F285,MIN($D$11,E285+F285))),"n.a.")</x:f>
        <x:v>0</x:v>
      </x:c>
      <x:c r="H285" s="4" t="n">
        <x:f>IF($D$4="Ready",MIN($D$8,MAX(0,E285+F285-G285)),"n.a.")</x:f>
        <x:v>0</x:v>
      </x:c>
      <x:c r="I285" s="4" t="n">
        <x:f>IF($D$4="Ready",ROUND(G285+H285,2),"n.a.")</x:f>
        <x:v>0</x:v>
      </x:c>
      <x:c r="J285" s="4" t="n">
        <x:f>IF($D$4="Ready",ROUND(I285-F285,2),"n.a.")</x:f>
        <x:v>0</x:v>
      </x:c>
      <x:c r="K285" s="4" t="n">
        <x:f>IF($D$4="Ready",MAX(0,ROUND(E285+F285-I285,2)),"n.a.")</x:f>
        <x:v>0</x:v>
      </x:c>
      <x:c r="L285" s="4"/>
    </x:row>
    <x:row r="286" ht="22" customHeight="1">
      <x:c r="A286" s="2"/>
      <x:c r="B286" s="2"/>
      <x:c r="C286" s="21" t="n">
        <x:f>270</x:f>
        <x:v>270</x:v>
      </x:c>
      <x:c r="D286" s="22" t="n">
        <x:f>IF($D$4="Ready",EDATE($D$9,C286-1),"n.a.")</x:f>
        <x:v>54514</x:v>
      </x:c>
      <x:c r="E286" s="4" t="n">
        <x:f>IF($D$4="Ready",K285,"n.a.")</x:f>
        <x:v>0</x:v>
      </x:c>
      <x:c r="F286" s="4" t="n">
        <x:f>IF($D$4="Ready",ROUND(E286*$D$6/12,2),"n.a.")</x:f>
        <x:v>0</x:v>
      </x:c>
      <x:c r="G286" s="4" t="n">
        <x:f>IF($D$4="Ready",IF(C286&gt;$D$7,0,IF(C286=$D$7,E286+F286,MIN($D$11,E286+F286))),"n.a.")</x:f>
        <x:v>0</x:v>
      </x:c>
      <x:c r="H286" s="4" t="n">
        <x:f>IF($D$4="Ready",MIN($D$8,MAX(0,E286+F286-G286)),"n.a.")</x:f>
        <x:v>0</x:v>
      </x:c>
      <x:c r="I286" s="4" t="n">
        <x:f>IF($D$4="Ready",ROUND(G286+H286,2),"n.a.")</x:f>
        <x:v>0</x:v>
      </x:c>
      <x:c r="J286" s="4" t="n">
        <x:f>IF($D$4="Ready",ROUND(I286-F286,2),"n.a.")</x:f>
        <x:v>0</x:v>
      </x:c>
      <x:c r="K286" s="4" t="n">
        <x:f>IF($D$4="Ready",MAX(0,ROUND(E286+F286-I286,2)),"n.a.")</x:f>
        <x:v>0</x:v>
      </x:c>
      <x:c r="L286" s="4"/>
    </x:row>
    <x:row r="287" ht="22" customHeight="1">
      <x:c r="A287" s="2"/>
      <x:c r="B287" s="2"/>
      <x:c r="C287" s="21" t="n">
        <x:f>271</x:f>
        <x:v>271</x:v>
      </x:c>
      <x:c r="D287" s="22" t="n">
        <x:f>IF($D$4="Ready",EDATE($D$9,C287-1),"n.a.")</x:f>
        <x:v>54544</x:v>
      </x:c>
      <x:c r="E287" s="4" t="n">
        <x:f>IF($D$4="Ready",K286,"n.a.")</x:f>
        <x:v>0</x:v>
      </x:c>
      <x:c r="F287" s="4" t="n">
        <x:f>IF($D$4="Ready",ROUND(E287*$D$6/12,2),"n.a.")</x:f>
        <x:v>0</x:v>
      </x:c>
      <x:c r="G287" s="4" t="n">
        <x:f>IF($D$4="Ready",IF(C287&gt;$D$7,0,IF(C287=$D$7,E287+F287,MIN($D$11,E287+F287))),"n.a.")</x:f>
        <x:v>0</x:v>
      </x:c>
      <x:c r="H287" s="4" t="n">
        <x:f>IF($D$4="Ready",MIN($D$8,MAX(0,E287+F287-G287)),"n.a.")</x:f>
        <x:v>0</x:v>
      </x:c>
      <x:c r="I287" s="4" t="n">
        <x:f>IF($D$4="Ready",ROUND(G287+H287,2),"n.a.")</x:f>
        <x:v>0</x:v>
      </x:c>
      <x:c r="J287" s="4" t="n">
        <x:f>IF($D$4="Ready",ROUND(I287-F287,2),"n.a.")</x:f>
        <x:v>0</x:v>
      </x:c>
      <x:c r="K287" s="4" t="n">
        <x:f>IF($D$4="Ready",MAX(0,ROUND(E287+F287-I287,2)),"n.a.")</x:f>
        <x:v>0</x:v>
      </x:c>
      <x:c r="L287" s="4"/>
    </x:row>
    <x:row r="288" ht="22" customHeight="1">
      <x:c r="A288" s="2"/>
      <x:c r="B288" s="2"/>
      <x:c r="C288" s="21" t="n">
        <x:f>272</x:f>
        <x:v>272</x:v>
      </x:c>
      <x:c r="D288" s="22" t="n">
        <x:f>IF($D$4="Ready",EDATE($D$9,C288-1),"n.a.")</x:f>
        <x:v>54575</x:v>
      </x:c>
      <x:c r="E288" s="4" t="n">
        <x:f>IF($D$4="Ready",K287,"n.a.")</x:f>
        <x:v>0</x:v>
      </x:c>
      <x:c r="F288" s="4" t="n">
        <x:f>IF($D$4="Ready",ROUND(E288*$D$6/12,2),"n.a.")</x:f>
        <x:v>0</x:v>
      </x:c>
      <x:c r="G288" s="4" t="n">
        <x:f>IF($D$4="Ready",IF(C288&gt;$D$7,0,IF(C288=$D$7,E288+F288,MIN($D$11,E288+F288))),"n.a.")</x:f>
        <x:v>0</x:v>
      </x:c>
      <x:c r="H288" s="4" t="n">
        <x:f>IF($D$4="Ready",MIN($D$8,MAX(0,E288+F288-G288)),"n.a.")</x:f>
        <x:v>0</x:v>
      </x:c>
      <x:c r="I288" s="4" t="n">
        <x:f>IF($D$4="Ready",ROUND(G288+H288,2),"n.a.")</x:f>
        <x:v>0</x:v>
      </x:c>
      <x:c r="J288" s="4" t="n">
        <x:f>IF($D$4="Ready",ROUND(I288-F288,2),"n.a.")</x:f>
        <x:v>0</x:v>
      </x:c>
      <x:c r="K288" s="4" t="n">
        <x:f>IF($D$4="Ready",MAX(0,ROUND(E288+F288-I288,2)),"n.a.")</x:f>
        <x:v>0</x:v>
      </x:c>
      <x:c r="L288" s="4"/>
    </x:row>
    <x:row r="289" ht="22" customHeight="1">
      <x:c r="A289" s="2"/>
      <x:c r="B289" s="2"/>
      <x:c r="C289" s="21" t="n">
        <x:f>273</x:f>
        <x:v>273</x:v>
      </x:c>
      <x:c r="D289" s="22" t="n">
        <x:f>IF($D$4="Ready",EDATE($D$9,C289-1),"n.a.")</x:f>
        <x:v>54605</x:v>
      </x:c>
      <x:c r="E289" s="4" t="n">
        <x:f>IF($D$4="Ready",K288,"n.a.")</x:f>
        <x:v>0</x:v>
      </x:c>
      <x:c r="F289" s="4" t="n">
        <x:f>IF($D$4="Ready",ROUND(E289*$D$6/12,2),"n.a.")</x:f>
        <x:v>0</x:v>
      </x:c>
      <x:c r="G289" s="4" t="n">
        <x:f>IF($D$4="Ready",IF(C289&gt;$D$7,0,IF(C289=$D$7,E289+F289,MIN($D$11,E289+F289))),"n.a.")</x:f>
        <x:v>0</x:v>
      </x:c>
      <x:c r="H289" s="4" t="n">
        <x:f>IF($D$4="Ready",MIN($D$8,MAX(0,E289+F289-G289)),"n.a.")</x:f>
        <x:v>0</x:v>
      </x:c>
      <x:c r="I289" s="4" t="n">
        <x:f>IF($D$4="Ready",ROUND(G289+H289,2),"n.a.")</x:f>
        <x:v>0</x:v>
      </x:c>
      <x:c r="J289" s="4" t="n">
        <x:f>IF($D$4="Ready",ROUND(I289-F289,2),"n.a.")</x:f>
        <x:v>0</x:v>
      </x:c>
      <x:c r="K289" s="4" t="n">
        <x:f>IF($D$4="Ready",MAX(0,ROUND(E289+F289-I289,2)),"n.a.")</x:f>
        <x:v>0</x:v>
      </x:c>
      <x:c r="L289" s="4"/>
    </x:row>
    <x:row r="290" ht="22" customHeight="1">
      <x:c r="A290" s="2"/>
      <x:c r="B290" s="2"/>
      <x:c r="C290" s="21" t="n">
        <x:f>274</x:f>
        <x:v>274</x:v>
      </x:c>
      <x:c r="D290" s="22" t="n">
        <x:f>IF($D$4="Ready",EDATE($D$9,C290-1),"n.a.")</x:f>
        <x:v>54636</x:v>
      </x:c>
      <x:c r="E290" s="4" t="n">
        <x:f>IF($D$4="Ready",K289,"n.a.")</x:f>
        <x:v>0</x:v>
      </x:c>
      <x:c r="F290" s="4" t="n">
        <x:f>IF($D$4="Ready",ROUND(E290*$D$6/12,2),"n.a.")</x:f>
        <x:v>0</x:v>
      </x:c>
      <x:c r="G290" s="4" t="n">
        <x:f>IF($D$4="Ready",IF(C290&gt;$D$7,0,IF(C290=$D$7,E290+F290,MIN($D$11,E290+F290))),"n.a.")</x:f>
        <x:v>0</x:v>
      </x:c>
      <x:c r="H290" s="4" t="n">
        <x:f>IF($D$4="Ready",MIN($D$8,MAX(0,E290+F290-G290)),"n.a.")</x:f>
        <x:v>0</x:v>
      </x:c>
      <x:c r="I290" s="4" t="n">
        <x:f>IF($D$4="Ready",ROUND(G290+H290,2),"n.a.")</x:f>
        <x:v>0</x:v>
      </x:c>
      <x:c r="J290" s="4" t="n">
        <x:f>IF($D$4="Ready",ROUND(I290-F290,2),"n.a.")</x:f>
        <x:v>0</x:v>
      </x:c>
      <x:c r="K290" s="4" t="n">
        <x:f>IF($D$4="Ready",MAX(0,ROUND(E290+F290-I290,2)),"n.a.")</x:f>
        <x:v>0</x:v>
      </x:c>
      <x:c r="L290" s="4"/>
    </x:row>
    <x:row r="291" ht="22" customHeight="1">
      <x:c r="A291" s="2"/>
      <x:c r="B291" s="2"/>
      <x:c r="C291" s="21" t="n">
        <x:f>275</x:f>
        <x:v>275</x:v>
      </x:c>
      <x:c r="D291" s="22" t="n">
        <x:f>IF($D$4="Ready",EDATE($D$9,C291-1),"n.a.")</x:f>
        <x:v>54667</x:v>
      </x:c>
      <x:c r="E291" s="4" t="n">
        <x:f>IF($D$4="Ready",K290,"n.a.")</x:f>
        <x:v>0</x:v>
      </x:c>
      <x:c r="F291" s="4" t="n">
        <x:f>IF($D$4="Ready",ROUND(E291*$D$6/12,2),"n.a.")</x:f>
        <x:v>0</x:v>
      </x:c>
      <x:c r="G291" s="4" t="n">
        <x:f>IF($D$4="Ready",IF(C291&gt;$D$7,0,IF(C291=$D$7,E291+F291,MIN($D$11,E291+F291))),"n.a.")</x:f>
        <x:v>0</x:v>
      </x:c>
      <x:c r="H291" s="4" t="n">
        <x:f>IF($D$4="Ready",MIN($D$8,MAX(0,E291+F291-G291)),"n.a.")</x:f>
        <x:v>0</x:v>
      </x:c>
      <x:c r="I291" s="4" t="n">
        <x:f>IF($D$4="Ready",ROUND(G291+H291,2),"n.a.")</x:f>
        <x:v>0</x:v>
      </x:c>
      <x:c r="J291" s="4" t="n">
        <x:f>IF($D$4="Ready",ROUND(I291-F291,2),"n.a.")</x:f>
        <x:v>0</x:v>
      </x:c>
      <x:c r="K291" s="4" t="n">
        <x:f>IF($D$4="Ready",MAX(0,ROUND(E291+F291-I291,2)),"n.a.")</x:f>
        <x:v>0</x:v>
      </x:c>
      <x:c r="L291" s="4"/>
    </x:row>
    <x:row r="292" ht="22" customHeight="1">
      <x:c r="A292" s="2"/>
      <x:c r="B292" s="2"/>
      <x:c r="C292" s="21" t="n">
        <x:f>276</x:f>
        <x:v>276</x:v>
      </x:c>
      <x:c r="D292" s="22" t="n">
        <x:f>IF($D$4="Ready",EDATE($D$9,C292-1),"n.a.")</x:f>
        <x:v>54697</x:v>
      </x:c>
      <x:c r="E292" s="4" t="n">
        <x:f>IF($D$4="Ready",K291,"n.a.")</x:f>
        <x:v>0</x:v>
      </x:c>
      <x:c r="F292" s="4" t="n">
        <x:f>IF($D$4="Ready",ROUND(E292*$D$6/12,2),"n.a.")</x:f>
        <x:v>0</x:v>
      </x:c>
      <x:c r="G292" s="4" t="n">
        <x:f>IF($D$4="Ready",IF(C292&gt;$D$7,0,IF(C292=$D$7,E292+F292,MIN($D$11,E292+F292))),"n.a.")</x:f>
        <x:v>0</x:v>
      </x:c>
      <x:c r="H292" s="4" t="n">
        <x:f>IF($D$4="Ready",MIN($D$8,MAX(0,E292+F292-G292)),"n.a.")</x:f>
        <x:v>0</x:v>
      </x:c>
      <x:c r="I292" s="4" t="n">
        <x:f>IF($D$4="Ready",ROUND(G292+H292,2),"n.a.")</x:f>
        <x:v>0</x:v>
      </x:c>
      <x:c r="J292" s="4" t="n">
        <x:f>IF($D$4="Ready",ROUND(I292-F292,2),"n.a.")</x:f>
        <x:v>0</x:v>
      </x:c>
      <x:c r="K292" s="4" t="n">
        <x:f>IF($D$4="Ready",MAX(0,ROUND(E292+F292-I292,2)),"n.a.")</x:f>
        <x:v>0</x:v>
      </x:c>
      <x:c r="L292" s="4"/>
    </x:row>
    <x:row r="293" ht="22" customHeight="1">
      <x:c r="A293" s="2"/>
      <x:c r="B293" s="2"/>
      <x:c r="C293" s="21" t="n">
        <x:f>277</x:f>
        <x:v>277</x:v>
      </x:c>
      <x:c r="D293" s="22" t="n">
        <x:f>IF($D$4="Ready",EDATE($D$9,C293-1),"n.a.")</x:f>
        <x:v>54728</x:v>
      </x:c>
      <x:c r="E293" s="4" t="n">
        <x:f>IF($D$4="Ready",K292,"n.a.")</x:f>
        <x:v>0</x:v>
      </x:c>
      <x:c r="F293" s="4" t="n">
        <x:f>IF($D$4="Ready",ROUND(E293*$D$6/12,2),"n.a.")</x:f>
        <x:v>0</x:v>
      </x:c>
      <x:c r="G293" s="4" t="n">
        <x:f>IF($D$4="Ready",IF(C293&gt;$D$7,0,IF(C293=$D$7,E293+F293,MIN($D$11,E293+F293))),"n.a.")</x:f>
        <x:v>0</x:v>
      </x:c>
      <x:c r="H293" s="4" t="n">
        <x:f>IF($D$4="Ready",MIN($D$8,MAX(0,E293+F293-G293)),"n.a.")</x:f>
        <x:v>0</x:v>
      </x:c>
      <x:c r="I293" s="4" t="n">
        <x:f>IF($D$4="Ready",ROUND(G293+H293,2),"n.a.")</x:f>
        <x:v>0</x:v>
      </x:c>
      <x:c r="J293" s="4" t="n">
        <x:f>IF($D$4="Ready",ROUND(I293-F293,2),"n.a.")</x:f>
        <x:v>0</x:v>
      </x:c>
      <x:c r="K293" s="4" t="n">
        <x:f>IF($D$4="Ready",MAX(0,ROUND(E293+F293-I293,2)),"n.a.")</x:f>
        <x:v>0</x:v>
      </x:c>
      <x:c r="L293" s="4"/>
    </x:row>
    <x:row r="294" ht="22" customHeight="1">
      <x:c r="A294" s="2"/>
      <x:c r="B294" s="2"/>
      <x:c r="C294" s="21" t="n">
        <x:f>278</x:f>
        <x:v>278</x:v>
      </x:c>
      <x:c r="D294" s="22" t="n">
        <x:f>IF($D$4="Ready",EDATE($D$9,C294-1),"n.a.")</x:f>
        <x:v>54758</x:v>
      </x:c>
      <x:c r="E294" s="4" t="n">
        <x:f>IF($D$4="Ready",K293,"n.a.")</x:f>
        <x:v>0</x:v>
      </x:c>
      <x:c r="F294" s="4" t="n">
        <x:f>IF($D$4="Ready",ROUND(E294*$D$6/12,2),"n.a.")</x:f>
        <x:v>0</x:v>
      </x:c>
      <x:c r="G294" s="4" t="n">
        <x:f>IF($D$4="Ready",IF(C294&gt;$D$7,0,IF(C294=$D$7,E294+F294,MIN($D$11,E294+F294))),"n.a.")</x:f>
        <x:v>0</x:v>
      </x:c>
      <x:c r="H294" s="4" t="n">
        <x:f>IF($D$4="Ready",MIN($D$8,MAX(0,E294+F294-G294)),"n.a.")</x:f>
        <x:v>0</x:v>
      </x:c>
      <x:c r="I294" s="4" t="n">
        <x:f>IF($D$4="Ready",ROUND(G294+H294,2),"n.a.")</x:f>
        <x:v>0</x:v>
      </x:c>
      <x:c r="J294" s="4" t="n">
        <x:f>IF($D$4="Ready",ROUND(I294-F294,2),"n.a.")</x:f>
        <x:v>0</x:v>
      </x:c>
      <x:c r="K294" s="4" t="n">
        <x:f>IF($D$4="Ready",MAX(0,ROUND(E294+F294-I294,2)),"n.a.")</x:f>
        <x:v>0</x:v>
      </x:c>
      <x:c r="L294" s="4"/>
    </x:row>
    <x:row r="295" ht="22" customHeight="1">
      <x:c r="A295" s="2"/>
      <x:c r="B295" s="2"/>
      <x:c r="C295" s="21" t="n">
        <x:f>279</x:f>
        <x:v>279</x:v>
      </x:c>
      <x:c r="D295" s="22" t="n">
        <x:f>IF($D$4="Ready",EDATE($D$9,C295-1),"n.a.")</x:f>
        <x:v>54789</x:v>
      </x:c>
      <x:c r="E295" s="4" t="n">
        <x:f>IF($D$4="Ready",K294,"n.a.")</x:f>
        <x:v>0</x:v>
      </x:c>
      <x:c r="F295" s="4" t="n">
        <x:f>IF($D$4="Ready",ROUND(E295*$D$6/12,2),"n.a.")</x:f>
        <x:v>0</x:v>
      </x:c>
      <x:c r="G295" s="4" t="n">
        <x:f>IF($D$4="Ready",IF(C295&gt;$D$7,0,IF(C295=$D$7,E295+F295,MIN($D$11,E295+F295))),"n.a.")</x:f>
        <x:v>0</x:v>
      </x:c>
      <x:c r="H295" s="4" t="n">
        <x:f>IF($D$4="Ready",MIN($D$8,MAX(0,E295+F295-G295)),"n.a.")</x:f>
        <x:v>0</x:v>
      </x:c>
      <x:c r="I295" s="4" t="n">
        <x:f>IF($D$4="Ready",ROUND(G295+H295,2),"n.a.")</x:f>
        <x:v>0</x:v>
      </x:c>
      <x:c r="J295" s="4" t="n">
        <x:f>IF($D$4="Ready",ROUND(I295-F295,2),"n.a.")</x:f>
        <x:v>0</x:v>
      </x:c>
      <x:c r="K295" s="4" t="n">
        <x:f>IF($D$4="Ready",MAX(0,ROUND(E295+F295-I295,2)),"n.a.")</x:f>
        <x:v>0</x:v>
      </x:c>
      <x:c r="L295" s="4"/>
    </x:row>
    <x:row r="296" ht="22" customHeight="1">
      <x:c r="A296" s="2"/>
      <x:c r="B296" s="2"/>
      <x:c r="C296" s="21" t="n">
        <x:f>280</x:f>
        <x:v>280</x:v>
      </x:c>
      <x:c r="D296" s="22" t="n">
        <x:f>IF($D$4="Ready",EDATE($D$9,C296-1),"n.a.")</x:f>
        <x:v>54820</x:v>
      </x:c>
      <x:c r="E296" s="4" t="n">
        <x:f>IF($D$4="Ready",K295,"n.a.")</x:f>
        <x:v>0</x:v>
      </x:c>
      <x:c r="F296" s="4" t="n">
        <x:f>IF($D$4="Ready",ROUND(E296*$D$6/12,2),"n.a.")</x:f>
        <x:v>0</x:v>
      </x:c>
      <x:c r="G296" s="4" t="n">
        <x:f>IF($D$4="Ready",IF(C296&gt;$D$7,0,IF(C296=$D$7,E296+F296,MIN($D$11,E296+F296))),"n.a.")</x:f>
        <x:v>0</x:v>
      </x:c>
      <x:c r="H296" s="4" t="n">
        <x:f>IF($D$4="Ready",MIN($D$8,MAX(0,E296+F296-G296)),"n.a.")</x:f>
        <x:v>0</x:v>
      </x:c>
      <x:c r="I296" s="4" t="n">
        <x:f>IF($D$4="Ready",ROUND(G296+H296,2),"n.a.")</x:f>
        <x:v>0</x:v>
      </x:c>
      <x:c r="J296" s="4" t="n">
        <x:f>IF($D$4="Ready",ROUND(I296-F296,2),"n.a.")</x:f>
        <x:v>0</x:v>
      </x:c>
      <x:c r="K296" s="4" t="n">
        <x:f>IF($D$4="Ready",MAX(0,ROUND(E296+F296-I296,2)),"n.a.")</x:f>
        <x:v>0</x:v>
      </x:c>
      <x:c r="L296" s="4"/>
    </x:row>
    <x:row r="297" ht="22" customHeight="1">
      <x:c r="A297" s="2"/>
      <x:c r="B297" s="2"/>
      <x:c r="C297" s="21" t="n">
        <x:f>281</x:f>
        <x:v>281</x:v>
      </x:c>
      <x:c r="D297" s="22" t="n">
        <x:f>IF($D$4="Ready",EDATE($D$9,C297-1),"n.a.")</x:f>
        <x:v>54848</x:v>
      </x:c>
      <x:c r="E297" s="4" t="n">
        <x:f>IF($D$4="Ready",K296,"n.a.")</x:f>
        <x:v>0</x:v>
      </x:c>
      <x:c r="F297" s="4" t="n">
        <x:f>IF($D$4="Ready",ROUND(E297*$D$6/12,2),"n.a.")</x:f>
        <x:v>0</x:v>
      </x:c>
      <x:c r="G297" s="4" t="n">
        <x:f>IF($D$4="Ready",IF(C297&gt;$D$7,0,IF(C297=$D$7,E297+F297,MIN($D$11,E297+F297))),"n.a.")</x:f>
        <x:v>0</x:v>
      </x:c>
      <x:c r="H297" s="4" t="n">
        <x:f>IF($D$4="Ready",MIN($D$8,MAX(0,E297+F297-G297)),"n.a.")</x:f>
        <x:v>0</x:v>
      </x:c>
      <x:c r="I297" s="4" t="n">
        <x:f>IF($D$4="Ready",ROUND(G297+H297,2),"n.a.")</x:f>
        <x:v>0</x:v>
      </x:c>
      <x:c r="J297" s="4" t="n">
        <x:f>IF($D$4="Ready",ROUND(I297-F297,2),"n.a.")</x:f>
        <x:v>0</x:v>
      </x:c>
      <x:c r="K297" s="4" t="n">
        <x:f>IF($D$4="Ready",MAX(0,ROUND(E297+F297-I297,2)),"n.a.")</x:f>
        <x:v>0</x:v>
      </x:c>
      <x:c r="L297" s="4"/>
    </x:row>
    <x:row r="298" ht="22" customHeight="1">
      <x:c r="A298" s="2"/>
      <x:c r="B298" s="2"/>
      <x:c r="C298" s="21" t="n">
        <x:f>282</x:f>
        <x:v>282</x:v>
      </x:c>
      <x:c r="D298" s="22" t="n">
        <x:f>IF($D$4="Ready",EDATE($D$9,C298-1),"n.a.")</x:f>
        <x:v>54879</x:v>
      </x:c>
      <x:c r="E298" s="4" t="n">
        <x:f>IF($D$4="Ready",K297,"n.a.")</x:f>
        <x:v>0</x:v>
      </x:c>
      <x:c r="F298" s="4" t="n">
        <x:f>IF($D$4="Ready",ROUND(E298*$D$6/12,2),"n.a.")</x:f>
        <x:v>0</x:v>
      </x:c>
      <x:c r="G298" s="4" t="n">
        <x:f>IF($D$4="Ready",IF(C298&gt;$D$7,0,IF(C298=$D$7,E298+F298,MIN($D$11,E298+F298))),"n.a.")</x:f>
        <x:v>0</x:v>
      </x:c>
      <x:c r="H298" s="4" t="n">
        <x:f>IF($D$4="Ready",MIN($D$8,MAX(0,E298+F298-G298)),"n.a.")</x:f>
        <x:v>0</x:v>
      </x:c>
      <x:c r="I298" s="4" t="n">
        <x:f>IF($D$4="Ready",ROUND(G298+H298,2),"n.a.")</x:f>
        <x:v>0</x:v>
      </x:c>
      <x:c r="J298" s="4" t="n">
        <x:f>IF($D$4="Ready",ROUND(I298-F298,2),"n.a.")</x:f>
        <x:v>0</x:v>
      </x:c>
      <x:c r="K298" s="4" t="n">
        <x:f>IF($D$4="Ready",MAX(0,ROUND(E298+F298-I298,2)),"n.a.")</x:f>
        <x:v>0</x:v>
      </x:c>
      <x:c r="L298" s="4"/>
    </x:row>
    <x:row r="299" ht="22" customHeight="1">
      <x:c r="A299" s="2"/>
      <x:c r="B299" s="2"/>
      <x:c r="C299" s="21" t="n">
        <x:f>283</x:f>
        <x:v>283</x:v>
      </x:c>
      <x:c r="D299" s="22" t="n">
        <x:f>IF($D$4="Ready",EDATE($D$9,C299-1),"n.a.")</x:f>
        <x:v>54909</x:v>
      </x:c>
      <x:c r="E299" s="4" t="n">
        <x:f>IF($D$4="Ready",K298,"n.a.")</x:f>
        <x:v>0</x:v>
      </x:c>
      <x:c r="F299" s="4" t="n">
        <x:f>IF($D$4="Ready",ROUND(E299*$D$6/12,2),"n.a.")</x:f>
        <x:v>0</x:v>
      </x:c>
      <x:c r="G299" s="4" t="n">
        <x:f>IF($D$4="Ready",IF(C299&gt;$D$7,0,IF(C299=$D$7,E299+F299,MIN($D$11,E299+F299))),"n.a.")</x:f>
        <x:v>0</x:v>
      </x:c>
      <x:c r="H299" s="4" t="n">
        <x:f>IF($D$4="Ready",MIN($D$8,MAX(0,E299+F299-G299)),"n.a.")</x:f>
        <x:v>0</x:v>
      </x:c>
      <x:c r="I299" s="4" t="n">
        <x:f>IF($D$4="Ready",ROUND(G299+H299,2),"n.a.")</x:f>
        <x:v>0</x:v>
      </x:c>
      <x:c r="J299" s="4" t="n">
        <x:f>IF($D$4="Ready",ROUND(I299-F299,2),"n.a.")</x:f>
        <x:v>0</x:v>
      </x:c>
      <x:c r="K299" s="4" t="n">
        <x:f>IF($D$4="Ready",MAX(0,ROUND(E299+F299-I299,2)),"n.a.")</x:f>
        <x:v>0</x:v>
      </x:c>
      <x:c r="L299" s="4"/>
    </x:row>
    <x:row r="300" ht="22" customHeight="1">
      <x:c r="A300" s="2"/>
      <x:c r="B300" s="2"/>
      <x:c r="C300" s="21" t="n">
        <x:f>284</x:f>
        <x:v>284</x:v>
      </x:c>
      <x:c r="D300" s="22" t="n">
        <x:f>IF($D$4="Ready",EDATE($D$9,C300-1),"n.a.")</x:f>
        <x:v>54940</x:v>
      </x:c>
      <x:c r="E300" s="4" t="n">
        <x:f>IF($D$4="Ready",K299,"n.a.")</x:f>
        <x:v>0</x:v>
      </x:c>
      <x:c r="F300" s="4" t="n">
        <x:f>IF($D$4="Ready",ROUND(E300*$D$6/12,2),"n.a.")</x:f>
        <x:v>0</x:v>
      </x:c>
      <x:c r="G300" s="4" t="n">
        <x:f>IF($D$4="Ready",IF(C300&gt;$D$7,0,IF(C300=$D$7,E300+F300,MIN($D$11,E300+F300))),"n.a.")</x:f>
        <x:v>0</x:v>
      </x:c>
      <x:c r="H300" s="4" t="n">
        <x:f>IF($D$4="Ready",MIN($D$8,MAX(0,E300+F300-G300)),"n.a.")</x:f>
        <x:v>0</x:v>
      </x:c>
      <x:c r="I300" s="4" t="n">
        <x:f>IF($D$4="Ready",ROUND(G300+H300,2),"n.a.")</x:f>
        <x:v>0</x:v>
      </x:c>
      <x:c r="J300" s="4" t="n">
        <x:f>IF($D$4="Ready",ROUND(I300-F300,2),"n.a.")</x:f>
        <x:v>0</x:v>
      </x:c>
      <x:c r="K300" s="4" t="n">
        <x:f>IF($D$4="Ready",MAX(0,ROUND(E300+F300-I300,2)),"n.a.")</x:f>
        <x:v>0</x:v>
      </x:c>
      <x:c r="L300" s="4"/>
    </x:row>
    <x:row r="301" ht="22" customHeight="1">
      <x:c r="A301" s="2"/>
      <x:c r="B301" s="2"/>
      <x:c r="C301" s="21" t="n">
        <x:f>285</x:f>
        <x:v>285</x:v>
      </x:c>
      <x:c r="D301" s="22" t="n">
        <x:f>IF($D$4="Ready",EDATE($D$9,C301-1),"n.a.")</x:f>
        <x:v>54970</x:v>
      </x:c>
      <x:c r="E301" s="4" t="n">
        <x:f>IF($D$4="Ready",K300,"n.a.")</x:f>
        <x:v>0</x:v>
      </x:c>
      <x:c r="F301" s="4" t="n">
        <x:f>IF($D$4="Ready",ROUND(E301*$D$6/12,2),"n.a.")</x:f>
        <x:v>0</x:v>
      </x:c>
      <x:c r="G301" s="4" t="n">
        <x:f>IF($D$4="Ready",IF(C301&gt;$D$7,0,IF(C301=$D$7,E301+F301,MIN($D$11,E301+F301))),"n.a.")</x:f>
        <x:v>0</x:v>
      </x:c>
      <x:c r="H301" s="4" t="n">
        <x:f>IF($D$4="Ready",MIN($D$8,MAX(0,E301+F301-G301)),"n.a.")</x:f>
        <x:v>0</x:v>
      </x:c>
      <x:c r="I301" s="4" t="n">
        <x:f>IF($D$4="Ready",ROUND(G301+H301,2),"n.a.")</x:f>
        <x:v>0</x:v>
      </x:c>
      <x:c r="J301" s="4" t="n">
        <x:f>IF($D$4="Ready",ROUND(I301-F301,2),"n.a.")</x:f>
        <x:v>0</x:v>
      </x:c>
      <x:c r="K301" s="4" t="n">
        <x:f>IF($D$4="Ready",MAX(0,ROUND(E301+F301-I301,2)),"n.a.")</x:f>
        <x:v>0</x:v>
      </x:c>
      <x:c r="L301" s="4"/>
    </x:row>
    <x:row r="302" ht="22" customHeight="1">
      <x:c r="A302" s="2"/>
      <x:c r="B302" s="2"/>
      <x:c r="C302" s="21" t="n">
        <x:f>286</x:f>
        <x:v>286</x:v>
      </x:c>
      <x:c r="D302" s="22" t="n">
        <x:f>IF($D$4="Ready",EDATE($D$9,C302-1),"n.a.")</x:f>
        <x:v>55001</x:v>
      </x:c>
      <x:c r="E302" s="4" t="n">
        <x:f>IF($D$4="Ready",K301,"n.a.")</x:f>
        <x:v>0</x:v>
      </x:c>
      <x:c r="F302" s="4" t="n">
        <x:f>IF($D$4="Ready",ROUND(E302*$D$6/12,2),"n.a.")</x:f>
        <x:v>0</x:v>
      </x:c>
      <x:c r="G302" s="4" t="n">
        <x:f>IF($D$4="Ready",IF(C302&gt;$D$7,0,IF(C302=$D$7,E302+F302,MIN($D$11,E302+F302))),"n.a.")</x:f>
        <x:v>0</x:v>
      </x:c>
      <x:c r="H302" s="4" t="n">
        <x:f>IF($D$4="Ready",MIN($D$8,MAX(0,E302+F302-G302)),"n.a.")</x:f>
        <x:v>0</x:v>
      </x:c>
      <x:c r="I302" s="4" t="n">
        <x:f>IF($D$4="Ready",ROUND(G302+H302,2),"n.a.")</x:f>
        <x:v>0</x:v>
      </x:c>
      <x:c r="J302" s="4" t="n">
        <x:f>IF($D$4="Ready",ROUND(I302-F302,2),"n.a.")</x:f>
        <x:v>0</x:v>
      </x:c>
      <x:c r="K302" s="4" t="n">
        <x:f>IF($D$4="Ready",MAX(0,ROUND(E302+F302-I302,2)),"n.a.")</x:f>
        <x:v>0</x:v>
      </x:c>
      <x:c r="L302" s="4"/>
    </x:row>
    <x:row r="303" ht="22" customHeight="1">
      <x:c r="A303" s="2"/>
      <x:c r="B303" s="2"/>
      <x:c r="C303" s="21" t="n">
        <x:f>287</x:f>
        <x:v>287</x:v>
      </x:c>
      <x:c r="D303" s="22" t="n">
        <x:f>IF($D$4="Ready",EDATE($D$9,C303-1),"n.a.")</x:f>
        <x:v>55032</x:v>
      </x:c>
      <x:c r="E303" s="4" t="n">
        <x:f>IF($D$4="Ready",K302,"n.a.")</x:f>
        <x:v>0</x:v>
      </x:c>
      <x:c r="F303" s="4" t="n">
        <x:f>IF($D$4="Ready",ROUND(E303*$D$6/12,2),"n.a.")</x:f>
        <x:v>0</x:v>
      </x:c>
      <x:c r="G303" s="4" t="n">
        <x:f>IF($D$4="Ready",IF(C303&gt;$D$7,0,IF(C303=$D$7,E303+F303,MIN($D$11,E303+F303))),"n.a.")</x:f>
        <x:v>0</x:v>
      </x:c>
      <x:c r="H303" s="4" t="n">
        <x:f>IF($D$4="Ready",MIN($D$8,MAX(0,E303+F303-G303)),"n.a.")</x:f>
        <x:v>0</x:v>
      </x:c>
      <x:c r="I303" s="4" t="n">
        <x:f>IF($D$4="Ready",ROUND(G303+H303,2),"n.a.")</x:f>
        <x:v>0</x:v>
      </x:c>
      <x:c r="J303" s="4" t="n">
        <x:f>IF($D$4="Ready",ROUND(I303-F303,2),"n.a.")</x:f>
        <x:v>0</x:v>
      </x:c>
      <x:c r="K303" s="4" t="n">
        <x:f>IF($D$4="Ready",MAX(0,ROUND(E303+F303-I303,2)),"n.a.")</x:f>
        <x:v>0</x:v>
      </x:c>
      <x:c r="L303" s="4"/>
    </x:row>
    <x:row r="304" ht="22" customHeight="1">
      <x:c r="A304" s="2"/>
      <x:c r="B304" s="2"/>
      <x:c r="C304" s="21" t="n">
        <x:f>288</x:f>
        <x:v>288</x:v>
      </x:c>
      <x:c r="D304" s="22" t="n">
        <x:f>IF($D$4="Ready",EDATE($D$9,C304-1),"n.a.")</x:f>
        <x:v>55062</x:v>
      </x:c>
      <x:c r="E304" s="4" t="n">
        <x:f>IF($D$4="Ready",K303,"n.a.")</x:f>
        <x:v>0</x:v>
      </x:c>
      <x:c r="F304" s="4" t="n">
        <x:f>IF($D$4="Ready",ROUND(E304*$D$6/12,2),"n.a.")</x:f>
        <x:v>0</x:v>
      </x:c>
      <x:c r="G304" s="4" t="n">
        <x:f>IF($D$4="Ready",IF(C304&gt;$D$7,0,IF(C304=$D$7,E304+F304,MIN($D$11,E304+F304))),"n.a.")</x:f>
        <x:v>0</x:v>
      </x:c>
      <x:c r="H304" s="4" t="n">
        <x:f>IF($D$4="Ready",MIN($D$8,MAX(0,E304+F304-G304)),"n.a.")</x:f>
        <x:v>0</x:v>
      </x:c>
      <x:c r="I304" s="4" t="n">
        <x:f>IF($D$4="Ready",ROUND(G304+H304,2),"n.a.")</x:f>
        <x:v>0</x:v>
      </x:c>
      <x:c r="J304" s="4" t="n">
        <x:f>IF($D$4="Ready",ROUND(I304-F304,2),"n.a.")</x:f>
        <x:v>0</x:v>
      </x:c>
      <x:c r="K304" s="4" t="n">
        <x:f>IF($D$4="Ready",MAX(0,ROUND(E304+F304-I304,2)),"n.a.")</x:f>
        <x:v>0</x:v>
      </x:c>
      <x:c r="L304" s="4"/>
    </x:row>
    <x:row r="305" ht="22" customHeight="1">
      <x:c r="A305" s="2"/>
      <x:c r="B305" s="2"/>
      <x:c r="C305" s="21" t="n">
        <x:f>289</x:f>
        <x:v>289</x:v>
      </x:c>
      <x:c r="D305" s="22" t="n">
        <x:f>IF($D$4="Ready",EDATE($D$9,C305-1),"n.a.")</x:f>
        <x:v>55093</x:v>
      </x:c>
      <x:c r="E305" s="4" t="n">
        <x:f>IF($D$4="Ready",K304,"n.a.")</x:f>
        <x:v>0</x:v>
      </x:c>
      <x:c r="F305" s="4" t="n">
        <x:f>IF($D$4="Ready",ROUND(E305*$D$6/12,2),"n.a.")</x:f>
        <x:v>0</x:v>
      </x:c>
      <x:c r="G305" s="4" t="n">
        <x:f>IF($D$4="Ready",IF(C305&gt;$D$7,0,IF(C305=$D$7,E305+F305,MIN($D$11,E305+F305))),"n.a.")</x:f>
        <x:v>0</x:v>
      </x:c>
      <x:c r="H305" s="4" t="n">
        <x:f>IF($D$4="Ready",MIN($D$8,MAX(0,E305+F305-G305)),"n.a.")</x:f>
        <x:v>0</x:v>
      </x:c>
      <x:c r="I305" s="4" t="n">
        <x:f>IF($D$4="Ready",ROUND(G305+H305,2),"n.a.")</x:f>
        <x:v>0</x:v>
      </x:c>
      <x:c r="J305" s="4" t="n">
        <x:f>IF($D$4="Ready",ROUND(I305-F305,2),"n.a.")</x:f>
        <x:v>0</x:v>
      </x:c>
      <x:c r="K305" s="4" t="n">
        <x:f>IF($D$4="Ready",MAX(0,ROUND(E305+F305-I305,2)),"n.a.")</x:f>
        <x:v>0</x:v>
      </x:c>
      <x:c r="L305" s="4"/>
    </x:row>
    <x:row r="306" ht="22" customHeight="1">
      <x:c r="A306" s="2"/>
      <x:c r="B306" s="2"/>
      <x:c r="C306" s="21" t="n">
        <x:f>290</x:f>
        <x:v>290</x:v>
      </x:c>
      <x:c r="D306" s="22" t="n">
        <x:f>IF($D$4="Ready",EDATE($D$9,C306-1),"n.a.")</x:f>
        <x:v>55123</x:v>
      </x:c>
      <x:c r="E306" s="4" t="n">
        <x:f>IF($D$4="Ready",K305,"n.a.")</x:f>
        <x:v>0</x:v>
      </x:c>
      <x:c r="F306" s="4" t="n">
        <x:f>IF($D$4="Ready",ROUND(E306*$D$6/12,2),"n.a.")</x:f>
        <x:v>0</x:v>
      </x:c>
      <x:c r="G306" s="4" t="n">
        <x:f>IF($D$4="Ready",IF(C306&gt;$D$7,0,IF(C306=$D$7,E306+F306,MIN($D$11,E306+F306))),"n.a.")</x:f>
        <x:v>0</x:v>
      </x:c>
      <x:c r="H306" s="4" t="n">
        <x:f>IF($D$4="Ready",MIN($D$8,MAX(0,E306+F306-G306)),"n.a.")</x:f>
        <x:v>0</x:v>
      </x:c>
      <x:c r="I306" s="4" t="n">
        <x:f>IF($D$4="Ready",ROUND(G306+H306,2),"n.a.")</x:f>
        <x:v>0</x:v>
      </x:c>
      <x:c r="J306" s="4" t="n">
        <x:f>IF($D$4="Ready",ROUND(I306-F306,2),"n.a.")</x:f>
        <x:v>0</x:v>
      </x:c>
      <x:c r="K306" s="4" t="n">
        <x:f>IF($D$4="Ready",MAX(0,ROUND(E306+F306-I306,2)),"n.a.")</x:f>
        <x:v>0</x:v>
      </x:c>
      <x:c r="L306" s="4"/>
    </x:row>
    <x:row r="307" ht="22" customHeight="1">
      <x:c r="A307" s="2"/>
      <x:c r="B307" s="2"/>
      <x:c r="C307" s="21" t="n">
        <x:f>291</x:f>
        <x:v>291</x:v>
      </x:c>
      <x:c r="D307" s="22" t="n">
        <x:f>IF($D$4="Ready",EDATE($D$9,C307-1),"n.a.")</x:f>
        <x:v>55154</x:v>
      </x:c>
      <x:c r="E307" s="4" t="n">
        <x:f>IF($D$4="Ready",K306,"n.a.")</x:f>
        <x:v>0</x:v>
      </x:c>
      <x:c r="F307" s="4" t="n">
        <x:f>IF($D$4="Ready",ROUND(E307*$D$6/12,2),"n.a.")</x:f>
        <x:v>0</x:v>
      </x:c>
      <x:c r="G307" s="4" t="n">
        <x:f>IF($D$4="Ready",IF(C307&gt;$D$7,0,IF(C307=$D$7,E307+F307,MIN($D$11,E307+F307))),"n.a.")</x:f>
        <x:v>0</x:v>
      </x:c>
      <x:c r="H307" s="4" t="n">
        <x:f>IF($D$4="Ready",MIN($D$8,MAX(0,E307+F307-G307)),"n.a.")</x:f>
        <x:v>0</x:v>
      </x:c>
      <x:c r="I307" s="4" t="n">
        <x:f>IF($D$4="Ready",ROUND(G307+H307,2),"n.a.")</x:f>
        <x:v>0</x:v>
      </x:c>
      <x:c r="J307" s="4" t="n">
        <x:f>IF($D$4="Ready",ROUND(I307-F307,2),"n.a.")</x:f>
        <x:v>0</x:v>
      </x:c>
      <x:c r="K307" s="4" t="n">
        <x:f>IF($D$4="Ready",MAX(0,ROUND(E307+F307-I307,2)),"n.a.")</x:f>
        <x:v>0</x:v>
      </x:c>
      <x:c r="L307" s="4"/>
    </x:row>
    <x:row r="308" ht="22" customHeight="1">
      <x:c r="A308" s="2"/>
      <x:c r="B308" s="2"/>
      <x:c r="C308" s="21" t="n">
        <x:f>292</x:f>
        <x:v>292</x:v>
      </x:c>
      <x:c r="D308" s="22" t="n">
        <x:f>IF($D$4="Ready",EDATE($D$9,C308-1),"n.a.")</x:f>
        <x:v>55185</x:v>
      </x:c>
      <x:c r="E308" s="4" t="n">
        <x:f>IF($D$4="Ready",K307,"n.a.")</x:f>
        <x:v>0</x:v>
      </x:c>
      <x:c r="F308" s="4" t="n">
        <x:f>IF($D$4="Ready",ROUND(E308*$D$6/12,2),"n.a.")</x:f>
        <x:v>0</x:v>
      </x:c>
      <x:c r="G308" s="4" t="n">
        <x:f>IF($D$4="Ready",IF(C308&gt;$D$7,0,IF(C308=$D$7,E308+F308,MIN($D$11,E308+F308))),"n.a.")</x:f>
        <x:v>0</x:v>
      </x:c>
      <x:c r="H308" s="4" t="n">
        <x:f>IF($D$4="Ready",MIN($D$8,MAX(0,E308+F308-G308)),"n.a.")</x:f>
        <x:v>0</x:v>
      </x:c>
      <x:c r="I308" s="4" t="n">
        <x:f>IF($D$4="Ready",ROUND(G308+H308,2),"n.a.")</x:f>
        <x:v>0</x:v>
      </x:c>
      <x:c r="J308" s="4" t="n">
        <x:f>IF($D$4="Ready",ROUND(I308-F308,2),"n.a.")</x:f>
        <x:v>0</x:v>
      </x:c>
      <x:c r="K308" s="4" t="n">
        <x:f>IF($D$4="Ready",MAX(0,ROUND(E308+F308-I308,2)),"n.a.")</x:f>
        <x:v>0</x:v>
      </x:c>
      <x:c r="L308" s="4"/>
    </x:row>
    <x:row r="309" ht="22" customHeight="1">
      <x:c r="A309" s="2"/>
      <x:c r="B309" s="2"/>
      <x:c r="C309" s="21" t="n">
        <x:f>293</x:f>
        <x:v>293</x:v>
      </x:c>
      <x:c r="D309" s="22" t="n">
        <x:f>IF($D$4="Ready",EDATE($D$9,C309-1),"n.a.")</x:f>
        <x:v>55213</x:v>
      </x:c>
      <x:c r="E309" s="4" t="n">
        <x:f>IF($D$4="Ready",K308,"n.a.")</x:f>
        <x:v>0</x:v>
      </x:c>
      <x:c r="F309" s="4" t="n">
        <x:f>IF($D$4="Ready",ROUND(E309*$D$6/12,2),"n.a.")</x:f>
        <x:v>0</x:v>
      </x:c>
      <x:c r="G309" s="4" t="n">
        <x:f>IF($D$4="Ready",IF(C309&gt;$D$7,0,IF(C309=$D$7,E309+F309,MIN($D$11,E309+F309))),"n.a.")</x:f>
        <x:v>0</x:v>
      </x:c>
      <x:c r="H309" s="4" t="n">
        <x:f>IF($D$4="Ready",MIN($D$8,MAX(0,E309+F309-G309)),"n.a.")</x:f>
        <x:v>0</x:v>
      </x:c>
      <x:c r="I309" s="4" t="n">
        <x:f>IF($D$4="Ready",ROUND(G309+H309,2),"n.a.")</x:f>
        <x:v>0</x:v>
      </x:c>
      <x:c r="J309" s="4" t="n">
        <x:f>IF($D$4="Ready",ROUND(I309-F309,2),"n.a.")</x:f>
        <x:v>0</x:v>
      </x:c>
      <x:c r="K309" s="4" t="n">
        <x:f>IF($D$4="Ready",MAX(0,ROUND(E309+F309-I309,2)),"n.a.")</x:f>
        <x:v>0</x:v>
      </x:c>
      <x:c r="L309" s="4"/>
    </x:row>
    <x:row r="310" ht="22" customHeight="1">
      <x:c r="A310" s="2"/>
      <x:c r="B310" s="2"/>
      <x:c r="C310" s="21" t="n">
        <x:f>294</x:f>
        <x:v>294</x:v>
      </x:c>
      <x:c r="D310" s="22" t="n">
        <x:f>IF($D$4="Ready",EDATE($D$9,C310-1),"n.a.")</x:f>
        <x:v>55244</x:v>
      </x:c>
      <x:c r="E310" s="4" t="n">
        <x:f>IF($D$4="Ready",K309,"n.a.")</x:f>
        <x:v>0</x:v>
      </x:c>
      <x:c r="F310" s="4" t="n">
        <x:f>IF($D$4="Ready",ROUND(E310*$D$6/12,2),"n.a.")</x:f>
        <x:v>0</x:v>
      </x:c>
      <x:c r="G310" s="4" t="n">
        <x:f>IF($D$4="Ready",IF(C310&gt;$D$7,0,IF(C310=$D$7,E310+F310,MIN($D$11,E310+F310))),"n.a.")</x:f>
        <x:v>0</x:v>
      </x:c>
      <x:c r="H310" s="4" t="n">
        <x:f>IF($D$4="Ready",MIN($D$8,MAX(0,E310+F310-G310)),"n.a.")</x:f>
        <x:v>0</x:v>
      </x:c>
      <x:c r="I310" s="4" t="n">
        <x:f>IF($D$4="Ready",ROUND(G310+H310,2),"n.a.")</x:f>
        <x:v>0</x:v>
      </x:c>
      <x:c r="J310" s="4" t="n">
        <x:f>IF($D$4="Ready",ROUND(I310-F310,2),"n.a.")</x:f>
        <x:v>0</x:v>
      </x:c>
      <x:c r="K310" s="4" t="n">
        <x:f>IF($D$4="Ready",MAX(0,ROUND(E310+F310-I310,2)),"n.a.")</x:f>
        <x:v>0</x:v>
      </x:c>
      <x:c r="L310" s="4"/>
    </x:row>
    <x:row r="311" ht="22" customHeight="1">
      <x:c r="A311" s="2"/>
      <x:c r="B311" s="2"/>
      <x:c r="C311" s="21" t="n">
        <x:f>295</x:f>
        <x:v>295</x:v>
      </x:c>
      <x:c r="D311" s="22" t="n">
        <x:f>IF($D$4="Ready",EDATE($D$9,C311-1),"n.a.")</x:f>
        <x:v>55274</x:v>
      </x:c>
      <x:c r="E311" s="4" t="n">
        <x:f>IF($D$4="Ready",K310,"n.a.")</x:f>
        <x:v>0</x:v>
      </x:c>
      <x:c r="F311" s="4" t="n">
        <x:f>IF($D$4="Ready",ROUND(E311*$D$6/12,2),"n.a.")</x:f>
        <x:v>0</x:v>
      </x:c>
      <x:c r="G311" s="4" t="n">
        <x:f>IF($D$4="Ready",IF(C311&gt;$D$7,0,IF(C311=$D$7,E311+F311,MIN($D$11,E311+F311))),"n.a.")</x:f>
        <x:v>0</x:v>
      </x:c>
      <x:c r="H311" s="4" t="n">
        <x:f>IF($D$4="Ready",MIN($D$8,MAX(0,E311+F311-G311)),"n.a.")</x:f>
        <x:v>0</x:v>
      </x:c>
      <x:c r="I311" s="4" t="n">
        <x:f>IF($D$4="Ready",ROUND(G311+H311,2),"n.a.")</x:f>
        <x:v>0</x:v>
      </x:c>
      <x:c r="J311" s="4" t="n">
        <x:f>IF($D$4="Ready",ROUND(I311-F311,2),"n.a.")</x:f>
        <x:v>0</x:v>
      </x:c>
      <x:c r="K311" s="4" t="n">
        <x:f>IF($D$4="Ready",MAX(0,ROUND(E311+F311-I311,2)),"n.a.")</x:f>
        <x:v>0</x:v>
      </x:c>
      <x:c r="L311" s="4"/>
    </x:row>
    <x:row r="312" ht="22" customHeight="1">
      <x:c r="A312" s="2"/>
      <x:c r="B312" s="2"/>
      <x:c r="C312" s="21" t="n">
        <x:f>296</x:f>
        <x:v>296</x:v>
      </x:c>
      <x:c r="D312" s="22" t="n">
        <x:f>IF($D$4="Ready",EDATE($D$9,C312-1),"n.a.")</x:f>
        <x:v>55305</x:v>
      </x:c>
      <x:c r="E312" s="4" t="n">
        <x:f>IF($D$4="Ready",K311,"n.a.")</x:f>
        <x:v>0</x:v>
      </x:c>
      <x:c r="F312" s="4" t="n">
        <x:f>IF($D$4="Ready",ROUND(E312*$D$6/12,2),"n.a.")</x:f>
        <x:v>0</x:v>
      </x:c>
      <x:c r="G312" s="4" t="n">
        <x:f>IF($D$4="Ready",IF(C312&gt;$D$7,0,IF(C312=$D$7,E312+F312,MIN($D$11,E312+F312))),"n.a.")</x:f>
        <x:v>0</x:v>
      </x:c>
      <x:c r="H312" s="4" t="n">
        <x:f>IF($D$4="Ready",MIN($D$8,MAX(0,E312+F312-G312)),"n.a.")</x:f>
        <x:v>0</x:v>
      </x:c>
      <x:c r="I312" s="4" t="n">
        <x:f>IF($D$4="Ready",ROUND(G312+H312,2),"n.a.")</x:f>
        <x:v>0</x:v>
      </x:c>
      <x:c r="J312" s="4" t="n">
        <x:f>IF($D$4="Ready",ROUND(I312-F312,2),"n.a.")</x:f>
        <x:v>0</x:v>
      </x:c>
      <x:c r="K312" s="4" t="n">
        <x:f>IF($D$4="Ready",MAX(0,ROUND(E312+F312-I312,2)),"n.a.")</x:f>
        <x:v>0</x:v>
      </x:c>
      <x:c r="L312" s="4"/>
    </x:row>
    <x:row r="313" ht="22" customHeight="1">
      <x:c r="A313" s="2"/>
      <x:c r="B313" s="2"/>
      <x:c r="C313" s="21" t="n">
        <x:f>297</x:f>
        <x:v>297</x:v>
      </x:c>
      <x:c r="D313" s="22" t="n">
        <x:f>IF($D$4="Ready",EDATE($D$9,C313-1),"n.a.")</x:f>
        <x:v>55335</x:v>
      </x:c>
      <x:c r="E313" s="4" t="n">
        <x:f>IF($D$4="Ready",K312,"n.a.")</x:f>
        <x:v>0</x:v>
      </x:c>
      <x:c r="F313" s="4" t="n">
        <x:f>IF($D$4="Ready",ROUND(E313*$D$6/12,2),"n.a.")</x:f>
        <x:v>0</x:v>
      </x:c>
      <x:c r="G313" s="4" t="n">
        <x:f>IF($D$4="Ready",IF(C313&gt;$D$7,0,IF(C313=$D$7,E313+F313,MIN($D$11,E313+F313))),"n.a.")</x:f>
        <x:v>0</x:v>
      </x:c>
      <x:c r="H313" s="4" t="n">
        <x:f>IF($D$4="Ready",MIN($D$8,MAX(0,E313+F313-G313)),"n.a.")</x:f>
        <x:v>0</x:v>
      </x:c>
      <x:c r="I313" s="4" t="n">
        <x:f>IF($D$4="Ready",ROUND(G313+H313,2),"n.a.")</x:f>
        <x:v>0</x:v>
      </x:c>
      <x:c r="J313" s="4" t="n">
        <x:f>IF($D$4="Ready",ROUND(I313-F313,2),"n.a.")</x:f>
        <x:v>0</x:v>
      </x:c>
      <x:c r="K313" s="4" t="n">
        <x:f>IF($D$4="Ready",MAX(0,ROUND(E313+F313-I313,2)),"n.a.")</x:f>
        <x:v>0</x:v>
      </x:c>
      <x:c r="L313" s="4"/>
    </x:row>
    <x:row r="314" ht="22" customHeight="1">
      <x:c r="A314" s="2"/>
      <x:c r="B314" s="2"/>
      <x:c r="C314" s="21" t="n">
        <x:f>298</x:f>
        <x:v>298</x:v>
      </x:c>
      <x:c r="D314" s="22" t="n">
        <x:f>IF($D$4="Ready",EDATE($D$9,C314-1),"n.a.")</x:f>
        <x:v>55366</x:v>
      </x:c>
      <x:c r="E314" s="4" t="n">
        <x:f>IF($D$4="Ready",K313,"n.a.")</x:f>
        <x:v>0</x:v>
      </x:c>
      <x:c r="F314" s="4" t="n">
        <x:f>IF($D$4="Ready",ROUND(E314*$D$6/12,2),"n.a.")</x:f>
        <x:v>0</x:v>
      </x:c>
      <x:c r="G314" s="4" t="n">
        <x:f>IF($D$4="Ready",IF(C314&gt;$D$7,0,IF(C314=$D$7,E314+F314,MIN($D$11,E314+F314))),"n.a.")</x:f>
        <x:v>0</x:v>
      </x:c>
      <x:c r="H314" s="4" t="n">
        <x:f>IF($D$4="Ready",MIN($D$8,MAX(0,E314+F314-G314)),"n.a.")</x:f>
        <x:v>0</x:v>
      </x:c>
      <x:c r="I314" s="4" t="n">
        <x:f>IF($D$4="Ready",ROUND(G314+H314,2),"n.a.")</x:f>
        <x:v>0</x:v>
      </x:c>
      <x:c r="J314" s="4" t="n">
        <x:f>IF($D$4="Ready",ROUND(I314-F314,2),"n.a.")</x:f>
        <x:v>0</x:v>
      </x:c>
      <x:c r="K314" s="4" t="n">
        <x:f>IF($D$4="Ready",MAX(0,ROUND(E314+F314-I314,2)),"n.a.")</x:f>
        <x:v>0</x:v>
      </x:c>
      <x:c r="L314" s="4"/>
    </x:row>
    <x:row r="315" ht="22" customHeight="1">
      <x:c r="A315" s="2"/>
      <x:c r="B315" s="2"/>
      <x:c r="C315" s="21" t="n">
        <x:f>299</x:f>
        <x:v>299</x:v>
      </x:c>
      <x:c r="D315" s="22" t="n">
        <x:f>IF($D$4="Ready",EDATE($D$9,C315-1),"n.a.")</x:f>
        <x:v>55397</x:v>
      </x:c>
      <x:c r="E315" s="4" t="n">
        <x:f>IF($D$4="Ready",K314,"n.a.")</x:f>
        <x:v>0</x:v>
      </x:c>
      <x:c r="F315" s="4" t="n">
        <x:f>IF($D$4="Ready",ROUND(E315*$D$6/12,2),"n.a.")</x:f>
        <x:v>0</x:v>
      </x:c>
      <x:c r="G315" s="4" t="n">
        <x:f>IF($D$4="Ready",IF(C315&gt;$D$7,0,IF(C315=$D$7,E315+F315,MIN($D$11,E315+F315))),"n.a.")</x:f>
        <x:v>0</x:v>
      </x:c>
      <x:c r="H315" s="4" t="n">
        <x:f>IF($D$4="Ready",MIN($D$8,MAX(0,E315+F315-G315)),"n.a.")</x:f>
        <x:v>0</x:v>
      </x:c>
      <x:c r="I315" s="4" t="n">
        <x:f>IF($D$4="Ready",ROUND(G315+H315,2),"n.a.")</x:f>
        <x:v>0</x:v>
      </x:c>
      <x:c r="J315" s="4" t="n">
        <x:f>IF($D$4="Ready",ROUND(I315-F315,2),"n.a.")</x:f>
        <x:v>0</x:v>
      </x:c>
      <x:c r="K315" s="4" t="n">
        <x:f>IF($D$4="Ready",MAX(0,ROUND(E315+F315-I315,2)),"n.a.")</x:f>
        <x:v>0</x:v>
      </x:c>
      <x:c r="L315" s="4"/>
    </x:row>
    <x:row r="316" ht="22" customHeight="1">
      <x:c r="A316" s="2"/>
      <x:c r="B316" s="2"/>
      <x:c r="C316" s="21" t="n">
        <x:f>300</x:f>
        <x:v>300</x:v>
      </x:c>
      <x:c r="D316" s="22" t="n">
        <x:f>IF($D$4="Ready",EDATE($D$9,C316-1),"n.a.")</x:f>
        <x:v>55427</x:v>
      </x:c>
      <x:c r="E316" s="4" t="n">
        <x:f>IF($D$4="Ready",K315,"n.a.")</x:f>
        <x:v>0</x:v>
      </x:c>
      <x:c r="F316" s="4" t="n">
        <x:f>IF($D$4="Ready",ROUND(E316*$D$6/12,2),"n.a.")</x:f>
        <x:v>0</x:v>
      </x:c>
      <x:c r="G316" s="4" t="n">
        <x:f>IF($D$4="Ready",IF(C316&gt;$D$7,0,IF(C316=$D$7,E316+F316,MIN($D$11,E316+F316))),"n.a.")</x:f>
        <x:v>0</x:v>
      </x:c>
      <x:c r="H316" s="4" t="n">
        <x:f>IF($D$4="Ready",MIN($D$8,MAX(0,E316+F316-G316)),"n.a.")</x:f>
        <x:v>0</x:v>
      </x:c>
      <x:c r="I316" s="4" t="n">
        <x:f>IF($D$4="Ready",ROUND(G316+H316,2),"n.a.")</x:f>
        <x:v>0</x:v>
      </x:c>
      <x:c r="J316" s="4" t="n">
        <x:f>IF($D$4="Ready",ROUND(I316-F316,2),"n.a.")</x:f>
        <x:v>0</x:v>
      </x:c>
      <x:c r="K316" s="4" t="n">
        <x:f>IF($D$4="Ready",MAX(0,ROUND(E316+F316-I316,2)),"n.a.")</x:f>
        <x:v>0</x:v>
      </x:c>
      <x:c r="L316" s="4"/>
    </x:row>
    <x:row r="317" ht="22" customHeight="1">
      <x:c r="A317" s="2"/>
      <x:c r="B317" s="2"/>
      <x:c r="C317" s="21" t="n">
        <x:f>301</x:f>
        <x:v>301</x:v>
      </x:c>
      <x:c r="D317" s="22" t="n">
        <x:f>IF($D$4="Ready",EDATE($D$9,C317-1),"n.a.")</x:f>
        <x:v>55458</x:v>
      </x:c>
      <x:c r="E317" s="4" t="n">
        <x:f>IF($D$4="Ready",K316,"n.a.")</x:f>
        <x:v>0</x:v>
      </x:c>
      <x:c r="F317" s="4" t="n">
        <x:f>IF($D$4="Ready",ROUND(E317*$D$6/12,2),"n.a.")</x:f>
        <x:v>0</x:v>
      </x:c>
      <x:c r="G317" s="4" t="n">
        <x:f>IF($D$4="Ready",IF(C317&gt;$D$7,0,IF(C317=$D$7,E317+F317,MIN($D$11,E317+F317))),"n.a.")</x:f>
        <x:v>0</x:v>
      </x:c>
      <x:c r="H317" s="4" t="n">
        <x:f>IF($D$4="Ready",MIN($D$8,MAX(0,E317+F317-G317)),"n.a.")</x:f>
        <x:v>0</x:v>
      </x:c>
      <x:c r="I317" s="4" t="n">
        <x:f>IF($D$4="Ready",ROUND(G317+H317,2),"n.a.")</x:f>
        <x:v>0</x:v>
      </x:c>
      <x:c r="J317" s="4" t="n">
        <x:f>IF($D$4="Ready",ROUND(I317-F317,2),"n.a.")</x:f>
        <x:v>0</x:v>
      </x:c>
      <x:c r="K317" s="4" t="n">
        <x:f>IF($D$4="Ready",MAX(0,ROUND(E317+F317-I317,2)),"n.a.")</x:f>
        <x:v>0</x:v>
      </x:c>
      <x:c r="L317" s="4"/>
    </x:row>
    <x:row r="318" ht="22" customHeight="1">
      <x:c r="A318" s="2"/>
      <x:c r="B318" s="2"/>
      <x:c r="C318" s="21" t="n">
        <x:f>302</x:f>
        <x:v>302</x:v>
      </x:c>
      <x:c r="D318" s="22" t="n">
        <x:f>IF($D$4="Ready",EDATE($D$9,C318-1),"n.a.")</x:f>
        <x:v>55488</x:v>
      </x:c>
      <x:c r="E318" s="4" t="n">
        <x:f>IF($D$4="Ready",K317,"n.a.")</x:f>
        <x:v>0</x:v>
      </x:c>
      <x:c r="F318" s="4" t="n">
        <x:f>IF($D$4="Ready",ROUND(E318*$D$6/12,2),"n.a.")</x:f>
        <x:v>0</x:v>
      </x:c>
      <x:c r="G318" s="4" t="n">
        <x:f>IF($D$4="Ready",IF(C318&gt;$D$7,0,IF(C318=$D$7,E318+F318,MIN($D$11,E318+F318))),"n.a.")</x:f>
        <x:v>0</x:v>
      </x:c>
      <x:c r="H318" s="4" t="n">
        <x:f>IF($D$4="Ready",MIN($D$8,MAX(0,E318+F318-G318)),"n.a.")</x:f>
        <x:v>0</x:v>
      </x:c>
      <x:c r="I318" s="4" t="n">
        <x:f>IF($D$4="Ready",ROUND(G318+H318,2),"n.a.")</x:f>
        <x:v>0</x:v>
      </x:c>
      <x:c r="J318" s="4" t="n">
        <x:f>IF($D$4="Ready",ROUND(I318-F318,2),"n.a.")</x:f>
        <x:v>0</x:v>
      </x:c>
      <x:c r="K318" s="4" t="n">
        <x:f>IF($D$4="Ready",MAX(0,ROUND(E318+F318-I318,2)),"n.a.")</x:f>
        <x:v>0</x:v>
      </x:c>
      <x:c r="L318" s="4"/>
    </x:row>
    <x:row r="319" ht="22" customHeight="1">
      <x:c r="A319" s="2"/>
      <x:c r="B319" s="2"/>
      <x:c r="C319" s="21" t="n">
        <x:f>303</x:f>
        <x:v>303</x:v>
      </x:c>
      <x:c r="D319" s="22" t="n">
        <x:f>IF($D$4="Ready",EDATE($D$9,C319-1),"n.a.")</x:f>
        <x:v>55519</x:v>
      </x:c>
      <x:c r="E319" s="4" t="n">
        <x:f>IF($D$4="Ready",K318,"n.a.")</x:f>
        <x:v>0</x:v>
      </x:c>
      <x:c r="F319" s="4" t="n">
        <x:f>IF($D$4="Ready",ROUND(E319*$D$6/12,2),"n.a.")</x:f>
        <x:v>0</x:v>
      </x:c>
      <x:c r="G319" s="4" t="n">
        <x:f>IF($D$4="Ready",IF(C319&gt;$D$7,0,IF(C319=$D$7,E319+F319,MIN($D$11,E319+F319))),"n.a.")</x:f>
        <x:v>0</x:v>
      </x:c>
      <x:c r="H319" s="4" t="n">
        <x:f>IF($D$4="Ready",MIN($D$8,MAX(0,E319+F319-G319)),"n.a.")</x:f>
        <x:v>0</x:v>
      </x:c>
      <x:c r="I319" s="4" t="n">
        <x:f>IF($D$4="Ready",ROUND(G319+H319,2),"n.a.")</x:f>
        <x:v>0</x:v>
      </x:c>
      <x:c r="J319" s="4" t="n">
        <x:f>IF($D$4="Ready",ROUND(I319-F319,2),"n.a.")</x:f>
        <x:v>0</x:v>
      </x:c>
      <x:c r="K319" s="4" t="n">
        <x:f>IF($D$4="Ready",MAX(0,ROUND(E319+F319-I319,2)),"n.a.")</x:f>
        <x:v>0</x:v>
      </x:c>
      <x:c r="L319" s="4"/>
    </x:row>
    <x:row r="320" ht="22" customHeight="1">
      <x:c r="A320" s="2"/>
      <x:c r="B320" s="2"/>
      <x:c r="C320" s="21" t="n">
        <x:f>304</x:f>
        <x:v>304</x:v>
      </x:c>
      <x:c r="D320" s="22" t="n">
        <x:f>IF($D$4="Ready",EDATE($D$9,C320-1),"n.a.")</x:f>
        <x:v>55550</x:v>
      </x:c>
      <x:c r="E320" s="4" t="n">
        <x:f>IF($D$4="Ready",K319,"n.a.")</x:f>
        <x:v>0</x:v>
      </x:c>
      <x:c r="F320" s="4" t="n">
        <x:f>IF($D$4="Ready",ROUND(E320*$D$6/12,2),"n.a.")</x:f>
        <x:v>0</x:v>
      </x:c>
      <x:c r="G320" s="4" t="n">
        <x:f>IF($D$4="Ready",IF(C320&gt;$D$7,0,IF(C320=$D$7,E320+F320,MIN($D$11,E320+F320))),"n.a.")</x:f>
        <x:v>0</x:v>
      </x:c>
      <x:c r="H320" s="4" t="n">
        <x:f>IF($D$4="Ready",MIN($D$8,MAX(0,E320+F320-G320)),"n.a.")</x:f>
        <x:v>0</x:v>
      </x:c>
      <x:c r="I320" s="4" t="n">
        <x:f>IF($D$4="Ready",ROUND(G320+H320,2),"n.a.")</x:f>
        <x:v>0</x:v>
      </x:c>
      <x:c r="J320" s="4" t="n">
        <x:f>IF($D$4="Ready",ROUND(I320-F320,2),"n.a.")</x:f>
        <x:v>0</x:v>
      </x:c>
      <x:c r="K320" s="4" t="n">
        <x:f>IF($D$4="Ready",MAX(0,ROUND(E320+F320-I320,2)),"n.a.")</x:f>
        <x:v>0</x:v>
      </x:c>
      <x:c r="L320" s="4"/>
    </x:row>
    <x:row r="321" ht="22" customHeight="1">
      <x:c r="A321" s="2"/>
      <x:c r="B321" s="2"/>
      <x:c r="C321" s="21" t="n">
        <x:f>305</x:f>
        <x:v>305</x:v>
      </x:c>
      <x:c r="D321" s="22" t="n">
        <x:f>IF($D$4="Ready",EDATE($D$9,C321-1),"n.a.")</x:f>
        <x:v>55579</x:v>
      </x:c>
      <x:c r="E321" s="4" t="n">
        <x:f>IF($D$4="Ready",K320,"n.a.")</x:f>
        <x:v>0</x:v>
      </x:c>
      <x:c r="F321" s="4" t="n">
        <x:f>IF($D$4="Ready",ROUND(E321*$D$6/12,2),"n.a.")</x:f>
        <x:v>0</x:v>
      </x:c>
      <x:c r="G321" s="4" t="n">
        <x:f>IF($D$4="Ready",IF(C321&gt;$D$7,0,IF(C321=$D$7,E321+F321,MIN($D$11,E321+F321))),"n.a.")</x:f>
        <x:v>0</x:v>
      </x:c>
      <x:c r="H321" s="4" t="n">
        <x:f>IF($D$4="Ready",MIN($D$8,MAX(0,E321+F321-G321)),"n.a.")</x:f>
        <x:v>0</x:v>
      </x:c>
      <x:c r="I321" s="4" t="n">
        <x:f>IF($D$4="Ready",ROUND(G321+H321,2),"n.a.")</x:f>
        <x:v>0</x:v>
      </x:c>
      <x:c r="J321" s="4" t="n">
        <x:f>IF($D$4="Ready",ROUND(I321-F321,2),"n.a.")</x:f>
        <x:v>0</x:v>
      </x:c>
      <x:c r="K321" s="4" t="n">
        <x:f>IF($D$4="Ready",MAX(0,ROUND(E321+F321-I321,2)),"n.a.")</x:f>
        <x:v>0</x:v>
      </x:c>
      <x:c r="L321" s="4"/>
    </x:row>
    <x:row r="322" ht="22" customHeight="1">
      <x:c r="A322" s="2"/>
      <x:c r="B322" s="2"/>
      <x:c r="C322" s="21" t="n">
        <x:f>306</x:f>
        <x:v>306</x:v>
      </x:c>
      <x:c r="D322" s="22" t="n">
        <x:f>IF($D$4="Ready",EDATE($D$9,C322-1),"n.a.")</x:f>
        <x:v>55610</x:v>
      </x:c>
      <x:c r="E322" s="4" t="n">
        <x:f>IF($D$4="Ready",K321,"n.a.")</x:f>
        <x:v>0</x:v>
      </x:c>
      <x:c r="F322" s="4" t="n">
        <x:f>IF($D$4="Ready",ROUND(E322*$D$6/12,2),"n.a.")</x:f>
        <x:v>0</x:v>
      </x:c>
      <x:c r="G322" s="4" t="n">
        <x:f>IF($D$4="Ready",IF(C322&gt;$D$7,0,IF(C322=$D$7,E322+F322,MIN($D$11,E322+F322))),"n.a.")</x:f>
        <x:v>0</x:v>
      </x:c>
      <x:c r="H322" s="4" t="n">
        <x:f>IF($D$4="Ready",MIN($D$8,MAX(0,E322+F322-G322)),"n.a.")</x:f>
        <x:v>0</x:v>
      </x:c>
      <x:c r="I322" s="4" t="n">
        <x:f>IF($D$4="Ready",ROUND(G322+H322,2),"n.a.")</x:f>
        <x:v>0</x:v>
      </x:c>
      <x:c r="J322" s="4" t="n">
        <x:f>IF($D$4="Ready",ROUND(I322-F322,2),"n.a.")</x:f>
        <x:v>0</x:v>
      </x:c>
      <x:c r="K322" s="4" t="n">
        <x:f>IF($D$4="Ready",MAX(0,ROUND(E322+F322-I322,2)),"n.a.")</x:f>
        <x:v>0</x:v>
      </x:c>
      <x:c r="L322" s="4"/>
    </x:row>
    <x:row r="323" ht="22" customHeight="1">
      <x:c r="A323" s="2"/>
      <x:c r="B323" s="2"/>
      <x:c r="C323" s="21" t="n">
        <x:f>307</x:f>
        <x:v>307</x:v>
      </x:c>
      <x:c r="D323" s="22" t="n">
        <x:f>IF($D$4="Ready",EDATE($D$9,C323-1),"n.a.")</x:f>
        <x:v>55640</x:v>
      </x:c>
      <x:c r="E323" s="4" t="n">
        <x:f>IF($D$4="Ready",K322,"n.a.")</x:f>
        <x:v>0</x:v>
      </x:c>
      <x:c r="F323" s="4" t="n">
        <x:f>IF($D$4="Ready",ROUND(E323*$D$6/12,2),"n.a.")</x:f>
        <x:v>0</x:v>
      </x:c>
      <x:c r="G323" s="4" t="n">
        <x:f>IF($D$4="Ready",IF(C323&gt;$D$7,0,IF(C323=$D$7,E323+F323,MIN($D$11,E323+F323))),"n.a.")</x:f>
        <x:v>0</x:v>
      </x:c>
      <x:c r="H323" s="4" t="n">
        <x:f>IF($D$4="Ready",MIN($D$8,MAX(0,E323+F323-G323)),"n.a.")</x:f>
        <x:v>0</x:v>
      </x:c>
      <x:c r="I323" s="4" t="n">
        <x:f>IF($D$4="Ready",ROUND(G323+H323,2),"n.a.")</x:f>
        <x:v>0</x:v>
      </x:c>
      <x:c r="J323" s="4" t="n">
        <x:f>IF($D$4="Ready",ROUND(I323-F323,2),"n.a.")</x:f>
        <x:v>0</x:v>
      </x:c>
      <x:c r="K323" s="4" t="n">
        <x:f>IF($D$4="Ready",MAX(0,ROUND(E323+F323-I323,2)),"n.a.")</x:f>
        <x:v>0</x:v>
      </x:c>
      <x:c r="L323" s="4"/>
    </x:row>
    <x:row r="324" ht="22" customHeight="1">
      <x:c r="A324" s="2"/>
      <x:c r="B324" s="2"/>
      <x:c r="C324" s="21" t="n">
        <x:f>308</x:f>
        <x:v>308</x:v>
      </x:c>
      <x:c r="D324" s="22" t="n">
        <x:f>IF($D$4="Ready",EDATE($D$9,C324-1),"n.a.")</x:f>
        <x:v>55671</x:v>
      </x:c>
      <x:c r="E324" s="4" t="n">
        <x:f>IF($D$4="Ready",K323,"n.a.")</x:f>
        <x:v>0</x:v>
      </x:c>
      <x:c r="F324" s="4" t="n">
        <x:f>IF($D$4="Ready",ROUND(E324*$D$6/12,2),"n.a.")</x:f>
        <x:v>0</x:v>
      </x:c>
      <x:c r="G324" s="4" t="n">
        <x:f>IF($D$4="Ready",IF(C324&gt;$D$7,0,IF(C324=$D$7,E324+F324,MIN($D$11,E324+F324))),"n.a.")</x:f>
        <x:v>0</x:v>
      </x:c>
      <x:c r="H324" s="4" t="n">
        <x:f>IF($D$4="Ready",MIN($D$8,MAX(0,E324+F324-G324)),"n.a.")</x:f>
        <x:v>0</x:v>
      </x:c>
      <x:c r="I324" s="4" t="n">
        <x:f>IF($D$4="Ready",ROUND(G324+H324,2),"n.a.")</x:f>
        <x:v>0</x:v>
      </x:c>
      <x:c r="J324" s="4" t="n">
        <x:f>IF($D$4="Ready",ROUND(I324-F324,2),"n.a.")</x:f>
        <x:v>0</x:v>
      </x:c>
      <x:c r="K324" s="4" t="n">
        <x:f>IF($D$4="Ready",MAX(0,ROUND(E324+F324-I324,2)),"n.a.")</x:f>
        <x:v>0</x:v>
      </x:c>
      <x:c r="L324" s="4"/>
    </x:row>
    <x:row r="325" ht="22" customHeight="1">
      <x:c r="A325" s="2"/>
      <x:c r="B325" s="2"/>
      <x:c r="C325" s="21" t="n">
        <x:f>309</x:f>
        <x:v>309</x:v>
      </x:c>
      <x:c r="D325" s="22" t="n">
        <x:f>IF($D$4="Ready",EDATE($D$9,C325-1),"n.a.")</x:f>
        <x:v>55701</x:v>
      </x:c>
      <x:c r="E325" s="4" t="n">
        <x:f>IF($D$4="Ready",K324,"n.a.")</x:f>
        <x:v>0</x:v>
      </x:c>
      <x:c r="F325" s="4" t="n">
        <x:f>IF($D$4="Ready",ROUND(E325*$D$6/12,2),"n.a.")</x:f>
        <x:v>0</x:v>
      </x:c>
      <x:c r="G325" s="4" t="n">
        <x:f>IF($D$4="Ready",IF(C325&gt;$D$7,0,IF(C325=$D$7,E325+F325,MIN($D$11,E325+F325))),"n.a.")</x:f>
        <x:v>0</x:v>
      </x:c>
      <x:c r="H325" s="4" t="n">
        <x:f>IF($D$4="Ready",MIN($D$8,MAX(0,E325+F325-G325)),"n.a.")</x:f>
        <x:v>0</x:v>
      </x:c>
      <x:c r="I325" s="4" t="n">
        <x:f>IF($D$4="Ready",ROUND(G325+H325,2),"n.a.")</x:f>
        <x:v>0</x:v>
      </x:c>
      <x:c r="J325" s="4" t="n">
        <x:f>IF($D$4="Ready",ROUND(I325-F325,2),"n.a.")</x:f>
        <x:v>0</x:v>
      </x:c>
      <x:c r="K325" s="4" t="n">
        <x:f>IF($D$4="Ready",MAX(0,ROUND(E325+F325-I325,2)),"n.a.")</x:f>
        <x:v>0</x:v>
      </x:c>
      <x:c r="L325" s="4"/>
    </x:row>
    <x:row r="326" ht="22" customHeight="1">
      <x:c r="A326" s="2"/>
      <x:c r="B326" s="2"/>
      <x:c r="C326" s="21" t="n">
        <x:f>310</x:f>
        <x:v>310</x:v>
      </x:c>
      <x:c r="D326" s="22" t="n">
        <x:f>IF($D$4="Ready",EDATE($D$9,C326-1),"n.a.")</x:f>
        <x:v>55732</x:v>
      </x:c>
      <x:c r="E326" s="4" t="n">
        <x:f>IF($D$4="Ready",K325,"n.a.")</x:f>
        <x:v>0</x:v>
      </x:c>
      <x:c r="F326" s="4" t="n">
        <x:f>IF($D$4="Ready",ROUND(E326*$D$6/12,2),"n.a.")</x:f>
        <x:v>0</x:v>
      </x:c>
      <x:c r="G326" s="4" t="n">
        <x:f>IF($D$4="Ready",IF(C326&gt;$D$7,0,IF(C326=$D$7,E326+F326,MIN($D$11,E326+F326))),"n.a.")</x:f>
        <x:v>0</x:v>
      </x:c>
      <x:c r="H326" s="4" t="n">
        <x:f>IF($D$4="Ready",MIN($D$8,MAX(0,E326+F326-G326)),"n.a.")</x:f>
        <x:v>0</x:v>
      </x:c>
      <x:c r="I326" s="4" t="n">
        <x:f>IF($D$4="Ready",ROUND(G326+H326,2),"n.a.")</x:f>
        <x:v>0</x:v>
      </x:c>
      <x:c r="J326" s="4" t="n">
        <x:f>IF($D$4="Ready",ROUND(I326-F326,2),"n.a.")</x:f>
        <x:v>0</x:v>
      </x:c>
      <x:c r="K326" s="4" t="n">
        <x:f>IF($D$4="Ready",MAX(0,ROUND(E326+F326-I326,2)),"n.a.")</x:f>
        <x:v>0</x:v>
      </x:c>
      <x:c r="L326" s="4"/>
    </x:row>
    <x:row r="327" ht="22" customHeight="1">
      <x:c r="A327" s="2"/>
      <x:c r="B327" s="2"/>
      <x:c r="C327" s="21" t="n">
        <x:f>311</x:f>
        <x:v>311</x:v>
      </x:c>
      <x:c r="D327" s="22" t="n">
        <x:f>IF($D$4="Ready",EDATE($D$9,C327-1),"n.a.")</x:f>
        <x:v>55763</x:v>
      </x:c>
      <x:c r="E327" s="4" t="n">
        <x:f>IF($D$4="Ready",K326,"n.a.")</x:f>
        <x:v>0</x:v>
      </x:c>
      <x:c r="F327" s="4" t="n">
        <x:f>IF($D$4="Ready",ROUND(E327*$D$6/12,2),"n.a.")</x:f>
        <x:v>0</x:v>
      </x:c>
      <x:c r="G327" s="4" t="n">
        <x:f>IF($D$4="Ready",IF(C327&gt;$D$7,0,IF(C327=$D$7,E327+F327,MIN($D$11,E327+F327))),"n.a.")</x:f>
        <x:v>0</x:v>
      </x:c>
      <x:c r="H327" s="4" t="n">
        <x:f>IF($D$4="Ready",MIN($D$8,MAX(0,E327+F327-G327)),"n.a.")</x:f>
        <x:v>0</x:v>
      </x:c>
      <x:c r="I327" s="4" t="n">
        <x:f>IF($D$4="Ready",ROUND(G327+H327,2),"n.a.")</x:f>
        <x:v>0</x:v>
      </x:c>
      <x:c r="J327" s="4" t="n">
        <x:f>IF($D$4="Ready",ROUND(I327-F327,2),"n.a.")</x:f>
        <x:v>0</x:v>
      </x:c>
      <x:c r="K327" s="4" t="n">
        <x:f>IF($D$4="Ready",MAX(0,ROUND(E327+F327-I327,2)),"n.a.")</x:f>
        <x:v>0</x:v>
      </x:c>
      <x:c r="L327" s="4"/>
    </x:row>
    <x:row r="328" ht="22" customHeight="1">
      <x:c r="A328" s="2"/>
      <x:c r="B328" s="2"/>
      <x:c r="C328" s="21" t="n">
        <x:f>312</x:f>
        <x:v>312</x:v>
      </x:c>
      <x:c r="D328" s="22" t="n">
        <x:f>IF($D$4="Ready",EDATE($D$9,C328-1),"n.a.")</x:f>
        <x:v>55793</x:v>
      </x:c>
      <x:c r="E328" s="4" t="n">
        <x:f>IF($D$4="Ready",K327,"n.a.")</x:f>
        <x:v>0</x:v>
      </x:c>
      <x:c r="F328" s="4" t="n">
        <x:f>IF($D$4="Ready",ROUND(E328*$D$6/12,2),"n.a.")</x:f>
        <x:v>0</x:v>
      </x:c>
      <x:c r="G328" s="4" t="n">
        <x:f>IF($D$4="Ready",IF(C328&gt;$D$7,0,IF(C328=$D$7,E328+F328,MIN($D$11,E328+F328))),"n.a.")</x:f>
        <x:v>0</x:v>
      </x:c>
      <x:c r="H328" s="4" t="n">
        <x:f>IF($D$4="Ready",MIN($D$8,MAX(0,E328+F328-G328)),"n.a.")</x:f>
        <x:v>0</x:v>
      </x:c>
      <x:c r="I328" s="4" t="n">
        <x:f>IF($D$4="Ready",ROUND(G328+H328,2),"n.a.")</x:f>
        <x:v>0</x:v>
      </x:c>
      <x:c r="J328" s="4" t="n">
        <x:f>IF($D$4="Ready",ROUND(I328-F328,2),"n.a.")</x:f>
        <x:v>0</x:v>
      </x:c>
      <x:c r="K328" s="4" t="n">
        <x:f>IF($D$4="Ready",MAX(0,ROUND(E328+F328-I328,2)),"n.a.")</x:f>
        <x:v>0</x:v>
      </x:c>
      <x:c r="L328" s="4"/>
    </x:row>
    <x:row r="329" ht="22" customHeight="1">
      <x:c r="A329" s="2"/>
      <x:c r="B329" s="2"/>
      <x:c r="C329" s="21" t="n">
        <x:f>313</x:f>
        <x:v>313</x:v>
      </x:c>
      <x:c r="D329" s="22" t="n">
        <x:f>IF($D$4="Ready",EDATE($D$9,C329-1),"n.a.")</x:f>
        <x:v>55824</x:v>
      </x:c>
      <x:c r="E329" s="4" t="n">
        <x:f>IF($D$4="Ready",K328,"n.a.")</x:f>
        <x:v>0</x:v>
      </x:c>
      <x:c r="F329" s="4" t="n">
        <x:f>IF($D$4="Ready",ROUND(E329*$D$6/12,2),"n.a.")</x:f>
        <x:v>0</x:v>
      </x:c>
      <x:c r="G329" s="4" t="n">
        <x:f>IF($D$4="Ready",IF(C329&gt;$D$7,0,IF(C329=$D$7,E329+F329,MIN($D$11,E329+F329))),"n.a.")</x:f>
        <x:v>0</x:v>
      </x:c>
      <x:c r="H329" s="4" t="n">
        <x:f>IF($D$4="Ready",MIN($D$8,MAX(0,E329+F329-G329)),"n.a.")</x:f>
        <x:v>0</x:v>
      </x:c>
      <x:c r="I329" s="4" t="n">
        <x:f>IF($D$4="Ready",ROUND(G329+H329,2),"n.a.")</x:f>
        <x:v>0</x:v>
      </x:c>
      <x:c r="J329" s="4" t="n">
        <x:f>IF($D$4="Ready",ROUND(I329-F329,2),"n.a.")</x:f>
        <x:v>0</x:v>
      </x:c>
      <x:c r="K329" s="4" t="n">
        <x:f>IF($D$4="Ready",MAX(0,ROUND(E329+F329-I329,2)),"n.a.")</x:f>
        <x:v>0</x:v>
      </x:c>
      <x:c r="L329" s="4"/>
    </x:row>
    <x:row r="330" ht="22" customHeight="1">
      <x:c r="A330" s="2"/>
      <x:c r="B330" s="2"/>
      <x:c r="C330" s="21" t="n">
        <x:f>314</x:f>
        <x:v>314</x:v>
      </x:c>
      <x:c r="D330" s="22" t="n">
        <x:f>IF($D$4="Ready",EDATE($D$9,C330-1),"n.a.")</x:f>
        <x:v>55854</x:v>
      </x:c>
      <x:c r="E330" s="4" t="n">
        <x:f>IF($D$4="Ready",K329,"n.a.")</x:f>
        <x:v>0</x:v>
      </x:c>
      <x:c r="F330" s="4" t="n">
        <x:f>IF($D$4="Ready",ROUND(E330*$D$6/12,2),"n.a.")</x:f>
        <x:v>0</x:v>
      </x:c>
      <x:c r="G330" s="4" t="n">
        <x:f>IF($D$4="Ready",IF(C330&gt;$D$7,0,IF(C330=$D$7,E330+F330,MIN($D$11,E330+F330))),"n.a.")</x:f>
        <x:v>0</x:v>
      </x:c>
      <x:c r="H330" s="4" t="n">
        <x:f>IF($D$4="Ready",MIN($D$8,MAX(0,E330+F330-G330)),"n.a.")</x:f>
        <x:v>0</x:v>
      </x:c>
      <x:c r="I330" s="4" t="n">
        <x:f>IF($D$4="Ready",ROUND(G330+H330,2),"n.a.")</x:f>
        <x:v>0</x:v>
      </x:c>
      <x:c r="J330" s="4" t="n">
        <x:f>IF($D$4="Ready",ROUND(I330-F330,2),"n.a.")</x:f>
        <x:v>0</x:v>
      </x:c>
      <x:c r="K330" s="4" t="n">
        <x:f>IF($D$4="Ready",MAX(0,ROUND(E330+F330-I330,2)),"n.a.")</x:f>
        <x:v>0</x:v>
      </x:c>
      <x:c r="L330" s="4"/>
    </x:row>
    <x:row r="331" ht="22" customHeight="1">
      <x:c r="A331" s="2"/>
      <x:c r="B331" s="2"/>
      <x:c r="C331" s="21" t="n">
        <x:f>315</x:f>
        <x:v>315</x:v>
      </x:c>
      <x:c r="D331" s="22" t="n">
        <x:f>IF($D$4="Ready",EDATE($D$9,C331-1),"n.a.")</x:f>
        <x:v>55885</x:v>
      </x:c>
      <x:c r="E331" s="4" t="n">
        <x:f>IF($D$4="Ready",K330,"n.a.")</x:f>
        <x:v>0</x:v>
      </x:c>
      <x:c r="F331" s="4" t="n">
        <x:f>IF($D$4="Ready",ROUND(E331*$D$6/12,2),"n.a.")</x:f>
        <x:v>0</x:v>
      </x:c>
      <x:c r="G331" s="4" t="n">
        <x:f>IF($D$4="Ready",IF(C331&gt;$D$7,0,IF(C331=$D$7,E331+F331,MIN($D$11,E331+F331))),"n.a.")</x:f>
        <x:v>0</x:v>
      </x:c>
      <x:c r="H331" s="4" t="n">
        <x:f>IF($D$4="Ready",MIN($D$8,MAX(0,E331+F331-G331)),"n.a.")</x:f>
        <x:v>0</x:v>
      </x:c>
      <x:c r="I331" s="4" t="n">
        <x:f>IF($D$4="Ready",ROUND(G331+H331,2),"n.a.")</x:f>
        <x:v>0</x:v>
      </x:c>
      <x:c r="J331" s="4" t="n">
        <x:f>IF($D$4="Ready",ROUND(I331-F331,2),"n.a.")</x:f>
        <x:v>0</x:v>
      </x:c>
      <x:c r="K331" s="4" t="n">
        <x:f>IF($D$4="Ready",MAX(0,ROUND(E331+F331-I331,2)),"n.a.")</x:f>
        <x:v>0</x:v>
      </x:c>
      <x:c r="L331" s="4"/>
    </x:row>
    <x:row r="332" ht="22" customHeight="1">
      <x:c r="A332" s="2"/>
      <x:c r="B332" s="2"/>
      <x:c r="C332" s="21" t="n">
        <x:f>316</x:f>
        <x:v>316</x:v>
      </x:c>
      <x:c r="D332" s="22" t="n">
        <x:f>IF($D$4="Ready",EDATE($D$9,C332-1),"n.a.")</x:f>
        <x:v>55916</x:v>
      </x:c>
      <x:c r="E332" s="4" t="n">
        <x:f>IF($D$4="Ready",K331,"n.a.")</x:f>
        <x:v>0</x:v>
      </x:c>
      <x:c r="F332" s="4" t="n">
        <x:f>IF($D$4="Ready",ROUND(E332*$D$6/12,2),"n.a.")</x:f>
        <x:v>0</x:v>
      </x:c>
      <x:c r="G332" s="4" t="n">
        <x:f>IF($D$4="Ready",IF(C332&gt;$D$7,0,IF(C332=$D$7,E332+F332,MIN($D$11,E332+F332))),"n.a.")</x:f>
        <x:v>0</x:v>
      </x:c>
      <x:c r="H332" s="4" t="n">
        <x:f>IF($D$4="Ready",MIN($D$8,MAX(0,E332+F332-G332)),"n.a.")</x:f>
        <x:v>0</x:v>
      </x:c>
      <x:c r="I332" s="4" t="n">
        <x:f>IF($D$4="Ready",ROUND(G332+H332,2),"n.a.")</x:f>
        <x:v>0</x:v>
      </x:c>
      <x:c r="J332" s="4" t="n">
        <x:f>IF($D$4="Ready",ROUND(I332-F332,2),"n.a.")</x:f>
        <x:v>0</x:v>
      </x:c>
      <x:c r="K332" s="4" t="n">
        <x:f>IF($D$4="Ready",MAX(0,ROUND(E332+F332-I332,2)),"n.a.")</x:f>
        <x:v>0</x:v>
      </x:c>
      <x:c r="L332" s="4"/>
    </x:row>
    <x:row r="333" ht="22" customHeight="1">
      <x:c r="A333" s="2"/>
      <x:c r="B333" s="2"/>
      <x:c r="C333" s="21" t="n">
        <x:f>317</x:f>
        <x:v>317</x:v>
      </x:c>
      <x:c r="D333" s="22" t="n">
        <x:f>IF($D$4="Ready",EDATE($D$9,C333-1),"n.a.")</x:f>
        <x:v>55944</x:v>
      </x:c>
      <x:c r="E333" s="4" t="n">
        <x:f>IF($D$4="Ready",K332,"n.a.")</x:f>
        <x:v>0</x:v>
      </x:c>
      <x:c r="F333" s="4" t="n">
        <x:f>IF($D$4="Ready",ROUND(E333*$D$6/12,2),"n.a.")</x:f>
        <x:v>0</x:v>
      </x:c>
      <x:c r="G333" s="4" t="n">
        <x:f>IF($D$4="Ready",IF(C333&gt;$D$7,0,IF(C333=$D$7,E333+F333,MIN($D$11,E333+F333))),"n.a.")</x:f>
        <x:v>0</x:v>
      </x:c>
      <x:c r="H333" s="4" t="n">
        <x:f>IF($D$4="Ready",MIN($D$8,MAX(0,E333+F333-G333)),"n.a.")</x:f>
        <x:v>0</x:v>
      </x:c>
      <x:c r="I333" s="4" t="n">
        <x:f>IF($D$4="Ready",ROUND(G333+H333,2),"n.a.")</x:f>
        <x:v>0</x:v>
      </x:c>
      <x:c r="J333" s="4" t="n">
        <x:f>IF($D$4="Ready",ROUND(I333-F333,2),"n.a.")</x:f>
        <x:v>0</x:v>
      </x:c>
      <x:c r="K333" s="4" t="n">
        <x:f>IF($D$4="Ready",MAX(0,ROUND(E333+F333-I333,2)),"n.a.")</x:f>
        <x:v>0</x:v>
      </x:c>
      <x:c r="L333" s="4"/>
    </x:row>
    <x:row r="334" ht="22" customHeight="1">
      <x:c r="A334" s="2"/>
      <x:c r="B334" s="2"/>
      <x:c r="C334" s="21" t="n">
        <x:f>318</x:f>
        <x:v>318</x:v>
      </x:c>
      <x:c r="D334" s="22" t="n">
        <x:f>IF($D$4="Ready",EDATE($D$9,C334-1),"n.a.")</x:f>
        <x:v>55975</x:v>
      </x:c>
      <x:c r="E334" s="4" t="n">
        <x:f>IF($D$4="Ready",K333,"n.a.")</x:f>
        <x:v>0</x:v>
      </x:c>
      <x:c r="F334" s="4" t="n">
        <x:f>IF($D$4="Ready",ROUND(E334*$D$6/12,2),"n.a.")</x:f>
        <x:v>0</x:v>
      </x:c>
      <x:c r="G334" s="4" t="n">
        <x:f>IF($D$4="Ready",IF(C334&gt;$D$7,0,IF(C334=$D$7,E334+F334,MIN($D$11,E334+F334))),"n.a.")</x:f>
        <x:v>0</x:v>
      </x:c>
      <x:c r="H334" s="4" t="n">
        <x:f>IF($D$4="Ready",MIN($D$8,MAX(0,E334+F334-G334)),"n.a.")</x:f>
        <x:v>0</x:v>
      </x:c>
      <x:c r="I334" s="4" t="n">
        <x:f>IF($D$4="Ready",ROUND(G334+H334,2),"n.a.")</x:f>
        <x:v>0</x:v>
      </x:c>
      <x:c r="J334" s="4" t="n">
        <x:f>IF($D$4="Ready",ROUND(I334-F334,2),"n.a.")</x:f>
        <x:v>0</x:v>
      </x:c>
      <x:c r="K334" s="4" t="n">
        <x:f>IF($D$4="Ready",MAX(0,ROUND(E334+F334-I334,2)),"n.a.")</x:f>
        <x:v>0</x:v>
      </x:c>
      <x:c r="L334" s="4"/>
    </x:row>
    <x:row r="335" ht="22" customHeight="1">
      <x:c r="A335" s="2"/>
      <x:c r="B335" s="2"/>
      <x:c r="C335" s="21" t="n">
        <x:f>319</x:f>
        <x:v>319</x:v>
      </x:c>
      <x:c r="D335" s="22" t="n">
        <x:f>IF($D$4="Ready",EDATE($D$9,C335-1),"n.a.")</x:f>
        <x:v>56005</x:v>
      </x:c>
      <x:c r="E335" s="4" t="n">
        <x:f>IF($D$4="Ready",K334,"n.a.")</x:f>
        <x:v>0</x:v>
      </x:c>
      <x:c r="F335" s="4" t="n">
        <x:f>IF($D$4="Ready",ROUND(E335*$D$6/12,2),"n.a.")</x:f>
        <x:v>0</x:v>
      </x:c>
      <x:c r="G335" s="4" t="n">
        <x:f>IF($D$4="Ready",IF(C335&gt;$D$7,0,IF(C335=$D$7,E335+F335,MIN($D$11,E335+F335))),"n.a.")</x:f>
        <x:v>0</x:v>
      </x:c>
      <x:c r="H335" s="4" t="n">
        <x:f>IF($D$4="Ready",MIN($D$8,MAX(0,E335+F335-G335)),"n.a.")</x:f>
        <x:v>0</x:v>
      </x:c>
      <x:c r="I335" s="4" t="n">
        <x:f>IF($D$4="Ready",ROUND(G335+H335,2),"n.a.")</x:f>
        <x:v>0</x:v>
      </x:c>
      <x:c r="J335" s="4" t="n">
        <x:f>IF($D$4="Ready",ROUND(I335-F335,2),"n.a.")</x:f>
        <x:v>0</x:v>
      </x:c>
      <x:c r="K335" s="4" t="n">
        <x:f>IF($D$4="Ready",MAX(0,ROUND(E335+F335-I335,2)),"n.a.")</x:f>
        <x:v>0</x:v>
      </x:c>
      <x:c r="L335" s="4"/>
    </x:row>
    <x:row r="336" ht="22" customHeight="1">
      <x:c r="A336" s="2"/>
      <x:c r="B336" s="2"/>
      <x:c r="C336" s="21" t="n">
        <x:f>320</x:f>
        <x:v>320</x:v>
      </x:c>
      <x:c r="D336" s="22" t="n">
        <x:f>IF($D$4="Ready",EDATE($D$9,C336-1),"n.a.")</x:f>
        <x:v>56036</x:v>
      </x:c>
      <x:c r="E336" s="4" t="n">
        <x:f>IF($D$4="Ready",K335,"n.a.")</x:f>
        <x:v>0</x:v>
      </x:c>
      <x:c r="F336" s="4" t="n">
        <x:f>IF($D$4="Ready",ROUND(E336*$D$6/12,2),"n.a.")</x:f>
        <x:v>0</x:v>
      </x:c>
      <x:c r="G336" s="4" t="n">
        <x:f>IF($D$4="Ready",IF(C336&gt;$D$7,0,IF(C336=$D$7,E336+F336,MIN($D$11,E336+F336))),"n.a.")</x:f>
        <x:v>0</x:v>
      </x:c>
      <x:c r="H336" s="4" t="n">
        <x:f>IF($D$4="Ready",MIN($D$8,MAX(0,E336+F336-G336)),"n.a.")</x:f>
        <x:v>0</x:v>
      </x:c>
      <x:c r="I336" s="4" t="n">
        <x:f>IF($D$4="Ready",ROUND(G336+H336,2),"n.a.")</x:f>
        <x:v>0</x:v>
      </x:c>
      <x:c r="J336" s="4" t="n">
        <x:f>IF($D$4="Ready",ROUND(I336-F336,2),"n.a.")</x:f>
        <x:v>0</x:v>
      </x:c>
      <x:c r="K336" s="4" t="n">
        <x:f>IF($D$4="Ready",MAX(0,ROUND(E336+F336-I336,2)),"n.a.")</x:f>
        <x:v>0</x:v>
      </x:c>
      <x:c r="L336" s="4"/>
    </x:row>
    <x:row r="337" ht="22" customHeight="1">
      <x:c r="A337" s="2"/>
      <x:c r="B337" s="2"/>
      <x:c r="C337" s="21" t="n">
        <x:f>321</x:f>
        <x:v>321</x:v>
      </x:c>
      <x:c r="D337" s="22" t="n">
        <x:f>IF($D$4="Ready",EDATE($D$9,C337-1),"n.a.")</x:f>
        <x:v>56066</x:v>
      </x:c>
      <x:c r="E337" s="4" t="n">
        <x:f>IF($D$4="Ready",K336,"n.a.")</x:f>
        <x:v>0</x:v>
      </x:c>
      <x:c r="F337" s="4" t="n">
        <x:f>IF($D$4="Ready",ROUND(E337*$D$6/12,2),"n.a.")</x:f>
        <x:v>0</x:v>
      </x:c>
      <x:c r="G337" s="4" t="n">
        <x:f>IF($D$4="Ready",IF(C337&gt;$D$7,0,IF(C337=$D$7,E337+F337,MIN($D$11,E337+F337))),"n.a.")</x:f>
        <x:v>0</x:v>
      </x:c>
      <x:c r="H337" s="4" t="n">
        <x:f>IF($D$4="Ready",MIN($D$8,MAX(0,E337+F337-G337)),"n.a.")</x:f>
        <x:v>0</x:v>
      </x:c>
      <x:c r="I337" s="4" t="n">
        <x:f>IF($D$4="Ready",ROUND(G337+H337,2),"n.a.")</x:f>
        <x:v>0</x:v>
      </x:c>
      <x:c r="J337" s="4" t="n">
        <x:f>IF($D$4="Ready",ROUND(I337-F337,2),"n.a.")</x:f>
        <x:v>0</x:v>
      </x:c>
      <x:c r="K337" s="4" t="n">
        <x:f>IF($D$4="Ready",MAX(0,ROUND(E337+F337-I337,2)),"n.a.")</x:f>
        <x:v>0</x:v>
      </x:c>
      <x:c r="L337" s="4"/>
    </x:row>
    <x:row r="338" ht="22" customHeight="1">
      <x:c r="A338" s="2"/>
      <x:c r="B338" s="2"/>
      <x:c r="C338" s="21" t="n">
        <x:f>322</x:f>
        <x:v>322</x:v>
      </x:c>
      <x:c r="D338" s="22" t="n">
        <x:f>IF($D$4="Ready",EDATE($D$9,C338-1),"n.a.")</x:f>
        <x:v>56097</x:v>
      </x:c>
      <x:c r="E338" s="4" t="n">
        <x:f>IF($D$4="Ready",K337,"n.a.")</x:f>
        <x:v>0</x:v>
      </x:c>
      <x:c r="F338" s="4" t="n">
        <x:f>IF($D$4="Ready",ROUND(E338*$D$6/12,2),"n.a.")</x:f>
        <x:v>0</x:v>
      </x:c>
      <x:c r="G338" s="4" t="n">
        <x:f>IF($D$4="Ready",IF(C338&gt;$D$7,0,IF(C338=$D$7,E338+F338,MIN($D$11,E338+F338))),"n.a.")</x:f>
        <x:v>0</x:v>
      </x:c>
      <x:c r="H338" s="4" t="n">
        <x:f>IF($D$4="Ready",MIN($D$8,MAX(0,E338+F338-G338)),"n.a.")</x:f>
        <x:v>0</x:v>
      </x:c>
      <x:c r="I338" s="4" t="n">
        <x:f>IF($D$4="Ready",ROUND(G338+H338,2),"n.a.")</x:f>
        <x:v>0</x:v>
      </x:c>
      <x:c r="J338" s="4" t="n">
        <x:f>IF($D$4="Ready",ROUND(I338-F338,2),"n.a.")</x:f>
        <x:v>0</x:v>
      </x:c>
      <x:c r="K338" s="4" t="n">
        <x:f>IF($D$4="Ready",MAX(0,ROUND(E338+F338-I338,2)),"n.a.")</x:f>
        <x:v>0</x:v>
      </x:c>
      <x:c r="L338" s="4"/>
    </x:row>
    <x:row r="339" ht="22" customHeight="1">
      <x:c r="A339" s="2"/>
      <x:c r="B339" s="2"/>
      <x:c r="C339" s="21" t="n">
        <x:f>323</x:f>
        <x:v>323</x:v>
      </x:c>
      <x:c r="D339" s="22" t="n">
        <x:f>IF($D$4="Ready",EDATE($D$9,C339-1),"n.a.")</x:f>
        <x:v>56128</x:v>
      </x:c>
      <x:c r="E339" s="4" t="n">
        <x:f>IF($D$4="Ready",K338,"n.a.")</x:f>
        <x:v>0</x:v>
      </x:c>
      <x:c r="F339" s="4" t="n">
        <x:f>IF($D$4="Ready",ROUND(E339*$D$6/12,2),"n.a.")</x:f>
        <x:v>0</x:v>
      </x:c>
      <x:c r="G339" s="4" t="n">
        <x:f>IF($D$4="Ready",IF(C339&gt;$D$7,0,IF(C339=$D$7,E339+F339,MIN($D$11,E339+F339))),"n.a.")</x:f>
        <x:v>0</x:v>
      </x:c>
      <x:c r="H339" s="4" t="n">
        <x:f>IF($D$4="Ready",MIN($D$8,MAX(0,E339+F339-G339)),"n.a.")</x:f>
        <x:v>0</x:v>
      </x:c>
      <x:c r="I339" s="4" t="n">
        <x:f>IF($D$4="Ready",ROUND(G339+H339,2),"n.a.")</x:f>
        <x:v>0</x:v>
      </x:c>
      <x:c r="J339" s="4" t="n">
        <x:f>IF($D$4="Ready",ROUND(I339-F339,2),"n.a.")</x:f>
        <x:v>0</x:v>
      </x:c>
      <x:c r="K339" s="4" t="n">
        <x:f>IF($D$4="Ready",MAX(0,ROUND(E339+F339-I339,2)),"n.a.")</x:f>
        <x:v>0</x:v>
      </x:c>
      <x:c r="L339" s="4"/>
    </x:row>
    <x:row r="340" ht="22" customHeight="1">
      <x:c r="A340" s="2"/>
      <x:c r="B340" s="2"/>
      <x:c r="C340" s="21" t="n">
        <x:f>324</x:f>
        <x:v>324</x:v>
      </x:c>
      <x:c r="D340" s="22" t="n">
        <x:f>IF($D$4="Ready",EDATE($D$9,C340-1),"n.a.")</x:f>
        <x:v>56158</x:v>
      </x:c>
      <x:c r="E340" s="4" t="n">
        <x:f>IF($D$4="Ready",K339,"n.a.")</x:f>
        <x:v>0</x:v>
      </x:c>
      <x:c r="F340" s="4" t="n">
        <x:f>IF($D$4="Ready",ROUND(E340*$D$6/12,2),"n.a.")</x:f>
        <x:v>0</x:v>
      </x:c>
      <x:c r="G340" s="4" t="n">
        <x:f>IF($D$4="Ready",IF(C340&gt;$D$7,0,IF(C340=$D$7,E340+F340,MIN($D$11,E340+F340))),"n.a.")</x:f>
        <x:v>0</x:v>
      </x:c>
      <x:c r="H340" s="4" t="n">
        <x:f>IF($D$4="Ready",MIN($D$8,MAX(0,E340+F340-G340)),"n.a.")</x:f>
        <x:v>0</x:v>
      </x:c>
      <x:c r="I340" s="4" t="n">
        <x:f>IF($D$4="Ready",ROUND(G340+H340,2),"n.a.")</x:f>
        <x:v>0</x:v>
      </x:c>
      <x:c r="J340" s="4" t="n">
        <x:f>IF($D$4="Ready",ROUND(I340-F340,2),"n.a.")</x:f>
        <x:v>0</x:v>
      </x:c>
      <x:c r="K340" s="4" t="n">
        <x:f>IF($D$4="Ready",MAX(0,ROUND(E340+F340-I340,2)),"n.a.")</x:f>
        <x:v>0</x:v>
      </x:c>
      <x:c r="L340" s="4"/>
    </x:row>
    <x:row r="341" ht="22" customHeight="1">
      <x:c r="A341" s="2"/>
      <x:c r="B341" s="2"/>
      <x:c r="C341" s="21" t="n">
        <x:f>325</x:f>
        <x:v>325</x:v>
      </x:c>
      <x:c r="D341" s="22" t="n">
        <x:f>IF($D$4="Ready",EDATE($D$9,C341-1),"n.a.")</x:f>
        <x:v>56189</x:v>
      </x:c>
      <x:c r="E341" s="4" t="n">
        <x:f>IF($D$4="Ready",K340,"n.a.")</x:f>
        <x:v>0</x:v>
      </x:c>
      <x:c r="F341" s="4" t="n">
        <x:f>IF($D$4="Ready",ROUND(E341*$D$6/12,2),"n.a.")</x:f>
        <x:v>0</x:v>
      </x:c>
      <x:c r="G341" s="4" t="n">
        <x:f>IF($D$4="Ready",IF(C341&gt;$D$7,0,IF(C341=$D$7,E341+F341,MIN($D$11,E341+F341))),"n.a.")</x:f>
        <x:v>0</x:v>
      </x:c>
      <x:c r="H341" s="4" t="n">
        <x:f>IF($D$4="Ready",MIN($D$8,MAX(0,E341+F341-G341)),"n.a.")</x:f>
        <x:v>0</x:v>
      </x:c>
      <x:c r="I341" s="4" t="n">
        <x:f>IF($D$4="Ready",ROUND(G341+H341,2),"n.a.")</x:f>
        <x:v>0</x:v>
      </x:c>
      <x:c r="J341" s="4" t="n">
        <x:f>IF($D$4="Ready",ROUND(I341-F341,2),"n.a.")</x:f>
        <x:v>0</x:v>
      </x:c>
      <x:c r="K341" s="4" t="n">
        <x:f>IF($D$4="Ready",MAX(0,ROUND(E341+F341-I341,2)),"n.a.")</x:f>
        <x:v>0</x:v>
      </x:c>
      <x:c r="L341" s="4"/>
    </x:row>
    <x:row r="342" ht="22" customHeight="1">
      <x:c r="A342" s="2"/>
      <x:c r="B342" s="2"/>
      <x:c r="C342" s="21" t="n">
        <x:f>326</x:f>
        <x:v>326</x:v>
      </x:c>
      <x:c r="D342" s="22" t="n">
        <x:f>IF($D$4="Ready",EDATE($D$9,C342-1),"n.a.")</x:f>
        <x:v>56219</x:v>
      </x:c>
      <x:c r="E342" s="4" t="n">
        <x:f>IF($D$4="Ready",K341,"n.a.")</x:f>
        <x:v>0</x:v>
      </x:c>
      <x:c r="F342" s="4" t="n">
        <x:f>IF($D$4="Ready",ROUND(E342*$D$6/12,2),"n.a.")</x:f>
        <x:v>0</x:v>
      </x:c>
      <x:c r="G342" s="4" t="n">
        <x:f>IF($D$4="Ready",IF(C342&gt;$D$7,0,IF(C342=$D$7,E342+F342,MIN($D$11,E342+F342))),"n.a.")</x:f>
        <x:v>0</x:v>
      </x:c>
      <x:c r="H342" s="4" t="n">
        <x:f>IF($D$4="Ready",MIN($D$8,MAX(0,E342+F342-G342)),"n.a.")</x:f>
        <x:v>0</x:v>
      </x:c>
      <x:c r="I342" s="4" t="n">
        <x:f>IF($D$4="Ready",ROUND(G342+H342,2),"n.a.")</x:f>
        <x:v>0</x:v>
      </x:c>
      <x:c r="J342" s="4" t="n">
        <x:f>IF($D$4="Ready",ROUND(I342-F342,2),"n.a.")</x:f>
        <x:v>0</x:v>
      </x:c>
      <x:c r="K342" s="4" t="n">
        <x:f>IF($D$4="Ready",MAX(0,ROUND(E342+F342-I342,2)),"n.a.")</x:f>
        <x:v>0</x:v>
      </x:c>
      <x:c r="L342" s="4"/>
    </x:row>
    <x:row r="343" ht="22" customHeight="1">
      <x:c r="A343" s="2"/>
      <x:c r="B343" s="2"/>
      <x:c r="C343" s="21" t="n">
        <x:f>327</x:f>
        <x:v>327</x:v>
      </x:c>
      <x:c r="D343" s="22" t="n">
        <x:f>IF($D$4="Ready",EDATE($D$9,C343-1),"n.a.")</x:f>
        <x:v>56250</x:v>
      </x:c>
      <x:c r="E343" s="4" t="n">
        <x:f>IF($D$4="Ready",K342,"n.a.")</x:f>
        <x:v>0</x:v>
      </x:c>
      <x:c r="F343" s="4" t="n">
        <x:f>IF($D$4="Ready",ROUND(E343*$D$6/12,2),"n.a.")</x:f>
        <x:v>0</x:v>
      </x:c>
      <x:c r="G343" s="4" t="n">
        <x:f>IF($D$4="Ready",IF(C343&gt;$D$7,0,IF(C343=$D$7,E343+F343,MIN($D$11,E343+F343))),"n.a.")</x:f>
        <x:v>0</x:v>
      </x:c>
      <x:c r="H343" s="4" t="n">
        <x:f>IF($D$4="Ready",MIN($D$8,MAX(0,E343+F343-G343)),"n.a.")</x:f>
        <x:v>0</x:v>
      </x:c>
      <x:c r="I343" s="4" t="n">
        <x:f>IF($D$4="Ready",ROUND(G343+H343,2),"n.a.")</x:f>
        <x:v>0</x:v>
      </x:c>
      <x:c r="J343" s="4" t="n">
        <x:f>IF($D$4="Ready",ROUND(I343-F343,2),"n.a.")</x:f>
        <x:v>0</x:v>
      </x:c>
      <x:c r="K343" s="4" t="n">
        <x:f>IF($D$4="Ready",MAX(0,ROUND(E343+F343-I343,2)),"n.a.")</x:f>
        <x:v>0</x:v>
      </x:c>
      <x:c r="L343" s="4"/>
    </x:row>
    <x:row r="344" ht="22" customHeight="1">
      <x:c r="A344" s="2"/>
      <x:c r="B344" s="2"/>
      <x:c r="C344" s="21" t="n">
        <x:f>328</x:f>
        <x:v>328</x:v>
      </x:c>
      <x:c r="D344" s="22" t="n">
        <x:f>IF($D$4="Ready",EDATE($D$9,C344-1),"n.a.")</x:f>
        <x:v>56281</x:v>
      </x:c>
      <x:c r="E344" s="4" t="n">
        <x:f>IF($D$4="Ready",K343,"n.a.")</x:f>
        <x:v>0</x:v>
      </x:c>
      <x:c r="F344" s="4" t="n">
        <x:f>IF($D$4="Ready",ROUND(E344*$D$6/12,2),"n.a.")</x:f>
        <x:v>0</x:v>
      </x:c>
      <x:c r="G344" s="4" t="n">
        <x:f>IF($D$4="Ready",IF(C344&gt;$D$7,0,IF(C344=$D$7,E344+F344,MIN($D$11,E344+F344))),"n.a.")</x:f>
        <x:v>0</x:v>
      </x:c>
      <x:c r="H344" s="4" t="n">
        <x:f>IF($D$4="Ready",MIN($D$8,MAX(0,E344+F344-G344)),"n.a.")</x:f>
        <x:v>0</x:v>
      </x:c>
      <x:c r="I344" s="4" t="n">
        <x:f>IF($D$4="Ready",ROUND(G344+H344,2),"n.a.")</x:f>
        <x:v>0</x:v>
      </x:c>
      <x:c r="J344" s="4" t="n">
        <x:f>IF($D$4="Ready",ROUND(I344-F344,2),"n.a.")</x:f>
        <x:v>0</x:v>
      </x:c>
      <x:c r="K344" s="4" t="n">
        <x:f>IF($D$4="Ready",MAX(0,ROUND(E344+F344-I344,2)),"n.a.")</x:f>
        <x:v>0</x:v>
      </x:c>
      <x:c r="L344" s="4"/>
    </x:row>
    <x:row r="345" ht="22" customHeight="1">
      <x:c r="A345" s="2"/>
      <x:c r="B345" s="2"/>
      <x:c r="C345" s="21" t="n">
        <x:f>329</x:f>
        <x:v>329</x:v>
      </x:c>
      <x:c r="D345" s="22" t="n">
        <x:f>IF($D$4="Ready",EDATE($D$9,C345-1),"n.a.")</x:f>
        <x:v>56309</x:v>
      </x:c>
      <x:c r="E345" s="4" t="n">
        <x:f>IF($D$4="Ready",K344,"n.a.")</x:f>
        <x:v>0</x:v>
      </x:c>
      <x:c r="F345" s="4" t="n">
        <x:f>IF($D$4="Ready",ROUND(E345*$D$6/12,2),"n.a.")</x:f>
        <x:v>0</x:v>
      </x:c>
      <x:c r="G345" s="4" t="n">
        <x:f>IF($D$4="Ready",IF(C345&gt;$D$7,0,IF(C345=$D$7,E345+F345,MIN($D$11,E345+F345))),"n.a.")</x:f>
        <x:v>0</x:v>
      </x:c>
      <x:c r="H345" s="4" t="n">
        <x:f>IF($D$4="Ready",MIN($D$8,MAX(0,E345+F345-G345)),"n.a.")</x:f>
        <x:v>0</x:v>
      </x:c>
      <x:c r="I345" s="4" t="n">
        <x:f>IF($D$4="Ready",ROUND(G345+H345,2),"n.a.")</x:f>
        <x:v>0</x:v>
      </x:c>
      <x:c r="J345" s="4" t="n">
        <x:f>IF($D$4="Ready",ROUND(I345-F345,2),"n.a.")</x:f>
        <x:v>0</x:v>
      </x:c>
      <x:c r="K345" s="4" t="n">
        <x:f>IF($D$4="Ready",MAX(0,ROUND(E345+F345-I345,2)),"n.a.")</x:f>
        <x:v>0</x:v>
      </x:c>
      <x:c r="L345" s="4"/>
    </x:row>
    <x:row r="346" ht="22" customHeight="1">
      <x:c r="A346" s="2"/>
      <x:c r="B346" s="2"/>
      <x:c r="C346" s="21" t="n">
        <x:f>330</x:f>
        <x:v>330</x:v>
      </x:c>
      <x:c r="D346" s="22" t="n">
        <x:f>IF($D$4="Ready",EDATE($D$9,C346-1),"n.a.")</x:f>
        <x:v>56340</x:v>
      </x:c>
      <x:c r="E346" s="4" t="n">
        <x:f>IF($D$4="Ready",K345,"n.a.")</x:f>
        <x:v>0</x:v>
      </x:c>
      <x:c r="F346" s="4" t="n">
        <x:f>IF($D$4="Ready",ROUND(E346*$D$6/12,2),"n.a.")</x:f>
        <x:v>0</x:v>
      </x:c>
      <x:c r="G346" s="4" t="n">
        <x:f>IF($D$4="Ready",IF(C346&gt;$D$7,0,IF(C346=$D$7,E346+F346,MIN($D$11,E346+F346))),"n.a.")</x:f>
        <x:v>0</x:v>
      </x:c>
      <x:c r="H346" s="4" t="n">
        <x:f>IF($D$4="Ready",MIN($D$8,MAX(0,E346+F346-G346)),"n.a.")</x:f>
        <x:v>0</x:v>
      </x:c>
      <x:c r="I346" s="4" t="n">
        <x:f>IF($D$4="Ready",ROUND(G346+H346,2),"n.a.")</x:f>
        <x:v>0</x:v>
      </x:c>
      <x:c r="J346" s="4" t="n">
        <x:f>IF($D$4="Ready",ROUND(I346-F346,2),"n.a.")</x:f>
        <x:v>0</x:v>
      </x:c>
      <x:c r="K346" s="4" t="n">
        <x:f>IF($D$4="Ready",MAX(0,ROUND(E346+F346-I346,2)),"n.a.")</x:f>
        <x:v>0</x:v>
      </x:c>
      <x:c r="L346" s="4"/>
    </x:row>
    <x:row r="347" ht="22" customHeight="1">
      <x:c r="A347" s="2"/>
      <x:c r="B347" s="2"/>
      <x:c r="C347" s="21" t="n">
        <x:f>331</x:f>
        <x:v>331</x:v>
      </x:c>
      <x:c r="D347" s="22" t="n">
        <x:f>IF($D$4="Ready",EDATE($D$9,C347-1),"n.a.")</x:f>
        <x:v>56370</x:v>
      </x:c>
      <x:c r="E347" s="4" t="n">
        <x:f>IF($D$4="Ready",K346,"n.a.")</x:f>
        <x:v>0</x:v>
      </x:c>
      <x:c r="F347" s="4" t="n">
        <x:f>IF($D$4="Ready",ROUND(E347*$D$6/12,2),"n.a.")</x:f>
        <x:v>0</x:v>
      </x:c>
      <x:c r="G347" s="4" t="n">
        <x:f>IF($D$4="Ready",IF(C347&gt;$D$7,0,IF(C347=$D$7,E347+F347,MIN($D$11,E347+F347))),"n.a.")</x:f>
        <x:v>0</x:v>
      </x:c>
      <x:c r="H347" s="4" t="n">
        <x:f>IF($D$4="Ready",MIN($D$8,MAX(0,E347+F347-G347)),"n.a.")</x:f>
        <x:v>0</x:v>
      </x:c>
      <x:c r="I347" s="4" t="n">
        <x:f>IF($D$4="Ready",ROUND(G347+H347,2),"n.a.")</x:f>
        <x:v>0</x:v>
      </x:c>
      <x:c r="J347" s="4" t="n">
        <x:f>IF($D$4="Ready",ROUND(I347-F347,2),"n.a.")</x:f>
        <x:v>0</x:v>
      </x:c>
      <x:c r="K347" s="4" t="n">
        <x:f>IF($D$4="Ready",MAX(0,ROUND(E347+F347-I347,2)),"n.a.")</x:f>
        <x:v>0</x:v>
      </x:c>
      <x:c r="L347" s="4"/>
    </x:row>
    <x:row r="348" ht="22" customHeight="1">
      <x:c r="A348" s="2"/>
      <x:c r="B348" s="2"/>
      <x:c r="C348" s="21" t="n">
        <x:f>332</x:f>
        <x:v>332</x:v>
      </x:c>
      <x:c r="D348" s="22" t="n">
        <x:f>IF($D$4="Ready",EDATE($D$9,C348-1),"n.a.")</x:f>
        <x:v>56401</x:v>
      </x:c>
      <x:c r="E348" s="4" t="n">
        <x:f>IF($D$4="Ready",K347,"n.a.")</x:f>
        <x:v>0</x:v>
      </x:c>
      <x:c r="F348" s="4" t="n">
        <x:f>IF($D$4="Ready",ROUND(E348*$D$6/12,2),"n.a.")</x:f>
        <x:v>0</x:v>
      </x:c>
      <x:c r="G348" s="4" t="n">
        <x:f>IF($D$4="Ready",IF(C348&gt;$D$7,0,IF(C348=$D$7,E348+F348,MIN($D$11,E348+F348))),"n.a.")</x:f>
        <x:v>0</x:v>
      </x:c>
      <x:c r="H348" s="4" t="n">
        <x:f>IF($D$4="Ready",MIN($D$8,MAX(0,E348+F348-G348)),"n.a.")</x:f>
        <x:v>0</x:v>
      </x:c>
      <x:c r="I348" s="4" t="n">
        <x:f>IF($D$4="Ready",ROUND(G348+H348,2),"n.a.")</x:f>
        <x:v>0</x:v>
      </x:c>
      <x:c r="J348" s="4" t="n">
        <x:f>IF($D$4="Ready",ROUND(I348-F348,2),"n.a.")</x:f>
        <x:v>0</x:v>
      </x:c>
      <x:c r="K348" s="4" t="n">
        <x:f>IF($D$4="Ready",MAX(0,ROUND(E348+F348-I348,2)),"n.a.")</x:f>
        <x:v>0</x:v>
      </x:c>
      <x:c r="L348" s="4"/>
    </x:row>
    <x:row r="349" ht="22" customHeight="1">
      <x:c r="A349" s="2"/>
      <x:c r="B349" s="2"/>
      <x:c r="C349" s="21" t="n">
        <x:f>333</x:f>
        <x:v>333</x:v>
      </x:c>
      <x:c r="D349" s="22" t="n">
        <x:f>IF($D$4="Ready",EDATE($D$9,C349-1),"n.a.")</x:f>
        <x:v>56431</x:v>
      </x:c>
      <x:c r="E349" s="4" t="n">
        <x:f>IF($D$4="Ready",K348,"n.a.")</x:f>
        <x:v>0</x:v>
      </x:c>
      <x:c r="F349" s="4" t="n">
        <x:f>IF($D$4="Ready",ROUND(E349*$D$6/12,2),"n.a.")</x:f>
        <x:v>0</x:v>
      </x:c>
      <x:c r="G349" s="4" t="n">
        <x:f>IF($D$4="Ready",IF(C349&gt;$D$7,0,IF(C349=$D$7,E349+F349,MIN($D$11,E349+F349))),"n.a.")</x:f>
        <x:v>0</x:v>
      </x:c>
      <x:c r="H349" s="4" t="n">
        <x:f>IF($D$4="Ready",MIN($D$8,MAX(0,E349+F349-G349)),"n.a.")</x:f>
        <x:v>0</x:v>
      </x:c>
      <x:c r="I349" s="4" t="n">
        <x:f>IF($D$4="Ready",ROUND(G349+H349,2),"n.a.")</x:f>
        <x:v>0</x:v>
      </x:c>
      <x:c r="J349" s="4" t="n">
        <x:f>IF($D$4="Ready",ROUND(I349-F349,2),"n.a.")</x:f>
        <x:v>0</x:v>
      </x:c>
      <x:c r="K349" s="4" t="n">
        <x:f>IF($D$4="Ready",MAX(0,ROUND(E349+F349-I349,2)),"n.a.")</x:f>
        <x:v>0</x:v>
      </x:c>
      <x:c r="L349" s="4"/>
    </x:row>
    <x:row r="350" ht="22" customHeight="1">
      <x:c r="A350" s="2"/>
      <x:c r="B350" s="2"/>
      <x:c r="C350" s="21" t="n">
        <x:f>334</x:f>
        <x:v>334</x:v>
      </x:c>
      <x:c r="D350" s="22" t="n">
        <x:f>IF($D$4="Ready",EDATE($D$9,C350-1),"n.a.")</x:f>
        <x:v>56462</x:v>
      </x:c>
      <x:c r="E350" s="4" t="n">
        <x:f>IF($D$4="Ready",K349,"n.a.")</x:f>
        <x:v>0</x:v>
      </x:c>
      <x:c r="F350" s="4" t="n">
        <x:f>IF($D$4="Ready",ROUND(E350*$D$6/12,2),"n.a.")</x:f>
        <x:v>0</x:v>
      </x:c>
      <x:c r="G350" s="4" t="n">
        <x:f>IF($D$4="Ready",IF(C350&gt;$D$7,0,IF(C350=$D$7,E350+F350,MIN($D$11,E350+F350))),"n.a.")</x:f>
        <x:v>0</x:v>
      </x:c>
      <x:c r="H350" s="4" t="n">
        <x:f>IF($D$4="Ready",MIN($D$8,MAX(0,E350+F350-G350)),"n.a.")</x:f>
        <x:v>0</x:v>
      </x:c>
      <x:c r="I350" s="4" t="n">
        <x:f>IF($D$4="Ready",ROUND(G350+H350,2),"n.a.")</x:f>
        <x:v>0</x:v>
      </x:c>
      <x:c r="J350" s="4" t="n">
        <x:f>IF($D$4="Ready",ROUND(I350-F350,2),"n.a.")</x:f>
        <x:v>0</x:v>
      </x:c>
      <x:c r="K350" s="4" t="n">
        <x:f>IF($D$4="Ready",MAX(0,ROUND(E350+F350-I350,2)),"n.a.")</x:f>
        <x:v>0</x:v>
      </x:c>
      <x:c r="L350" s="4"/>
    </x:row>
    <x:row r="351" ht="22" customHeight="1">
      <x:c r="A351" s="2"/>
      <x:c r="B351" s="2"/>
      <x:c r="C351" s="21" t="n">
        <x:f>335</x:f>
        <x:v>335</x:v>
      </x:c>
      <x:c r="D351" s="22" t="n">
        <x:f>IF($D$4="Ready",EDATE($D$9,C351-1),"n.a.")</x:f>
        <x:v>56493</x:v>
      </x:c>
      <x:c r="E351" s="4" t="n">
        <x:f>IF($D$4="Ready",K350,"n.a.")</x:f>
        <x:v>0</x:v>
      </x:c>
      <x:c r="F351" s="4" t="n">
        <x:f>IF($D$4="Ready",ROUND(E351*$D$6/12,2),"n.a.")</x:f>
        <x:v>0</x:v>
      </x:c>
      <x:c r="G351" s="4" t="n">
        <x:f>IF($D$4="Ready",IF(C351&gt;$D$7,0,IF(C351=$D$7,E351+F351,MIN($D$11,E351+F351))),"n.a.")</x:f>
        <x:v>0</x:v>
      </x:c>
      <x:c r="H351" s="4" t="n">
        <x:f>IF($D$4="Ready",MIN($D$8,MAX(0,E351+F351-G351)),"n.a.")</x:f>
        <x:v>0</x:v>
      </x:c>
      <x:c r="I351" s="4" t="n">
        <x:f>IF($D$4="Ready",ROUND(G351+H351,2),"n.a.")</x:f>
        <x:v>0</x:v>
      </x:c>
      <x:c r="J351" s="4" t="n">
        <x:f>IF($D$4="Ready",ROUND(I351-F351,2),"n.a.")</x:f>
        <x:v>0</x:v>
      </x:c>
      <x:c r="K351" s="4" t="n">
        <x:f>IF($D$4="Ready",MAX(0,ROUND(E351+F351-I351,2)),"n.a.")</x:f>
        <x:v>0</x:v>
      </x:c>
      <x:c r="L351" s="4"/>
    </x:row>
    <x:row r="352" ht="22" customHeight="1">
      <x:c r="A352" s="2"/>
      <x:c r="B352" s="2"/>
      <x:c r="C352" s="21" t="n">
        <x:f>336</x:f>
        <x:v>336</x:v>
      </x:c>
      <x:c r="D352" s="22" t="n">
        <x:f>IF($D$4="Ready",EDATE($D$9,C352-1),"n.a.")</x:f>
        <x:v>56523</x:v>
      </x:c>
      <x:c r="E352" s="4" t="n">
        <x:f>IF($D$4="Ready",K351,"n.a.")</x:f>
        <x:v>0</x:v>
      </x:c>
      <x:c r="F352" s="4" t="n">
        <x:f>IF($D$4="Ready",ROUND(E352*$D$6/12,2),"n.a.")</x:f>
        <x:v>0</x:v>
      </x:c>
      <x:c r="G352" s="4" t="n">
        <x:f>IF($D$4="Ready",IF(C352&gt;$D$7,0,IF(C352=$D$7,E352+F352,MIN($D$11,E352+F352))),"n.a.")</x:f>
        <x:v>0</x:v>
      </x:c>
      <x:c r="H352" s="4" t="n">
        <x:f>IF($D$4="Ready",MIN($D$8,MAX(0,E352+F352-G352)),"n.a.")</x:f>
        <x:v>0</x:v>
      </x:c>
      <x:c r="I352" s="4" t="n">
        <x:f>IF($D$4="Ready",ROUND(G352+H352,2),"n.a.")</x:f>
        <x:v>0</x:v>
      </x:c>
      <x:c r="J352" s="4" t="n">
        <x:f>IF($D$4="Ready",ROUND(I352-F352,2),"n.a.")</x:f>
        <x:v>0</x:v>
      </x:c>
      <x:c r="K352" s="4" t="n">
        <x:f>IF($D$4="Ready",MAX(0,ROUND(E352+F352-I352,2)),"n.a.")</x:f>
        <x:v>0</x:v>
      </x:c>
      <x:c r="L352" s="4"/>
    </x:row>
    <x:row r="353" ht="22" customHeight="1">
      <x:c r="A353" s="2"/>
      <x:c r="B353" s="2"/>
      <x:c r="C353" s="21" t="n">
        <x:f>337</x:f>
        <x:v>337</x:v>
      </x:c>
      <x:c r="D353" s="22" t="n">
        <x:f>IF($D$4="Ready",EDATE($D$9,C353-1),"n.a.")</x:f>
        <x:v>56554</x:v>
      </x:c>
      <x:c r="E353" s="4" t="n">
        <x:f>IF($D$4="Ready",K352,"n.a.")</x:f>
        <x:v>0</x:v>
      </x:c>
      <x:c r="F353" s="4" t="n">
        <x:f>IF($D$4="Ready",ROUND(E353*$D$6/12,2),"n.a.")</x:f>
        <x:v>0</x:v>
      </x:c>
      <x:c r="G353" s="4" t="n">
        <x:f>IF($D$4="Ready",IF(C353&gt;$D$7,0,IF(C353=$D$7,E353+F353,MIN($D$11,E353+F353))),"n.a.")</x:f>
        <x:v>0</x:v>
      </x:c>
      <x:c r="H353" s="4" t="n">
        <x:f>IF($D$4="Ready",MIN($D$8,MAX(0,E353+F353-G353)),"n.a.")</x:f>
        <x:v>0</x:v>
      </x:c>
      <x:c r="I353" s="4" t="n">
        <x:f>IF($D$4="Ready",ROUND(G353+H353,2),"n.a.")</x:f>
        <x:v>0</x:v>
      </x:c>
      <x:c r="J353" s="4" t="n">
        <x:f>IF($D$4="Ready",ROUND(I353-F353,2),"n.a.")</x:f>
        <x:v>0</x:v>
      </x:c>
      <x:c r="K353" s="4" t="n">
        <x:f>IF($D$4="Ready",MAX(0,ROUND(E353+F353-I353,2)),"n.a.")</x:f>
        <x:v>0</x:v>
      </x:c>
      <x:c r="L353" s="4"/>
    </x:row>
    <x:row r="354" ht="22" customHeight="1">
      <x:c r="A354" s="2"/>
      <x:c r="B354" s="2"/>
      <x:c r="C354" s="21" t="n">
        <x:f>338</x:f>
        <x:v>338</x:v>
      </x:c>
      <x:c r="D354" s="22" t="n">
        <x:f>IF($D$4="Ready",EDATE($D$9,C354-1),"n.a.")</x:f>
        <x:v>56584</x:v>
      </x:c>
      <x:c r="E354" s="4" t="n">
        <x:f>IF($D$4="Ready",K353,"n.a.")</x:f>
        <x:v>0</x:v>
      </x:c>
      <x:c r="F354" s="4" t="n">
        <x:f>IF($D$4="Ready",ROUND(E354*$D$6/12,2),"n.a.")</x:f>
        <x:v>0</x:v>
      </x:c>
      <x:c r="G354" s="4" t="n">
        <x:f>IF($D$4="Ready",IF(C354&gt;$D$7,0,IF(C354=$D$7,E354+F354,MIN($D$11,E354+F354))),"n.a.")</x:f>
        <x:v>0</x:v>
      </x:c>
      <x:c r="H354" s="4" t="n">
        <x:f>IF($D$4="Ready",MIN($D$8,MAX(0,E354+F354-G354)),"n.a.")</x:f>
        <x:v>0</x:v>
      </x:c>
      <x:c r="I354" s="4" t="n">
        <x:f>IF($D$4="Ready",ROUND(G354+H354,2),"n.a.")</x:f>
        <x:v>0</x:v>
      </x:c>
      <x:c r="J354" s="4" t="n">
        <x:f>IF($D$4="Ready",ROUND(I354-F354,2),"n.a.")</x:f>
        <x:v>0</x:v>
      </x:c>
      <x:c r="K354" s="4" t="n">
        <x:f>IF($D$4="Ready",MAX(0,ROUND(E354+F354-I354,2)),"n.a.")</x:f>
        <x:v>0</x:v>
      </x:c>
      <x:c r="L354" s="4"/>
    </x:row>
    <x:row r="355" ht="22" customHeight="1">
      <x:c r="A355" s="2"/>
      <x:c r="B355" s="2"/>
      <x:c r="C355" s="21" t="n">
        <x:f>339</x:f>
        <x:v>339</x:v>
      </x:c>
      <x:c r="D355" s="22" t="n">
        <x:f>IF($D$4="Ready",EDATE($D$9,C355-1),"n.a.")</x:f>
        <x:v>56615</x:v>
      </x:c>
      <x:c r="E355" s="4" t="n">
        <x:f>IF($D$4="Ready",K354,"n.a.")</x:f>
        <x:v>0</x:v>
      </x:c>
      <x:c r="F355" s="4" t="n">
        <x:f>IF($D$4="Ready",ROUND(E355*$D$6/12,2),"n.a.")</x:f>
        <x:v>0</x:v>
      </x:c>
      <x:c r="G355" s="4" t="n">
        <x:f>IF($D$4="Ready",IF(C355&gt;$D$7,0,IF(C355=$D$7,E355+F355,MIN($D$11,E355+F355))),"n.a.")</x:f>
        <x:v>0</x:v>
      </x:c>
      <x:c r="H355" s="4" t="n">
        <x:f>IF($D$4="Ready",MIN($D$8,MAX(0,E355+F355-G355)),"n.a.")</x:f>
        <x:v>0</x:v>
      </x:c>
      <x:c r="I355" s="4" t="n">
        <x:f>IF($D$4="Ready",ROUND(G355+H355,2),"n.a.")</x:f>
        <x:v>0</x:v>
      </x:c>
      <x:c r="J355" s="4" t="n">
        <x:f>IF($D$4="Ready",ROUND(I355-F355,2),"n.a.")</x:f>
        <x:v>0</x:v>
      </x:c>
      <x:c r="K355" s="4" t="n">
        <x:f>IF($D$4="Ready",MAX(0,ROUND(E355+F355-I355,2)),"n.a.")</x:f>
        <x:v>0</x:v>
      </x:c>
      <x:c r="L355" s="4"/>
    </x:row>
    <x:row r="356" ht="22" customHeight="1">
      <x:c r="A356" s="2"/>
      <x:c r="B356" s="2"/>
      <x:c r="C356" s="21" t="n">
        <x:f>340</x:f>
        <x:v>340</x:v>
      </x:c>
      <x:c r="D356" s="22" t="n">
        <x:f>IF($D$4="Ready",EDATE($D$9,C356-1),"n.a.")</x:f>
        <x:v>56646</x:v>
      </x:c>
      <x:c r="E356" s="4" t="n">
        <x:f>IF($D$4="Ready",K355,"n.a.")</x:f>
        <x:v>0</x:v>
      </x:c>
      <x:c r="F356" s="4" t="n">
        <x:f>IF($D$4="Ready",ROUND(E356*$D$6/12,2),"n.a.")</x:f>
        <x:v>0</x:v>
      </x:c>
      <x:c r="G356" s="4" t="n">
        <x:f>IF($D$4="Ready",IF(C356&gt;$D$7,0,IF(C356=$D$7,E356+F356,MIN($D$11,E356+F356))),"n.a.")</x:f>
        <x:v>0</x:v>
      </x:c>
      <x:c r="H356" s="4" t="n">
        <x:f>IF($D$4="Ready",MIN($D$8,MAX(0,E356+F356-G356)),"n.a.")</x:f>
        <x:v>0</x:v>
      </x:c>
      <x:c r="I356" s="4" t="n">
        <x:f>IF($D$4="Ready",ROUND(G356+H356,2),"n.a.")</x:f>
        <x:v>0</x:v>
      </x:c>
      <x:c r="J356" s="4" t="n">
        <x:f>IF($D$4="Ready",ROUND(I356-F356,2),"n.a.")</x:f>
        <x:v>0</x:v>
      </x:c>
      <x:c r="K356" s="4" t="n">
        <x:f>IF($D$4="Ready",MAX(0,ROUND(E356+F356-I356,2)),"n.a.")</x:f>
        <x:v>0</x:v>
      </x:c>
      <x:c r="L356" s="4"/>
    </x:row>
    <x:row r="357" ht="22" customHeight="1">
      <x:c r="A357" s="2"/>
      <x:c r="B357" s="2"/>
      <x:c r="C357" s="21" t="n">
        <x:f>341</x:f>
        <x:v>341</x:v>
      </x:c>
      <x:c r="D357" s="22" t="n">
        <x:f>IF($D$4="Ready",EDATE($D$9,C357-1),"n.a.")</x:f>
        <x:v>56674</x:v>
      </x:c>
      <x:c r="E357" s="4" t="n">
        <x:f>IF($D$4="Ready",K356,"n.a.")</x:f>
        <x:v>0</x:v>
      </x:c>
      <x:c r="F357" s="4" t="n">
        <x:f>IF($D$4="Ready",ROUND(E357*$D$6/12,2),"n.a.")</x:f>
        <x:v>0</x:v>
      </x:c>
      <x:c r="G357" s="4" t="n">
        <x:f>IF($D$4="Ready",IF(C357&gt;$D$7,0,IF(C357=$D$7,E357+F357,MIN($D$11,E357+F357))),"n.a.")</x:f>
        <x:v>0</x:v>
      </x:c>
      <x:c r="H357" s="4" t="n">
        <x:f>IF($D$4="Ready",MIN($D$8,MAX(0,E357+F357-G357)),"n.a.")</x:f>
        <x:v>0</x:v>
      </x:c>
      <x:c r="I357" s="4" t="n">
        <x:f>IF($D$4="Ready",ROUND(G357+H357,2),"n.a.")</x:f>
        <x:v>0</x:v>
      </x:c>
      <x:c r="J357" s="4" t="n">
        <x:f>IF($D$4="Ready",ROUND(I357-F357,2),"n.a.")</x:f>
        <x:v>0</x:v>
      </x:c>
      <x:c r="K357" s="4" t="n">
        <x:f>IF($D$4="Ready",MAX(0,ROUND(E357+F357-I357,2)),"n.a.")</x:f>
        <x:v>0</x:v>
      </x:c>
      <x:c r="L357" s="4"/>
    </x:row>
    <x:row r="358" ht="22" customHeight="1">
      <x:c r="A358" s="2"/>
      <x:c r="B358" s="2"/>
      <x:c r="C358" s="21" t="n">
        <x:f>342</x:f>
        <x:v>342</x:v>
      </x:c>
      <x:c r="D358" s="22" t="n">
        <x:f>IF($D$4="Ready",EDATE($D$9,C358-1),"n.a.")</x:f>
        <x:v>56705</x:v>
      </x:c>
      <x:c r="E358" s="4" t="n">
        <x:f>IF($D$4="Ready",K357,"n.a.")</x:f>
        <x:v>0</x:v>
      </x:c>
      <x:c r="F358" s="4" t="n">
        <x:f>IF($D$4="Ready",ROUND(E358*$D$6/12,2),"n.a.")</x:f>
        <x:v>0</x:v>
      </x:c>
      <x:c r="G358" s="4" t="n">
        <x:f>IF($D$4="Ready",IF(C358&gt;$D$7,0,IF(C358=$D$7,E358+F358,MIN($D$11,E358+F358))),"n.a.")</x:f>
        <x:v>0</x:v>
      </x:c>
      <x:c r="H358" s="4" t="n">
        <x:f>IF($D$4="Ready",MIN($D$8,MAX(0,E358+F358-G358)),"n.a.")</x:f>
        <x:v>0</x:v>
      </x:c>
      <x:c r="I358" s="4" t="n">
        <x:f>IF($D$4="Ready",ROUND(G358+H358,2),"n.a.")</x:f>
        <x:v>0</x:v>
      </x:c>
      <x:c r="J358" s="4" t="n">
        <x:f>IF($D$4="Ready",ROUND(I358-F358,2),"n.a.")</x:f>
        <x:v>0</x:v>
      </x:c>
      <x:c r="K358" s="4" t="n">
        <x:f>IF($D$4="Ready",MAX(0,ROUND(E358+F358-I358,2)),"n.a.")</x:f>
        <x:v>0</x:v>
      </x:c>
      <x:c r="L358" s="4"/>
    </x:row>
    <x:row r="359" ht="22" customHeight="1">
      <x:c r="A359" s="2"/>
      <x:c r="B359" s="2"/>
      <x:c r="C359" s="21" t="n">
        <x:f>343</x:f>
        <x:v>343</x:v>
      </x:c>
      <x:c r="D359" s="22" t="n">
        <x:f>IF($D$4="Ready",EDATE($D$9,C359-1),"n.a.")</x:f>
        <x:v>56735</x:v>
      </x:c>
      <x:c r="E359" s="4" t="n">
        <x:f>IF($D$4="Ready",K358,"n.a.")</x:f>
        <x:v>0</x:v>
      </x:c>
      <x:c r="F359" s="4" t="n">
        <x:f>IF($D$4="Ready",ROUND(E359*$D$6/12,2),"n.a.")</x:f>
        <x:v>0</x:v>
      </x:c>
      <x:c r="G359" s="4" t="n">
        <x:f>IF($D$4="Ready",IF(C359&gt;$D$7,0,IF(C359=$D$7,E359+F359,MIN($D$11,E359+F359))),"n.a.")</x:f>
        <x:v>0</x:v>
      </x:c>
      <x:c r="H359" s="4" t="n">
        <x:f>IF($D$4="Ready",MIN($D$8,MAX(0,E359+F359-G359)),"n.a.")</x:f>
        <x:v>0</x:v>
      </x:c>
      <x:c r="I359" s="4" t="n">
        <x:f>IF($D$4="Ready",ROUND(G359+H359,2),"n.a.")</x:f>
        <x:v>0</x:v>
      </x:c>
      <x:c r="J359" s="4" t="n">
        <x:f>IF($D$4="Ready",ROUND(I359-F359,2),"n.a.")</x:f>
        <x:v>0</x:v>
      </x:c>
      <x:c r="K359" s="4" t="n">
        <x:f>IF($D$4="Ready",MAX(0,ROUND(E359+F359-I359,2)),"n.a.")</x:f>
        <x:v>0</x:v>
      </x:c>
      <x:c r="L359" s="4"/>
    </x:row>
    <x:row r="360" ht="22" customHeight="1">
      <x:c r="A360" s="2"/>
      <x:c r="B360" s="2"/>
      <x:c r="C360" s="21" t="n">
        <x:f>344</x:f>
        <x:v>344</x:v>
      </x:c>
      <x:c r="D360" s="22" t="n">
        <x:f>IF($D$4="Ready",EDATE($D$9,C360-1),"n.a.")</x:f>
        <x:v>56766</x:v>
      </x:c>
      <x:c r="E360" s="4" t="n">
        <x:f>IF($D$4="Ready",K359,"n.a.")</x:f>
        <x:v>0</x:v>
      </x:c>
      <x:c r="F360" s="4" t="n">
        <x:f>IF($D$4="Ready",ROUND(E360*$D$6/12,2),"n.a.")</x:f>
        <x:v>0</x:v>
      </x:c>
      <x:c r="G360" s="4" t="n">
        <x:f>IF($D$4="Ready",IF(C360&gt;$D$7,0,IF(C360=$D$7,E360+F360,MIN($D$11,E360+F360))),"n.a.")</x:f>
        <x:v>0</x:v>
      </x:c>
      <x:c r="H360" s="4" t="n">
        <x:f>IF($D$4="Ready",MIN($D$8,MAX(0,E360+F360-G360)),"n.a.")</x:f>
        <x:v>0</x:v>
      </x:c>
      <x:c r="I360" s="4" t="n">
        <x:f>IF($D$4="Ready",ROUND(G360+H360,2),"n.a.")</x:f>
        <x:v>0</x:v>
      </x:c>
      <x:c r="J360" s="4" t="n">
        <x:f>IF($D$4="Ready",ROUND(I360-F360,2),"n.a.")</x:f>
        <x:v>0</x:v>
      </x:c>
      <x:c r="K360" s="4" t="n">
        <x:f>IF($D$4="Ready",MAX(0,ROUND(E360+F360-I360,2)),"n.a.")</x:f>
        <x:v>0</x:v>
      </x:c>
      <x:c r="L360" s="4"/>
    </x:row>
    <x:row r="361" ht="22" customHeight="1">
      <x:c r="A361" s="2"/>
      <x:c r="B361" s="2"/>
      <x:c r="C361" s="21" t="n">
        <x:f>345</x:f>
        <x:v>345</x:v>
      </x:c>
      <x:c r="D361" s="22" t="n">
        <x:f>IF($D$4="Ready",EDATE($D$9,C361-1),"n.a.")</x:f>
        <x:v>56796</x:v>
      </x:c>
      <x:c r="E361" s="4" t="n">
        <x:f>IF($D$4="Ready",K360,"n.a.")</x:f>
        <x:v>0</x:v>
      </x:c>
      <x:c r="F361" s="4" t="n">
        <x:f>IF($D$4="Ready",ROUND(E361*$D$6/12,2),"n.a.")</x:f>
        <x:v>0</x:v>
      </x:c>
      <x:c r="G361" s="4" t="n">
        <x:f>IF($D$4="Ready",IF(C361&gt;$D$7,0,IF(C361=$D$7,E361+F361,MIN($D$11,E361+F361))),"n.a.")</x:f>
        <x:v>0</x:v>
      </x:c>
      <x:c r="H361" s="4" t="n">
        <x:f>IF($D$4="Ready",MIN($D$8,MAX(0,E361+F361-G361)),"n.a.")</x:f>
        <x:v>0</x:v>
      </x:c>
      <x:c r="I361" s="4" t="n">
        <x:f>IF($D$4="Ready",ROUND(G361+H361,2),"n.a.")</x:f>
        <x:v>0</x:v>
      </x:c>
      <x:c r="J361" s="4" t="n">
        <x:f>IF($D$4="Ready",ROUND(I361-F361,2),"n.a.")</x:f>
        <x:v>0</x:v>
      </x:c>
      <x:c r="K361" s="4" t="n">
        <x:f>IF($D$4="Ready",MAX(0,ROUND(E361+F361-I361,2)),"n.a.")</x:f>
        <x:v>0</x:v>
      </x:c>
      <x:c r="L361" s="4"/>
    </x:row>
    <x:row r="362" ht="22" customHeight="1">
      <x:c r="A362" s="2"/>
      <x:c r="B362" s="2"/>
      <x:c r="C362" s="21" t="n">
        <x:f>346</x:f>
        <x:v>346</x:v>
      </x:c>
      <x:c r="D362" s="22" t="n">
        <x:f>IF($D$4="Ready",EDATE($D$9,C362-1),"n.a.")</x:f>
        <x:v>56827</x:v>
      </x:c>
      <x:c r="E362" s="4" t="n">
        <x:f>IF($D$4="Ready",K361,"n.a.")</x:f>
        <x:v>0</x:v>
      </x:c>
      <x:c r="F362" s="4" t="n">
        <x:f>IF($D$4="Ready",ROUND(E362*$D$6/12,2),"n.a.")</x:f>
        <x:v>0</x:v>
      </x:c>
      <x:c r="G362" s="4" t="n">
        <x:f>IF($D$4="Ready",IF(C362&gt;$D$7,0,IF(C362=$D$7,E362+F362,MIN($D$11,E362+F362))),"n.a.")</x:f>
        <x:v>0</x:v>
      </x:c>
      <x:c r="H362" s="4" t="n">
        <x:f>IF($D$4="Ready",MIN($D$8,MAX(0,E362+F362-G362)),"n.a.")</x:f>
        <x:v>0</x:v>
      </x:c>
      <x:c r="I362" s="4" t="n">
        <x:f>IF($D$4="Ready",ROUND(G362+H362,2),"n.a.")</x:f>
        <x:v>0</x:v>
      </x:c>
      <x:c r="J362" s="4" t="n">
        <x:f>IF($D$4="Ready",ROUND(I362-F362,2),"n.a.")</x:f>
        <x:v>0</x:v>
      </x:c>
      <x:c r="K362" s="4" t="n">
        <x:f>IF($D$4="Ready",MAX(0,ROUND(E362+F362-I362,2)),"n.a.")</x:f>
        <x:v>0</x:v>
      </x:c>
      <x:c r="L362" s="4"/>
    </x:row>
    <x:row r="363" ht="22" customHeight="1">
      <x:c r="A363" s="2"/>
      <x:c r="B363" s="2"/>
      <x:c r="C363" s="21" t="n">
        <x:f>347</x:f>
        <x:v>347</x:v>
      </x:c>
      <x:c r="D363" s="22" t="n">
        <x:f>IF($D$4="Ready",EDATE($D$9,C363-1),"n.a.")</x:f>
        <x:v>56858</x:v>
      </x:c>
      <x:c r="E363" s="4" t="n">
        <x:f>IF($D$4="Ready",K362,"n.a.")</x:f>
        <x:v>0</x:v>
      </x:c>
      <x:c r="F363" s="4" t="n">
        <x:f>IF($D$4="Ready",ROUND(E363*$D$6/12,2),"n.a.")</x:f>
        <x:v>0</x:v>
      </x:c>
      <x:c r="G363" s="4" t="n">
        <x:f>IF($D$4="Ready",IF(C363&gt;$D$7,0,IF(C363=$D$7,E363+F363,MIN($D$11,E363+F363))),"n.a.")</x:f>
        <x:v>0</x:v>
      </x:c>
      <x:c r="H363" s="4" t="n">
        <x:f>IF($D$4="Ready",MIN($D$8,MAX(0,E363+F363-G363)),"n.a.")</x:f>
        <x:v>0</x:v>
      </x:c>
      <x:c r="I363" s="4" t="n">
        <x:f>IF($D$4="Ready",ROUND(G363+H363,2),"n.a.")</x:f>
        <x:v>0</x:v>
      </x:c>
      <x:c r="J363" s="4" t="n">
        <x:f>IF($D$4="Ready",ROUND(I363-F363,2),"n.a.")</x:f>
        <x:v>0</x:v>
      </x:c>
      <x:c r="K363" s="4" t="n">
        <x:f>IF($D$4="Ready",MAX(0,ROUND(E363+F363-I363,2)),"n.a.")</x:f>
        <x:v>0</x:v>
      </x:c>
      <x:c r="L363" s="4"/>
    </x:row>
    <x:row r="364" ht="22" customHeight="1">
      <x:c r="A364" s="2"/>
      <x:c r="B364" s="2"/>
      <x:c r="C364" s="21" t="n">
        <x:f>348</x:f>
        <x:v>348</x:v>
      </x:c>
      <x:c r="D364" s="22" t="n">
        <x:f>IF($D$4="Ready",EDATE($D$9,C364-1),"n.a.")</x:f>
        <x:v>56888</x:v>
      </x:c>
      <x:c r="E364" s="4" t="n">
        <x:f>IF($D$4="Ready",K363,"n.a.")</x:f>
        <x:v>0</x:v>
      </x:c>
      <x:c r="F364" s="4" t="n">
        <x:f>IF($D$4="Ready",ROUND(E364*$D$6/12,2),"n.a.")</x:f>
        <x:v>0</x:v>
      </x:c>
      <x:c r="G364" s="4" t="n">
        <x:f>IF($D$4="Ready",IF(C364&gt;$D$7,0,IF(C364=$D$7,E364+F364,MIN($D$11,E364+F364))),"n.a.")</x:f>
        <x:v>0</x:v>
      </x:c>
      <x:c r="H364" s="4" t="n">
        <x:f>IF($D$4="Ready",MIN($D$8,MAX(0,E364+F364-G364)),"n.a.")</x:f>
        <x:v>0</x:v>
      </x:c>
      <x:c r="I364" s="4" t="n">
        <x:f>IF($D$4="Ready",ROUND(G364+H364,2),"n.a.")</x:f>
        <x:v>0</x:v>
      </x:c>
      <x:c r="J364" s="4" t="n">
        <x:f>IF($D$4="Ready",ROUND(I364-F364,2),"n.a.")</x:f>
        <x:v>0</x:v>
      </x:c>
      <x:c r="K364" s="4" t="n">
        <x:f>IF($D$4="Ready",MAX(0,ROUND(E364+F364-I364,2)),"n.a.")</x:f>
        <x:v>0</x:v>
      </x:c>
      <x:c r="L364" s="4"/>
    </x:row>
    <x:row r="365" ht="22" customHeight="1">
      <x:c r="A365" s="2"/>
      <x:c r="B365" s="2"/>
      <x:c r="C365" s="21" t="n">
        <x:f>349</x:f>
        <x:v>349</x:v>
      </x:c>
      <x:c r="D365" s="22" t="n">
        <x:f>IF($D$4="Ready",EDATE($D$9,C365-1),"n.a.")</x:f>
        <x:v>56919</x:v>
      </x:c>
      <x:c r="E365" s="4" t="n">
        <x:f>IF($D$4="Ready",K364,"n.a.")</x:f>
        <x:v>0</x:v>
      </x:c>
      <x:c r="F365" s="4" t="n">
        <x:f>IF($D$4="Ready",ROUND(E365*$D$6/12,2),"n.a.")</x:f>
        <x:v>0</x:v>
      </x:c>
      <x:c r="G365" s="4" t="n">
        <x:f>IF($D$4="Ready",IF(C365&gt;$D$7,0,IF(C365=$D$7,E365+F365,MIN($D$11,E365+F365))),"n.a.")</x:f>
        <x:v>0</x:v>
      </x:c>
      <x:c r="H365" s="4" t="n">
        <x:f>IF($D$4="Ready",MIN($D$8,MAX(0,E365+F365-G365)),"n.a.")</x:f>
        <x:v>0</x:v>
      </x:c>
      <x:c r="I365" s="4" t="n">
        <x:f>IF($D$4="Ready",ROUND(G365+H365,2),"n.a.")</x:f>
        <x:v>0</x:v>
      </x:c>
      <x:c r="J365" s="4" t="n">
        <x:f>IF($D$4="Ready",ROUND(I365-F365,2),"n.a.")</x:f>
        <x:v>0</x:v>
      </x:c>
      <x:c r="K365" s="4" t="n">
        <x:f>IF($D$4="Ready",MAX(0,ROUND(E365+F365-I365,2)),"n.a.")</x:f>
        <x:v>0</x:v>
      </x:c>
      <x:c r="L365" s="4"/>
    </x:row>
    <x:row r="366" ht="22" customHeight="1">
      <x:c r="A366" s="2"/>
      <x:c r="B366" s="2"/>
      <x:c r="C366" s="21" t="n">
        <x:f>350</x:f>
        <x:v>350</x:v>
      </x:c>
      <x:c r="D366" s="22" t="n">
        <x:f>IF($D$4="Ready",EDATE($D$9,C366-1),"n.a.")</x:f>
        <x:v>56949</x:v>
      </x:c>
      <x:c r="E366" s="4" t="n">
        <x:f>IF($D$4="Ready",K365,"n.a.")</x:f>
        <x:v>0</x:v>
      </x:c>
      <x:c r="F366" s="4" t="n">
        <x:f>IF($D$4="Ready",ROUND(E366*$D$6/12,2),"n.a.")</x:f>
        <x:v>0</x:v>
      </x:c>
      <x:c r="G366" s="4" t="n">
        <x:f>IF($D$4="Ready",IF(C366&gt;$D$7,0,IF(C366=$D$7,E366+F366,MIN($D$11,E366+F366))),"n.a.")</x:f>
        <x:v>0</x:v>
      </x:c>
      <x:c r="H366" s="4" t="n">
        <x:f>IF($D$4="Ready",MIN($D$8,MAX(0,E366+F366-G366)),"n.a.")</x:f>
        <x:v>0</x:v>
      </x:c>
      <x:c r="I366" s="4" t="n">
        <x:f>IF($D$4="Ready",ROUND(G366+H366,2),"n.a.")</x:f>
        <x:v>0</x:v>
      </x:c>
      <x:c r="J366" s="4" t="n">
        <x:f>IF($D$4="Ready",ROUND(I366-F366,2),"n.a.")</x:f>
        <x:v>0</x:v>
      </x:c>
      <x:c r="K366" s="4" t="n">
        <x:f>IF($D$4="Ready",MAX(0,ROUND(E366+F366-I366,2)),"n.a.")</x:f>
        <x:v>0</x:v>
      </x:c>
      <x:c r="L366" s="4"/>
    </x:row>
    <x:row r="367" ht="22" customHeight="1">
      <x:c r="A367" s="2"/>
      <x:c r="B367" s="2"/>
      <x:c r="C367" s="21" t="n">
        <x:f>351</x:f>
        <x:v>351</x:v>
      </x:c>
      <x:c r="D367" s="22" t="n">
        <x:f>IF($D$4="Ready",EDATE($D$9,C367-1),"n.a.")</x:f>
        <x:v>56980</x:v>
      </x:c>
      <x:c r="E367" s="4" t="n">
        <x:f>IF($D$4="Ready",K366,"n.a.")</x:f>
        <x:v>0</x:v>
      </x:c>
      <x:c r="F367" s="4" t="n">
        <x:f>IF($D$4="Ready",ROUND(E367*$D$6/12,2),"n.a.")</x:f>
        <x:v>0</x:v>
      </x:c>
      <x:c r="G367" s="4" t="n">
        <x:f>IF($D$4="Ready",IF(C367&gt;$D$7,0,IF(C367=$D$7,E367+F367,MIN($D$11,E367+F367))),"n.a.")</x:f>
        <x:v>0</x:v>
      </x:c>
      <x:c r="H367" s="4" t="n">
        <x:f>IF($D$4="Ready",MIN($D$8,MAX(0,E367+F367-G367)),"n.a.")</x:f>
        <x:v>0</x:v>
      </x:c>
      <x:c r="I367" s="4" t="n">
        <x:f>IF($D$4="Ready",ROUND(G367+H367,2),"n.a.")</x:f>
        <x:v>0</x:v>
      </x:c>
      <x:c r="J367" s="4" t="n">
        <x:f>IF($D$4="Ready",ROUND(I367-F367,2),"n.a.")</x:f>
        <x:v>0</x:v>
      </x:c>
      <x:c r="K367" s="4" t="n">
        <x:f>IF($D$4="Ready",MAX(0,ROUND(E367+F367-I367,2)),"n.a.")</x:f>
        <x:v>0</x:v>
      </x:c>
      <x:c r="L367" s="4"/>
    </x:row>
    <x:row r="368" ht="22" customHeight="1">
      <x:c r="A368" s="2"/>
      <x:c r="B368" s="2"/>
      <x:c r="C368" s="21" t="n">
        <x:f>352</x:f>
        <x:v>352</x:v>
      </x:c>
      <x:c r="D368" s="22" t="n">
        <x:f>IF($D$4="Ready",EDATE($D$9,C368-1),"n.a.")</x:f>
        <x:v>57011</x:v>
      </x:c>
      <x:c r="E368" s="4" t="n">
        <x:f>IF($D$4="Ready",K367,"n.a.")</x:f>
        <x:v>0</x:v>
      </x:c>
      <x:c r="F368" s="4" t="n">
        <x:f>IF($D$4="Ready",ROUND(E368*$D$6/12,2),"n.a.")</x:f>
        <x:v>0</x:v>
      </x:c>
      <x:c r="G368" s="4" t="n">
        <x:f>IF($D$4="Ready",IF(C368&gt;$D$7,0,IF(C368=$D$7,E368+F368,MIN($D$11,E368+F368))),"n.a.")</x:f>
        <x:v>0</x:v>
      </x:c>
      <x:c r="H368" s="4" t="n">
        <x:f>IF($D$4="Ready",MIN($D$8,MAX(0,E368+F368-G368)),"n.a.")</x:f>
        <x:v>0</x:v>
      </x:c>
      <x:c r="I368" s="4" t="n">
        <x:f>IF($D$4="Ready",ROUND(G368+H368,2),"n.a.")</x:f>
        <x:v>0</x:v>
      </x:c>
      <x:c r="J368" s="4" t="n">
        <x:f>IF($D$4="Ready",ROUND(I368-F368,2),"n.a.")</x:f>
        <x:v>0</x:v>
      </x:c>
      <x:c r="K368" s="4" t="n">
        <x:f>IF($D$4="Ready",MAX(0,ROUND(E368+F368-I368,2)),"n.a.")</x:f>
        <x:v>0</x:v>
      </x:c>
      <x:c r="L368" s="4"/>
    </x:row>
    <x:row r="369" ht="22" customHeight="1">
      <x:c r="A369" s="2"/>
      <x:c r="B369" s="2"/>
      <x:c r="C369" s="21" t="n">
        <x:f>353</x:f>
        <x:v>353</x:v>
      </x:c>
      <x:c r="D369" s="22" t="n">
        <x:f>IF($D$4="Ready",EDATE($D$9,C369-1),"n.a.")</x:f>
        <x:v>57040</x:v>
      </x:c>
      <x:c r="E369" s="4" t="n">
        <x:f>IF($D$4="Ready",K368,"n.a.")</x:f>
        <x:v>0</x:v>
      </x:c>
      <x:c r="F369" s="4" t="n">
        <x:f>IF($D$4="Ready",ROUND(E369*$D$6/12,2),"n.a.")</x:f>
        <x:v>0</x:v>
      </x:c>
      <x:c r="G369" s="4" t="n">
        <x:f>IF($D$4="Ready",IF(C369&gt;$D$7,0,IF(C369=$D$7,E369+F369,MIN($D$11,E369+F369))),"n.a.")</x:f>
        <x:v>0</x:v>
      </x:c>
      <x:c r="H369" s="4" t="n">
        <x:f>IF($D$4="Ready",MIN($D$8,MAX(0,E369+F369-G369)),"n.a.")</x:f>
        <x:v>0</x:v>
      </x:c>
      <x:c r="I369" s="4" t="n">
        <x:f>IF($D$4="Ready",ROUND(G369+H369,2),"n.a.")</x:f>
        <x:v>0</x:v>
      </x:c>
      <x:c r="J369" s="4" t="n">
        <x:f>IF($D$4="Ready",ROUND(I369-F369,2),"n.a.")</x:f>
        <x:v>0</x:v>
      </x:c>
      <x:c r="K369" s="4" t="n">
        <x:f>IF($D$4="Ready",MAX(0,ROUND(E369+F369-I369,2)),"n.a.")</x:f>
        <x:v>0</x:v>
      </x:c>
      <x:c r="L369" s="4"/>
    </x:row>
    <x:row r="370" ht="22" customHeight="1">
      <x:c r="A370" s="2"/>
      <x:c r="B370" s="2"/>
      <x:c r="C370" s="21" t="n">
        <x:f>354</x:f>
        <x:v>354</x:v>
      </x:c>
      <x:c r="D370" s="22" t="n">
        <x:f>IF($D$4="Ready",EDATE($D$9,C370-1),"n.a.")</x:f>
        <x:v>57071</x:v>
      </x:c>
      <x:c r="E370" s="4" t="n">
        <x:f>IF($D$4="Ready",K369,"n.a.")</x:f>
        <x:v>0</x:v>
      </x:c>
      <x:c r="F370" s="4" t="n">
        <x:f>IF($D$4="Ready",ROUND(E370*$D$6/12,2),"n.a.")</x:f>
        <x:v>0</x:v>
      </x:c>
      <x:c r="G370" s="4" t="n">
        <x:f>IF($D$4="Ready",IF(C370&gt;$D$7,0,IF(C370=$D$7,E370+F370,MIN($D$11,E370+F370))),"n.a.")</x:f>
        <x:v>0</x:v>
      </x:c>
      <x:c r="H370" s="4" t="n">
        <x:f>IF($D$4="Ready",MIN($D$8,MAX(0,E370+F370-G370)),"n.a.")</x:f>
        <x:v>0</x:v>
      </x:c>
      <x:c r="I370" s="4" t="n">
        <x:f>IF($D$4="Ready",ROUND(G370+H370,2),"n.a.")</x:f>
        <x:v>0</x:v>
      </x:c>
      <x:c r="J370" s="4" t="n">
        <x:f>IF($D$4="Ready",ROUND(I370-F370,2),"n.a.")</x:f>
        <x:v>0</x:v>
      </x:c>
      <x:c r="K370" s="4" t="n">
        <x:f>IF($D$4="Ready",MAX(0,ROUND(E370+F370-I370,2)),"n.a.")</x:f>
        <x:v>0</x:v>
      </x:c>
      <x:c r="L370" s="4"/>
    </x:row>
    <x:row r="371" ht="22" customHeight="1">
      <x:c r="A371" s="2"/>
      <x:c r="B371" s="2"/>
      <x:c r="C371" s="21" t="n">
        <x:f>355</x:f>
        <x:v>355</x:v>
      </x:c>
      <x:c r="D371" s="22" t="n">
        <x:f>IF($D$4="Ready",EDATE($D$9,C371-1),"n.a.")</x:f>
        <x:v>57101</x:v>
      </x:c>
      <x:c r="E371" s="4" t="n">
        <x:f>IF($D$4="Ready",K370,"n.a.")</x:f>
        <x:v>0</x:v>
      </x:c>
      <x:c r="F371" s="4" t="n">
        <x:f>IF($D$4="Ready",ROUND(E371*$D$6/12,2),"n.a.")</x:f>
        <x:v>0</x:v>
      </x:c>
      <x:c r="G371" s="4" t="n">
        <x:f>IF($D$4="Ready",IF(C371&gt;$D$7,0,IF(C371=$D$7,E371+F371,MIN($D$11,E371+F371))),"n.a.")</x:f>
        <x:v>0</x:v>
      </x:c>
      <x:c r="H371" s="4" t="n">
        <x:f>IF($D$4="Ready",MIN($D$8,MAX(0,E371+F371-G371)),"n.a.")</x:f>
        <x:v>0</x:v>
      </x:c>
      <x:c r="I371" s="4" t="n">
        <x:f>IF($D$4="Ready",ROUND(G371+H371,2),"n.a.")</x:f>
        <x:v>0</x:v>
      </x:c>
      <x:c r="J371" s="4" t="n">
        <x:f>IF($D$4="Ready",ROUND(I371-F371,2),"n.a.")</x:f>
        <x:v>0</x:v>
      </x:c>
      <x:c r="K371" s="4" t="n">
        <x:f>IF($D$4="Ready",MAX(0,ROUND(E371+F371-I371,2)),"n.a.")</x:f>
        <x:v>0</x:v>
      </x:c>
      <x:c r="L371" s="4"/>
    </x:row>
    <x:row r="372" ht="22" customHeight="1">
      <x:c r="A372" s="2"/>
      <x:c r="B372" s="2"/>
      <x:c r="C372" s="21" t="n">
        <x:f>356</x:f>
        <x:v>356</x:v>
      </x:c>
      <x:c r="D372" s="22" t="n">
        <x:f>IF($D$4="Ready",EDATE($D$9,C372-1),"n.a.")</x:f>
        <x:v>57132</x:v>
      </x:c>
      <x:c r="E372" s="4" t="n">
        <x:f>IF($D$4="Ready",K371,"n.a.")</x:f>
        <x:v>0</x:v>
      </x:c>
      <x:c r="F372" s="4" t="n">
        <x:f>IF($D$4="Ready",ROUND(E372*$D$6/12,2),"n.a.")</x:f>
        <x:v>0</x:v>
      </x:c>
      <x:c r="G372" s="4" t="n">
        <x:f>IF($D$4="Ready",IF(C372&gt;$D$7,0,IF(C372=$D$7,E372+F372,MIN($D$11,E372+F372))),"n.a.")</x:f>
        <x:v>0</x:v>
      </x:c>
      <x:c r="H372" s="4" t="n">
        <x:f>IF($D$4="Ready",MIN($D$8,MAX(0,E372+F372-G372)),"n.a.")</x:f>
        <x:v>0</x:v>
      </x:c>
      <x:c r="I372" s="4" t="n">
        <x:f>IF($D$4="Ready",ROUND(G372+H372,2),"n.a.")</x:f>
        <x:v>0</x:v>
      </x:c>
      <x:c r="J372" s="4" t="n">
        <x:f>IF($D$4="Ready",ROUND(I372-F372,2),"n.a.")</x:f>
        <x:v>0</x:v>
      </x:c>
      <x:c r="K372" s="4" t="n">
        <x:f>IF($D$4="Ready",MAX(0,ROUND(E372+F372-I372,2)),"n.a.")</x:f>
        <x:v>0</x:v>
      </x:c>
      <x:c r="L372" s="4"/>
    </x:row>
    <x:row r="373" ht="22" customHeight="1">
      <x:c r="A373" s="2"/>
      <x:c r="B373" s="2"/>
      <x:c r="C373" s="21" t="n">
        <x:f>357</x:f>
        <x:v>357</x:v>
      </x:c>
      <x:c r="D373" s="22" t="n">
        <x:f>IF($D$4="Ready",EDATE($D$9,C373-1),"n.a.")</x:f>
        <x:v>57162</x:v>
      </x:c>
      <x:c r="E373" s="4" t="n">
        <x:f>IF($D$4="Ready",K372,"n.a.")</x:f>
        <x:v>0</x:v>
      </x:c>
      <x:c r="F373" s="4" t="n">
        <x:f>IF($D$4="Ready",ROUND(E373*$D$6/12,2),"n.a.")</x:f>
        <x:v>0</x:v>
      </x:c>
      <x:c r="G373" s="4" t="n">
        <x:f>IF($D$4="Ready",IF(C373&gt;$D$7,0,IF(C373=$D$7,E373+F373,MIN($D$11,E373+F373))),"n.a.")</x:f>
        <x:v>0</x:v>
      </x:c>
      <x:c r="H373" s="4" t="n">
        <x:f>IF($D$4="Ready",MIN($D$8,MAX(0,E373+F373-G373)),"n.a.")</x:f>
        <x:v>0</x:v>
      </x:c>
      <x:c r="I373" s="4" t="n">
        <x:f>IF($D$4="Ready",ROUND(G373+H373,2),"n.a.")</x:f>
        <x:v>0</x:v>
      </x:c>
      <x:c r="J373" s="4" t="n">
        <x:f>IF($D$4="Ready",ROUND(I373-F373,2),"n.a.")</x:f>
        <x:v>0</x:v>
      </x:c>
      <x:c r="K373" s="4" t="n">
        <x:f>IF($D$4="Ready",MAX(0,ROUND(E373+F373-I373,2)),"n.a.")</x:f>
        <x:v>0</x:v>
      </x:c>
      <x:c r="L373" s="4"/>
    </x:row>
    <x:row r="374" ht="22" customHeight="1">
      <x:c r="A374" s="2"/>
      <x:c r="B374" s="2"/>
      <x:c r="C374" s="21" t="n">
        <x:f>358</x:f>
        <x:v>358</x:v>
      </x:c>
      <x:c r="D374" s="22" t="n">
        <x:f>IF($D$4="Ready",EDATE($D$9,C374-1),"n.a.")</x:f>
        <x:v>57193</x:v>
      </x:c>
      <x:c r="E374" s="4" t="n">
        <x:f>IF($D$4="Ready",K373,"n.a.")</x:f>
        <x:v>0</x:v>
      </x:c>
      <x:c r="F374" s="4" t="n">
        <x:f>IF($D$4="Ready",ROUND(E374*$D$6/12,2),"n.a.")</x:f>
        <x:v>0</x:v>
      </x:c>
      <x:c r="G374" s="4" t="n">
        <x:f>IF($D$4="Ready",IF(C374&gt;$D$7,0,IF(C374=$D$7,E374+F374,MIN($D$11,E374+F374))),"n.a.")</x:f>
        <x:v>0</x:v>
      </x:c>
      <x:c r="H374" s="4" t="n">
        <x:f>IF($D$4="Ready",MIN($D$8,MAX(0,E374+F374-G374)),"n.a.")</x:f>
        <x:v>0</x:v>
      </x:c>
      <x:c r="I374" s="4" t="n">
        <x:f>IF($D$4="Ready",ROUND(G374+H374,2),"n.a.")</x:f>
        <x:v>0</x:v>
      </x:c>
      <x:c r="J374" s="4" t="n">
        <x:f>IF($D$4="Ready",ROUND(I374-F374,2),"n.a.")</x:f>
        <x:v>0</x:v>
      </x:c>
      <x:c r="K374" s="4" t="n">
        <x:f>IF($D$4="Ready",MAX(0,ROUND(E374+F374-I374,2)),"n.a.")</x:f>
        <x:v>0</x:v>
      </x:c>
      <x:c r="L374" s="4"/>
    </x:row>
    <x:row r="375" ht="22" customHeight="1">
      <x:c r="A375" s="2"/>
      <x:c r="B375" s="2"/>
      <x:c r="C375" s="21" t="n">
        <x:f>359</x:f>
        <x:v>359</x:v>
      </x:c>
      <x:c r="D375" s="22" t="n">
        <x:f>IF($D$4="Ready",EDATE($D$9,C375-1),"n.a.")</x:f>
        <x:v>57224</x:v>
      </x:c>
      <x:c r="E375" s="4" t="n">
        <x:f>IF($D$4="Ready",K374,"n.a.")</x:f>
        <x:v>0</x:v>
      </x:c>
      <x:c r="F375" s="4" t="n">
        <x:f>IF($D$4="Ready",ROUND(E375*$D$6/12,2),"n.a.")</x:f>
        <x:v>0</x:v>
      </x:c>
      <x:c r="G375" s="4" t="n">
        <x:f>IF($D$4="Ready",IF(C375&gt;$D$7,0,IF(C375=$D$7,E375+F375,MIN($D$11,E375+F375))),"n.a.")</x:f>
        <x:v>0</x:v>
      </x:c>
      <x:c r="H375" s="4" t="n">
        <x:f>IF($D$4="Ready",MIN($D$8,MAX(0,E375+F375-G375)),"n.a.")</x:f>
        <x:v>0</x:v>
      </x:c>
      <x:c r="I375" s="4" t="n">
        <x:f>IF($D$4="Ready",ROUND(G375+H375,2),"n.a.")</x:f>
        <x:v>0</x:v>
      </x:c>
      <x:c r="J375" s="4" t="n">
        <x:f>IF($D$4="Ready",ROUND(I375-F375,2),"n.a.")</x:f>
        <x:v>0</x:v>
      </x:c>
      <x:c r="K375" s="4" t="n">
        <x:f>IF($D$4="Ready",MAX(0,ROUND(E375+F375-I375,2)),"n.a.")</x:f>
        <x:v>0</x:v>
      </x:c>
      <x:c r="L375" s="4"/>
    </x:row>
    <x:row r="376" ht="22" customHeight="1">
      <x:c r="A376" s="2"/>
      <x:c r="B376" s="2"/>
      <x:c r="C376" s="21" t="n">
        <x:f>360</x:f>
        <x:v>360</x:v>
      </x:c>
      <x:c r="D376" s="22" t="n">
        <x:f>IF($D$4="Ready",EDATE($D$9,C376-1),"n.a.")</x:f>
        <x:v>57254</x:v>
      </x:c>
      <x:c r="E376" s="4" t="n">
        <x:f>IF($D$4="Ready",K375,"n.a.")</x:f>
        <x:v>0</x:v>
      </x:c>
      <x:c r="F376" s="4" t="n">
        <x:f>IF($D$4="Ready",ROUND(E376*$D$6/12,2),"n.a.")</x:f>
        <x:v>0</x:v>
      </x:c>
      <x:c r="G376" s="4" t="n">
        <x:f>IF($D$4="Ready",IF(C376&gt;$D$7,0,IF(C376=$D$7,E376+F376,MIN($D$11,E376+F376))),"n.a.")</x:f>
        <x:v>0</x:v>
      </x:c>
      <x:c r="H376" s="4" t="n">
        <x:f>IF($D$4="Ready",MIN($D$8,MAX(0,E376+F376-G376)),"n.a.")</x:f>
        <x:v>0</x:v>
      </x:c>
      <x:c r="I376" s="4" t="n">
        <x:f>IF($D$4="Ready",ROUND(G376+H376,2),"n.a.")</x:f>
        <x:v>0</x:v>
      </x:c>
      <x:c r="J376" s="4" t="n">
        <x:f>IF($D$4="Ready",ROUND(I376-F376,2),"n.a.")</x:f>
        <x:v>0</x:v>
      </x:c>
      <x:c r="K376" s="4" t="n">
        <x:f>IF($D$4="Ready",MAX(0,ROUND(E376+F376-I376,2)),"n.a.")</x:f>
        <x:v>0</x:v>
      </x:c>
      <x:c r="L376" s="4"/>
    </x:row>
  </x:sheetData>
  <x:dataValidations count="4">
    <x:dataValidation type="decimal" operator="between" sqref="D5">
      <x:formula1>0</x:formula1>
      <x:formula2>1000000000</x:formula2>
    </x:dataValidation>
    <x:dataValidation type="decimal" operator="between" sqref="D6">
      <x:formula1>0</x:formula1>
      <x:formula2>1</x:formula2>
    </x:dataValidation>
    <x:dataValidation type="whole" operator="between" sqref="D7">
      <x:formula1>0</x:formula1>
      <x:formula2>1000000000</x:formula2>
    </x:dataValidation>
    <x:dataValidation type="decimal" operator="between" sqref="D8">
      <x:formula1>0</x:formula1>
      <x:formula2>1000000000</x:formula2>
    </x:dataValidation>
  </x:dataValidations>
  <x:pageMargins left="0.7" right="0.7" top="0.75" bottom="0.75" header="0.3" footer="0.3"/>
  <x:legacyDrawing xmlns:r="http://schemas.openxmlformats.org/officeDocument/2006/relationships" r:id="R0e4fd5ed9a3b4b8c"/>
</x:worksheet>
</file>