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96c44964a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f997a06ac2f841bc"/>
    <x:sheet xmlns:r="http://schemas.openxmlformats.org/officeDocument/2006/relationships" name="Schedule" sheetId="2" r:id="R7d05f0e22d244278"/>
    <x:sheet xmlns:r="http://schemas.openxmlformats.org/officeDocument/2006/relationships" name="Inputs" sheetId="3" r:id="R1737fa82c1774255"/>
  </x:sheets>
</x:workbook>
</file>

<file path=xl/comments1.xml><?xml version="1.0" encoding="utf-8"?>
<x:comments xmlns:x="http://schemas.openxmlformats.org/spreadsheetml/2006/main">
  <x:authors>
    <x:author/>
  </x:authors>
  <x:commentList>
    <x:comment ref="D11" authorId="0">
      <x:text>
        <x:r>
          <x:t>Invented USD examples. Strategies: CFPB Debt action plan, https://www.consumerfinance.gov/archive/blog/how-reduce-your-debt/. Monthly interest is an illustrative APR/12 convention; actual card interest often uses daily balances: https://www.consumerfinance.gov/ask-cfpb/how-does-my-credit-card-company-calculate-the-amount-of-interest-i-owe-en-51/.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;(&quot;$&quot;#,##0.00);&quot;-&quot;"/>
    <x:numFmt numFmtId="201" formatCode="0"/>
    <x:numFmt numFmtId="202" formatCode="mmm d, yyyy"/>
    <x:numFmt numFmtId="203" formatCode="0.0%;(0.0%);&quot;-&quot;"/>
  </x:numFmts>
  <x:fonts count="7">
    <x:font>
      <x:sz val="11"/>
      <x:name val="Carlito"/>
    </x:font>
    <x:font>
      <x:sz val="10"/>
      <x:color rgb="FF17364D"/>
      <x:name val="Arial"/>
    </x:font>
    <x:font>
      <x:b/>
      <x:sz val="15"/>
      <x:color rgb="FF17364D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sz val="10"/>
      <x:color rgb="FF008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202" fontId="3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horizontal="right" vertical="center"/>
    </x:xf>
    <x:xf numFmtId="201" fontId="5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3" fontId="6" fillId="0" borderId="0" xfId="0" applyNumberFormat="1" applyFont="1" applyFill="1" applyBorder="1" applyAlignment="1">
      <x:alignment horizontal="right" vertical="center"/>
    </x:xf>
    <x:xf numFmtId="201" fontId="5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c8cecc7064f80" /><Relationship Type="http://schemas.openxmlformats.org/officeDocument/2006/relationships/theme" Target="/xl/theme/theme1.xml" Id="Rb1c22480ce00477a" /><Relationship Type="http://schemas.openxmlformats.org/officeDocument/2006/relationships/sharedStrings" Target="/xl/sharedStrings.xml" Id="Rc9b214205e174c75" /><Relationship Type="http://schemas.openxmlformats.org/officeDocument/2006/relationships/worksheet" Target="/xl/worksheets/sheet1.xml" Id="Rf997a06ac2f841bc" /><Relationship Type="http://schemas.openxmlformats.org/officeDocument/2006/relationships/worksheet" Target="/xl/worksheets/sheet2.xml" Id="R7d05f0e22d244278" /><Relationship Type="http://schemas.openxmlformats.org/officeDocument/2006/relationships/worksheet" Target="/xl/worksheets/sheet3.xml" Id="R1737fa82c177425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32d720cd2d44a5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Remaining debt: first 36 months (USD)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Remaining debt</c:v>
          </c:tx>
          <c:spPr>
            <a:ln xmlns:a="http://schemas.openxmlformats.org/drawingml/2006/main" w="19050">
              <a:solidFill>
                <a:srgbClr val="1F4E78"/>
              </a:solidFill>
              <a:prstDash val="solid"/>
            </a:ln>
          </c:spPr>
          <c:marker>
            <c:symbol val="none"/>
          </c:marker>
          <c:cat>
            <c:strRef>
              <c:f>'Summary'!$K$20:$K$55</c:f>
              <c:strCache>
                <c:ptCount val="0"/>
              </c:strCache>
            </c:strRef>
          </c:cat>
          <c:val>
            <c:numRef>
              <c:f>'Summary'!$L$20:$L$55</c:f>
              <c:numCache>
                <c:formatCode>"$"#,##0.00;("$"#,##0.00);"-"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4</xdr:row>
      <xdr:rowOff>0</xdr:rowOff>
    </xdr:from>
    <xdr:to>
      <xdr:col>17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32d720cd2d44a5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d9f8314a5154f8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f33ff851216340f3" /><Relationship Type="http://schemas.openxmlformats.org/officeDocument/2006/relationships/vmlDrawing" Target="/xl/drawings/vmldrawing.vml" Id="Rad067860792945c3" /></Relationships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2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2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2" customHeight="1">
      <x:c r="A2" s="2"/>
      <x:c r="B2" s="2"/>
      <x:c r="C2" s="5" t="str">
        <x:v>Debt payoff planner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22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2" customHeight="1">
      <x:c r="A4" s="2"/>
      <x:c r="B4" s="2"/>
      <x:c r="C4" s="2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</x:row>
    <x:row r="5" ht="22" customHeight="1">
      <x:c r="A5" s="2"/>
      <x:c r="B5" s="2"/>
      <x:c r="C5" s="2" t="str">
        <x:v>Starting debt</x:v>
      </x:c>
      <x:c r="D5" s="4" t="n">
        <x:f>IF('Inputs'!D9="Ready",SUM('Inputs'!D11:D15),"n.a.")</x:f>
        <x:v>9200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</x:row>
    <x:row r="6" ht="22" customHeight="1">
      <x:c r="A6" s="2"/>
      <x:c r="B6" s="2"/>
      <x:c r="C6" s="2" t="str">
        <x:v>Strategy</x:v>
      </x:c>
      <x:c r="D6" s="4" t="str">
        <x:f>IF('Inputs'!D9="Ready",IF('Inputs'!D5=1,"Snowball","Avalanche"),"Check inputs")</x:f>
        <x:v>Snowball</x:v>
      </x:c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</x:row>
    <x:row r="7" ht="22" customHeight="1">
      <x:c r="A7" s="2"/>
      <x:c r="B7" s="2"/>
      <x:c r="C7" s="2" t="str">
        <x:v>Total modelled interest</x:v>
      </x:c>
      <x:c r="D7" s="4" t="n">
        <x:f>IF(COUNT('Schedule'!M7:M1806)=1800,SUM('Schedule'!M7:M1806),"n.a.")</x:f>
        <x:v>957.9699999999998</x:v>
      </x:c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  <x:c r="P7" s="4"/>
    </x:row>
    <x:row r="8" ht="22" customHeight="1">
      <x:c r="A8" s="2"/>
      <x:c r="B8" s="2"/>
      <x:c r="C8" s="2" t="str">
        <x:v>Months to debt free</x:v>
      </x:c>
      <x:c r="D8" s="31" t="n">
        <x:f>IF(COUNT(H20:H379)=360,IF(D5=0,0,IF(H379=0,MATCH(0,H20:H379,0),"Beyond 360")),"n.a.")</x:f>
        <x:v>21</x:v>
      </x:c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</x:row>
    <x:row r="9" ht="22" customHeight="1">
      <x:c r="A9" s="2"/>
      <x:c r="B9" s="2"/>
      <x:c r="C9" s="2" t="str">
        <x:v>Total modelled payments</x:v>
      </x:c>
      <x:c r="D9" s="4" t="n">
        <x:f>IF(COUNT('Schedule'!Q7:Q1806)=1800,SUM('Schedule'!Q7:Q1806),"n.a.")</x:f>
        <x:v>10157.97</x:v>
      </x:c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</x:row>
    <x:row r="10" ht="22" customHeight="1">
      <x:c r="A10" s="2"/>
      <x:c r="B10" s="2"/>
      <x:c r="C10" s="2" t="str">
        <x:v>Balance after 360 months</x:v>
      </x:c>
      <x:c r="D10" s="4" t="n">
        <x:f>H379</x:f>
        <x:v>0</x:v>
      </x:c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</x:row>
    <x:row r="11" ht="22" customHeight="1">
      <x:c r="A11" s="2"/>
      <x:c r="B11" s="2"/>
      <x:c r="C11" s="2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</x:row>
    <x:row r="12" ht="22" customHeight="1">
      <x:c r="A12" s="2"/>
      <x:c r="B12" s="2"/>
      <x:c r="C12" s="2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</x:row>
    <x:row r="13" ht="22" customHeight="1">
      <x:c r="A13" s="2"/>
      <x:c r="B13" s="2"/>
      <x:c r="C13" s="2" t="str">
        <x:v>Budget below minimums stops the forecast; inspect first affected month.</x:v>
      </x:c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</x:row>
    <x:row r="14" ht="22" customHeight="1">
      <x:c r="A14" s="2"/>
      <x:c r="B14" s="2"/>
      <x:c r="C14" s="2" t="str">
        <x:v>Monthly interest = opening x APR/12, rounded to cents before payment.</x:v>
      </x:c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</x:row>
    <x:row r="15" ht="22" customHeight="1">
      <x:c r="A15" s="2"/>
      <x:c r="B15" s="2"/>
      <x:c r="C15" s="2" t="str">
        <x:v>Minimums change with balances. Remaining budget rolls to the next priority.</x:v>
      </x:c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</x:row>
    <x:row r="16" ht="22" customHeight="1">
      <x:c r="A16" s="2"/>
      <x:c r="B16" s="2"/>
      <x:c r="C16" s="2" t="str">
        <x:v>Chart shows the first 36 months. Complete schedule runs to 360 months.</x:v>
      </x:c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</x:row>
    <x:row r="17" ht="22" customHeight="1">
      <x:c r="A17" s="2"/>
      <x:c r="B17" s="2"/>
      <x:c r="C17" s="2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</x:row>
    <x:row r="18" ht="22" customHeight="1">
      <x:c r="A18" s="2"/>
      <x:c r="B18" s="2"/>
      <x:c r="C18" s="2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</x:row>
    <x:row r="19" ht="34" customHeight="1">
      <x:c r="A19" s="2"/>
      <x:c r="B19" s="2"/>
      <x:c r="C19" s="17" t="str">
        <x:v>Month</x:v>
      </x:c>
      <x:c r="D19" s="18" t="str">
        <x:v>Payment date</x:v>
      </x:c>
      <x:c r="E19" s="18" t="str">
        <x:v>Budget</x:v>
      </x:c>
      <x:c r="F19" s="18" t="str">
        <x:v>Payments</x:v>
      </x:c>
      <x:c r="G19" s="18" t="str">
        <x:v>Interest</x:v>
      </x:c>
      <x:c r="H19" s="18" t="str">
        <x:v>Closing balance</x:v>
      </x:c>
      <x:c r="I19" s="18" t="str">
        <x:v>Status</x:v>
      </x:c>
      <x:c r="J19" s="4"/>
      <x:c r="K19" s="4" t="str">
        <x:v>Month</x:v>
      </x:c>
      <x:c r="L19" s="4" t="str">
        <x:v>Remaining debt</x:v>
      </x:c>
      <x:c r="M19" s="4"/>
      <x:c r="N19" s="4"/>
      <x:c r="O19" s="4"/>
      <x:c r="P19" s="4"/>
    </x:row>
    <x:row r="20" ht="22" customHeight="1">
      <x:c r="A20" s="2"/>
      <x:c r="B20" s="2"/>
      <x:c r="C20" s="23" t="n">
        <x:v>1</x:v>
      </x:c>
      <x:c r="D20" s="32" t="n">
        <x:f>'Schedule'!D7</x:f>
        <x:v>46327</x:v>
      </x:c>
      <x:c r="E20" s="4" t="n">
        <x:f>'Schedule'!E7</x:f>
        <x:v>500</x:v>
      </x:c>
      <x:c r="F20" s="4" t="n">
        <x:f>IF(COUNT('Schedule'!Q7:Q11)=5,SUM('Schedule'!Q7:Q11),"n.a.")</x:f>
        <x:v>500</x:v>
      </x:c>
      <x:c r="G20" s="4" t="n">
        <x:f>IF(COUNT('Schedule'!M7:M11)=5,SUM('Schedule'!M7:M11),"n.a.")</x:f>
        <x:v>102.33</x:v>
      </x:c>
      <x:c r="H20" s="4" t="n">
        <x:f>IF(COUNT('Schedule'!S7:S11)=5,SUM('Schedule'!S7:S11),"n.a.")</x:f>
        <x:v>8802.33</x:v>
      </x:c>
      <x:c r="I20" s="4" t="str">
        <x:f>'Schedule'!T7</x:f>
        <x:v>Ready</x:v>
      </x:c>
      <x:c r="J20" s="4"/>
      <x:c r="K20" s="30" t="n">
        <x:f>C20</x:f>
        <x:v>1</x:v>
      </x:c>
      <x:c r="L20" s="22" t="n">
        <x:f>IF(ISNUMBER(H20),H20,NA())</x:f>
        <x:v>8802.33</x:v>
      </x:c>
      <x:c r="M20" s="4"/>
      <x:c r="N20" s="4"/>
      <x:c r="O20" s="4"/>
      <x:c r="P20" s="4"/>
    </x:row>
    <x:row r="21" ht="22" customHeight="1">
      <x:c r="A21" s="2"/>
      <x:c r="B21" s="2"/>
      <x:c r="C21" s="23" t="n">
        <x:v>2</x:v>
      </x:c>
      <x:c r="D21" s="32" t="n">
        <x:f>'Schedule'!D12</x:f>
        <x:v>46357</x:v>
      </x:c>
      <x:c r="E21" s="4" t="n">
        <x:f>'Schedule'!E12</x:f>
        <x:v>500</x:v>
      </x:c>
      <x:c r="F21" s="4" t="n">
        <x:f>IF(COUNT('Schedule'!Q12:Q16)=5,SUM('Schedule'!Q12:Q16),"n.a.")</x:f>
        <x:v>500</x:v>
      </x:c>
      <x:c r="G21" s="4" t="n">
        <x:f>IF(COUNT('Schedule'!M12:M16)=5,SUM('Schedule'!M12:M16),"n.a.")</x:f>
        <x:v>96.24000000000001</x:v>
      </x:c>
      <x:c r="H21" s="4" t="n">
        <x:f>IF(COUNT('Schedule'!S12:S16)=5,SUM('Schedule'!S12:S16),"n.a.")</x:f>
        <x:v>8398.57</x:v>
      </x:c>
      <x:c r="I21" s="4" t="str">
        <x:f>'Schedule'!T12</x:f>
        <x:v>Ready</x:v>
      </x:c>
      <x:c r="J21" s="4"/>
      <x:c r="K21" s="30" t="n">
        <x:f>C21</x:f>
        <x:v>2</x:v>
      </x:c>
      <x:c r="L21" s="22" t="n">
        <x:f>IF(ISNUMBER(H21),H21,NA())</x:f>
        <x:v>8398.57</x:v>
      </x:c>
      <x:c r="M21" s="4"/>
      <x:c r="N21" s="4"/>
      <x:c r="O21" s="4"/>
      <x:c r="P21" s="4"/>
    </x:row>
    <x:row r="22" ht="22" customHeight="1">
      <x:c r="A22" s="2"/>
      <x:c r="B22" s="2"/>
      <x:c r="C22" s="23" t="n">
        <x:v>3</x:v>
      </x:c>
      <x:c r="D22" s="32" t="n">
        <x:f>'Schedule'!D17</x:f>
        <x:v>46388</x:v>
      </x:c>
      <x:c r="E22" s="4" t="n">
        <x:f>'Schedule'!E17</x:f>
        <x:v>500</x:v>
      </x:c>
      <x:c r="F22" s="4" t="n">
        <x:f>IF(COUNT('Schedule'!Q17:Q21)=5,SUM('Schedule'!Q17:Q21),"n.a.")</x:f>
        <x:v>500</x:v>
      </x:c>
      <x:c r="G22" s="4" t="n">
        <x:f>IF(COUNT('Schedule'!M17:M21)=5,SUM('Schedule'!M17:M21),"n.a.")</x:f>
        <x:v>90.02</x:v>
      </x:c>
      <x:c r="H22" s="4" t="n">
        <x:f>IF(COUNT('Schedule'!S17:S21)=5,SUM('Schedule'!S17:S21),"n.a.")</x:f>
        <x:v>7988.59</x:v>
      </x:c>
      <x:c r="I22" s="4" t="str">
        <x:f>'Schedule'!T17</x:f>
        <x:v>Ready</x:v>
      </x:c>
      <x:c r="J22" s="4"/>
      <x:c r="K22" s="30" t="n">
        <x:f>C22</x:f>
        <x:v>3</x:v>
      </x:c>
      <x:c r="L22" s="22" t="n">
        <x:f>IF(ISNUMBER(H22),H22,NA())</x:f>
        <x:v>7988.59</x:v>
      </x:c>
      <x:c r="M22" s="4"/>
      <x:c r="N22" s="4"/>
      <x:c r="O22" s="4"/>
      <x:c r="P22" s="4"/>
    </x:row>
    <x:row r="23" ht="22" customHeight="1">
      <x:c r="A23" s="2"/>
      <x:c r="B23" s="2"/>
      <x:c r="C23" s="23" t="n">
        <x:v>4</x:v>
      </x:c>
      <x:c r="D23" s="32" t="n">
        <x:f>'Schedule'!D22</x:f>
        <x:v>46419</x:v>
      </x:c>
      <x:c r="E23" s="4" t="n">
        <x:f>'Schedule'!E22</x:f>
        <x:v>500</x:v>
      </x:c>
      <x:c r="F23" s="4" t="n">
        <x:f>IF(COUNT('Schedule'!Q22:Q26)=5,SUM('Schedule'!Q22:Q26),"n.a.")</x:f>
        <x:v>500</x:v>
      </x:c>
      <x:c r="G23" s="4" t="n">
        <x:f>IF(COUNT('Schedule'!M22:M26)=5,SUM('Schedule'!M22:M26),"n.a.")</x:f>
        <x:v>83.68</x:v>
      </x:c>
      <x:c r="H23" s="4" t="n">
        <x:f>IF(COUNT('Schedule'!S22:S26)=5,SUM('Schedule'!S22:S26),"n.a.")</x:f>
        <x:v>7572.27</x:v>
      </x:c>
      <x:c r="I23" s="4" t="str">
        <x:f>'Schedule'!T22</x:f>
        <x:v>Ready</x:v>
      </x:c>
      <x:c r="J23" s="4"/>
      <x:c r="K23" s="30" t="n">
        <x:f>C23</x:f>
        <x:v>4</x:v>
      </x:c>
      <x:c r="L23" s="22" t="n">
        <x:f>IF(ISNUMBER(H23),H23,NA())</x:f>
        <x:v>7572.27</x:v>
      </x:c>
      <x:c r="M23" s="4"/>
      <x:c r="N23" s="4"/>
      <x:c r="O23" s="4"/>
      <x:c r="P23" s="4"/>
    </x:row>
    <x:row r="24" ht="22" customHeight="1">
      <x:c r="A24" s="2"/>
      <x:c r="B24" s="2"/>
      <x:c r="C24" s="23" t="n">
        <x:v>5</x:v>
      </x:c>
      <x:c r="D24" s="32" t="n">
        <x:f>'Schedule'!D27</x:f>
        <x:v>46447</x:v>
      </x:c>
      <x:c r="E24" s="4" t="n">
        <x:f>'Schedule'!E27</x:f>
        <x:v>500</x:v>
      </x:c>
      <x:c r="F24" s="4" t="n">
        <x:f>IF(COUNT('Schedule'!Q27:Q31)=5,SUM('Schedule'!Q27:Q31),"n.a.")</x:f>
        <x:v>500</x:v>
      </x:c>
      <x:c r="G24" s="4" t="n">
        <x:f>IF(COUNT('Schedule'!M27:M31)=5,SUM('Schedule'!M27:M31),"n.a.")</x:f>
        <x:v>77.23</x:v>
      </x:c>
      <x:c r="H24" s="4" t="n">
        <x:f>IF(COUNT('Schedule'!S27:S31)=5,SUM('Schedule'!S27:S31),"n.a.")</x:f>
        <x:v>7149.5</x:v>
      </x:c>
      <x:c r="I24" s="4" t="str">
        <x:f>'Schedule'!T27</x:f>
        <x:v>Ready</x:v>
      </x:c>
      <x:c r="J24" s="4"/>
      <x:c r="K24" s="30" t="n">
        <x:f>C24</x:f>
        <x:v>5</x:v>
      </x:c>
      <x:c r="L24" s="22" t="n">
        <x:f>IF(ISNUMBER(H24),H24,NA())</x:f>
        <x:v>7149.5</x:v>
      </x:c>
      <x:c r="M24" s="4"/>
      <x:c r="N24" s="4"/>
      <x:c r="O24" s="4"/>
      <x:c r="P24" s="4"/>
    </x:row>
    <x:row r="25" ht="22" customHeight="1">
      <x:c r="A25" s="2"/>
      <x:c r="B25" s="2"/>
      <x:c r="C25" s="23" t="n">
        <x:v>6</x:v>
      </x:c>
      <x:c r="D25" s="32" t="n">
        <x:f>'Schedule'!D32</x:f>
        <x:v>46478</x:v>
      </x:c>
      <x:c r="E25" s="4" t="n">
        <x:f>'Schedule'!E32</x:f>
        <x:v>500</x:v>
      </x:c>
      <x:c r="F25" s="4" t="n">
        <x:f>IF(COUNT('Schedule'!Q32:Q36)=5,SUM('Schedule'!Q32:Q36),"n.a.")</x:f>
        <x:v>500</x:v>
      </x:c>
      <x:c r="G25" s="4" t="n">
        <x:f>IF(COUNT('Schedule'!M32:M36)=5,SUM('Schedule'!M32:M36),"n.a.")</x:f>
        <x:v>70.65</x:v>
      </x:c>
      <x:c r="H25" s="4" t="n">
        <x:f>IF(COUNT('Schedule'!S32:S36)=5,SUM('Schedule'!S32:S36),"n.a.")</x:f>
        <x:v>6720.15</x:v>
      </x:c>
      <x:c r="I25" s="4" t="str">
        <x:f>'Schedule'!T32</x:f>
        <x:v>Ready</x:v>
      </x:c>
      <x:c r="J25" s="4"/>
      <x:c r="K25" s="30" t="n">
        <x:f>C25</x:f>
        <x:v>6</x:v>
      </x:c>
      <x:c r="L25" s="22" t="n">
        <x:f>IF(ISNUMBER(H25),H25,NA())</x:f>
        <x:v>6720.15</x:v>
      </x:c>
      <x:c r="M25" s="4"/>
      <x:c r="N25" s="4"/>
      <x:c r="O25" s="4"/>
      <x:c r="P25" s="4"/>
    </x:row>
    <x:row r="26" ht="22" customHeight="1">
      <x:c r="A26" s="2"/>
      <x:c r="B26" s="2"/>
      <x:c r="C26" s="23" t="n">
        <x:v>7</x:v>
      </x:c>
      <x:c r="D26" s="32" t="n">
        <x:f>'Schedule'!D37</x:f>
        <x:v>46508</x:v>
      </x:c>
      <x:c r="E26" s="4" t="n">
        <x:f>'Schedule'!E37</x:f>
        <x:v>500</x:v>
      </x:c>
      <x:c r="F26" s="4" t="n">
        <x:f>IF(COUNT('Schedule'!Q37:Q41)=5,SUM('Schedule'!Q37:Q41),"n.a.")</x:f>
        <x:v>500</x:v>
      </x:c>
      <x:c r="G26" s="4" t="n">
        <x:f>IF(COUNT('Schedule'!M37:M41)=5,SUM('Schedule'!M37:M41),"n.a.")</x:f>
        <x:v>65.07</x:v>
      </x:c>
      <x:c r="H26" s="4" t="n">
        <x:f>IF(COUNT('Schedule'!S37:S41)=5,SUM('Schedule'!S37:S41),"n.a.")</x:f>
        <x:v>6285.22</x:v>
      </x:c>
      <x:c r="I26" s="4" t="str">
        <x:f>'Schedule'!T37</x:f>
        <x:v>Ready</x:v>
      </x:c>
      <x:c r="J26" s="4"/>
      <x:c r="K26" s="30" t="n">
        <x:f>C26</x:f>
        <x:v>7</x:v>
      </x:c>
      <x:c r="L26" s="22" t="n">
        <x:f>IF(ISNUMBER(H26),H26,NA())</x:f>
        <x:v>6285.22</x:v>
      </x:c>
      <x:c r="M26" s="4"/>
      <x:c r="N26" s="4"/>
      <x:c r="O26" s="4"/>
      <x:c r="P26" s="4"/>
    </x:row>
    <x:row r="27" ht="22" customHeight="1">
      <x:c r="A27" s="2"/>
      <x:c r="B27" s="2"/>
      <x:c r="C27" s="23" t="n">
        <x:v>8</x:v>
      </x:c>
      <x:c r="D27" s="32" t="n">
        <x:f>'Schedule'!D42</x:f>
        <x:v>46539</x:v>
      </x:c>
      <x:c r="E27" s="4" t="n">
        <x:f>'Schedule'!E42</x:f>
        <x:v>500</x:v>
      </x:c>
      <x:c r="F27" s="4" t="n">
        <x:f>IF(COUNT('Schedule'!Q42:Q46)=5,SUM('Schedule'!Q42:Q46),"n.a.")</x:f>
        <x:v>500</x:v>
      </x:c>
      <x:c r="G27" s="4" t="n">
        <x:f>IF(COUNT('Schedule'!M42:M46)=5,SUM('Schedule'!M42:M46),"n.a.")</x:f>
        <x:v>59.56</x:v>
      </x:c>
      <x:c r="H27" s="4" t="n">
        <x:f>IF(COUNT('Schedule'!S42:S46)=5,SUM('Schedule'!S42:S46),"n.a.")</x:f>
        <x:v>5844.780000000001</x:v>
      </x:c>
      <x:c r="I27" s="4" t="str">
        <x:f>'Schedule'!T42</x:f>
        <x:v>Ready</x:v>
      </x:c>
      <x:c r="J27" s="4"/>
      <x:c r="K27" s="30" t="n">
        <x:f>C27</x:f>
        <x:v>8</x:v>
      </x:c>
      <x:c r="L27" s="22" t="n">
        <x:f>IF(ISNUMBER(H27),H27,NA())</x:f>
        <x:v>5844.780000000001</x:v>
      </x:c>
      <x:c r="M27" s="4"/>
      <x:c r="N27" s="4"/>
      <x:c r="O27" s="4"/>
      <x:c r="P27" s="4"/>
    </x:row>
    <x:row r="28" ht="22" customHeight="1">
      <x:c r="A28" s="2"/>
      <x:c r="B28" s="2"/>
      <x:c r="C28" s="23" t="n">
        <x:v>9</x:v>
      </x:c>
      <x:c r="D28" s="32" t="n">
        <x:f>'Schedule'!D47</x:f>
        <x:v>46569</x:v>
      </x:c>
      <x:c r="E28" s="4" t="n">
        <x:f>'Schedule'!E47</x:f>
        <x:v>500</x:v>
      </x:c>
      <x:c r="F28" s="4" t="n">
        <x:f>IF(COUNT('Schedule'!Q47:Q51)=5,SUM('Schedule'!Q47:Q51),"n.a.")</x:f>
        <x:v>500</x:v>
      </x:c>
      <x:c r="G28" s="4" t="n">
        <x:f>IF(COUNT('Schedule'!M47:M51)=5,SUM('Schedule'!M47:M51),"n.a.")</x:f>
        <x:v>53.96</x:v>
      </x:c>
      <x:c r="H28" s="4" t="n">
        <x:f>IF(COUNT('Schedule'!S47:S51)=5,SUM('Schedule'!S47:S51),"n.a.")</x:f>
        <x:v>5398.74</x:v>
      </x:c>
      <x:c r="I28" s="4" t="str">
        <x:f>'Schedule'!T47</x:f>
        <x:v>Ready</x:v>
      </x:c>
      <x:c r="J28" s="4"/>
      <x:c r="K28" s="30" t="n">
        <x:f>C28</x:f>
        <x:v>9</x:v>
      </x:c>
      <x:c r="L28" s="22" t="n">
        <x:f>IF(ISNUMBER(H28),H28,NA())</x:f>
        <x:v>5398.74</x:v>
      </x:c>
      <x:c r="M28" s="4"/>
      <x:c r="N28" s="4"/>
      <x:c r="O28" s="4"/>
      <x:c r="P28" s="4"/>
    </x:row>
    <x:row r="29" ht="22" customHeight="1">
      <x:c r="A29" s="2"/>
      <x:c r="B29" s="2"/>
      <x:c r="C29" s="23" t="n">
        <x:v>10</x:v>
      </x:c>
      <x:c r="D29" s="32" t="n">
        <x:f>'Schedule'!D52</x:f>
        <x:v>46600</x:v>
      </x:c>
      <x:c r="E29" s="4" t="n">
        <x:f>'Schedule'!E52</x:f>
        <x:v>500</x:v>
      </x:c>
      <x:c r="F29" s="4" t="n">
        <x:f>IF(COUNT('Schedule'!Q52:Q56)=5,SUM('Schedule'!Q52:Q56),"n.a.")</x:f>
        <x:v>500</x:v>
      </x:c>
      <x:c r="G29" s="4" t="n">
        <x:f>IF(COUNT('Schedule'!M52:M56)=5,SUM('Schedule'!M52:M56),"n.a.")</x:f>
        <x:v>48.3</x:v>
      </x:c>
      <x:c r="H29" s="4" t="n">
        <x:f>IF(COUNT('Schedule'!S52:S56)=5,SUM('Schedule'!S52:S56),"n.a.")</x:f>
        <x:v>4947.04</x:v>
      </x:c>
      <x:c r="I29" s="4" t="str">
        <x:f>'Schedule'!T52</x:f>
        <x:v>Ready</x:v>
      </x:c>
      <x:c r="J29" s="4"/>
      <x:c r="K29" s="30" t="n">
        <x:f>C29</x:f>
        <x:v>10</x:v>
      </x:c>
      <x:c r="L29" s="22" t="n">
        <x:f>IF(ISNUMBER(H29),H29,NA())</x:f>
        <x:v>4947.04</x:v>
      </x:c>
      <x:c r="M29" s="4"/>
      <x:c r="N29" s="4"/>
      <x:c r="O29" s="4"/>
      <x:c r="P29" s="4"/>
    </x:row>
    <x:row r="30" ht="22" customHeight="1">
      <x:c r="A30" s="2"/>
      <x:c r="B30" s="2"/>
      <x:c r="C30" s="23" t="n">
        <x:v>11</x:v>
      </x:c>
      <x:c r="D30" s="32" t="n">
        <x:f>'Schedule'!D57</x:f>
        <x:v>46631</x:v>
      </x:c>
      <x:c r="E30" s="4" t="n">
        <x:f>'Schedule'!E57</x:f>
        <x:v>500</x:v>
      </x:c>
      <x:c r="F30" s="4" t="n">
        <x:f>IF(COUNT('Schedule'!Q57:Q61)=5,SUM('Schedule'!Q57:Q61),"n.a.")</x:f>
        <x:v>500</x:v>
      </x:c>
      <x:c r="G30" s="4" t="n">
        <x:f>IF(COUNT('Schedule'!M57:M61)=5,SUM('Schedule'!M57:M61),"n.a.")</x:f>
        <x:v>42.56</x:v>
      </x:c>
      <x:c r="H30" s="4" t="n">
        <x:f>IF(COUNT('Schedule'!S57:S61)=5,SUM('Schedule'!S57:S61),"n.a.")</x:f>
        <x:v>4489.6</x:v>
      </x:c>
      <x:c r="I30" s="4" t="str">
        <x:f>'Schedule'!T57</x:f>
        <x:v>Ready</x:v>
      </x:c>
      <x:c r="J30" s="4"/>
      <x:c r="K30" s="30" t="n">
        <x:f>C30</x:f>
        <x:v>11</x:v>
      </x:c>
      <x:c r="L30" s="22" t="n">
        <x:f>IF(ISNUMBER(H30),H30,NA())</x:f>
        <x:v>4489.6</x:v>
      </x:c>
      <x:c r="M30" s="4"/>
      <x:c r="N30" s="4"/>
      <x:c r="O30" s="4"/>
      <x:c r="P30" s="4"/>
    </x:row>
    <x:row r="31" ht="22" customHeight="1">
      <x:c r="A31" s="2"/>
      <x:c r="B31" s="2"/>
      <x:c r="C31" s="23" t="n">
        <x:v>12</x:v>
      </x:c>
      <x:c r="D31" s="32" t="n">
        <x:f>'Schedule'!D62</x:f>
        <x:v>46661</x:v>
      </x:c>
      <x:c r="E31" s="4" t="n">
        <x:f>'Schedule'!E62</x:f>
        <x:v>500</x:v>
      </x:c>
      <x:c r="F31" s="4" t="n">
        <x:f>IF(COUNT('Schedule'!Q62:Q66)=5,SUM('Schedule'!Q62:Q66),"n.a.")</x:f>
        <x:v>500</x:v>
      </x:c>
      <x:c r="G31" s="4" t="n">
        <x:f>IF(COUNT('Schedule'!M62:M66)=5,SUM('Schedule'!M62:M66),"n.a.")</x:f>
        <x:v>36.739999999999995</x:v>
      </x:c>
      <x:c r="H31" s="4" t="n">
        <x:f>IF(COUNT('Schedule'!S62:S66)=5,SUM('Schedule'!S62:S66),"n.a.")</x:f>
        <x:v>4026.34</x:v>
      </x:c>
      <x:c r="I31" s="4" t="str">
        <x:f>'Schedule'!T62</x:f>
        <x:v>Ready</x:v>
      </x:c>
      <x:c r="J31" s="4"/>
      <x:c r="K31" s="30" t="n">
        <x:f>C31</x:f>
        <x:v>12</x:v>
      </x:c>
      <x:c r="L31" s="22" t="n">
        <x:f>IF(ISNUMBER(H31),H31,NA())</x:f>
        <x:v>4026.34</x:v>
      </x:c>
      <x:c r="M31" s="4"/>
      <x:c r="N31" s="4"/>
      <x:c r="O31" s="4"/>
      <x:c r="P31" s="4"/>
    </x:row>
    <x:row r="32" ht="22" customHeight="1">
      <x:c r="A32" s="2"/>
      <x:c r="B32" s="2"/>
      <x:c r="C32" s="23" t="n">
        <x:v>13</x:v>
      </x:c>
      <x:c r="D32" s="32" t="n">
        <x:f>'Schedule'!D67</x:f>
        <x:v>46692</x:v>
      </x:c>
      <x:c r="E32" s="4" t="n">
        <x:f>'Schedule'!E67</x:f>
        <x:v>500</x:v>
      </x:c>
      <x:c r="F32" s="4" t="n">
        <x:f>IF(COUNT('Schedule'!Q67:Q71)=5,SUM('Schedule'!Q67:Q71),"n.a.")</x:f>
        <x:v>500</x:v>
      </x:c>
      <x:c r="G32" s="4" t="n">
        <x:f>IF(COUNT('Schedule'!M67:M71)=5,SUM('Schedule'!M67:M71),"n.a.")</x:f>
        <x:v>30.83</x:v>
      </x:c>
      <x:c r="H32" s="4" t="n">
        <x:f>IF(COUNT('Schedule'!S67:S71)=5,SUM('Schedule'!S67:S71),"n.a.")</x:f>
        <x:v>3557.17</x:v>
      </x:c>
      <x:c r="I32" s="4" t="str">
        <x:f>'Schedule'!T67</x:f>
        <x:v>Ready</x:v>
      </x:c>
      <x:c r="J32" s="4"/>
      <x:c r="K32" s="30" t="n">
        <x:f>C32</x:f>
        <x:v>13</x:v>
      </x:c>
      <x:c r="L32" s="22" t="n">
        <x:f>IF(ISNUMBER(H32),H32,NA())</x:f>
        <x:v>3557.17</x:v>
      </x:c>
      <x:c r="M32" s="4"/>
      <x:c r="N32" s="4"/>
      <x:c r="O32" s="4"/>
      <x:c r="P32" s="4"/>
    </x:row>
    <x:row r="33" ht="22" customHeight="1">
      <x:c r="A33" s="2"/>
      <x:c r="B33" s="2"/>
      <x:c r="C33" s="23" t="n">
        <x:v>14</x:v>
      </x:c>
      <x:c r="D33" s="32" t="n">
        <x:f>'Schedule'!D72</x:f>
        <x:v>46722</x:v>
      </x:c>
      <x:c r="E33" s="4" t="n">
        <x:f>'Schedule'!E72</x:f>
        <x:v>500</x:v>
      </x:c>
      <x:c r="F33" s="4" t="n">
        <x:f>IF(COUNT('Schedule'!Q72:Q76)=5,SUM('Schedule'!Q72:Q76),"n.a.")</x:f>
        <x:v>500</x:v>
      </x:c>
      <x:c r="G33" s="4" t="n">
        <x:f>IF(COUNT('Schedule'!M72:M76)=5,SUM('Schedule'!M72:M76),"n.a.")</x:f>
        <x:v>24.849999999999998</x:v>
      </x:c>
      <x:c r="H33" s="4" t="n">
        <x:f>IF(COUNT('Schedule'!S72:S76)=5,SUM('Schedule'!S72:S76),"n.a.")</x:f>
        <x:v>3082.02</x:v>
      </x:c>
      <x:c r="I33" s="4" t="str">
        <x:f>'Schedule'!T72</x:f>
        <x:v>Ready</x:v>
      </x:c>
      <x:c r="J33" s="4"/>
      <x:c r="K33" s="30" t="n">
        <x:f>C33</x:f>
        <x:v>14</x:v>
      </x:c>
      <x:c r="L33" s="22" t="n">
        <x:f>IF(ISNUMBER(H33),H33,NA())</x:f>
        <x:v>3082.02</x:v>
      </x:c>
      <x:c r="M33" s="4"/>
      <x:c r="N33" s="4"/>
      <x:c r="O33" s="4"/>
      <x:c r="P33" s="4"/>
    </x:row>
    <x:row r="34" ht="22" customHeight="1">
      <x:c r="A34" s="2"/>
      <x:c r="B34" s="2"/>
      <x:c r="C34" s="23" t="n">
        <x:v>15</x:v>
      </x:c>
      <x:c r="D34" s="32" t="n">
        <x:f>'Schedule'!D77</x:f>
        <x:v>46753</x:v>
      </x:c>
      <x:c r="E34" s="4" t="n">
        <x:f>'Schedule'!E77</x:f>
        <x:v>500</x:v>
      </x:c>
      <x:c r="F34" s="4" t="n">
        <x:f>IF(COUNT('Schedule'!Q77:Q81)=5,SUM('Schedule'!Q77:Q81),"n.a.")</x:f>
        <x:v>500</x:v>
      </x:c>
      <x:c r="G34" s="4" t="n">
        <x:f>IF(COUNT('Schedule'!M77:M81)=5,SUM('Schedule'!M77:M81),"n.a.")</x:f>
        <x:v>20.55</x:v>
      </x:c>
      <x:c r="H34" s="4" t="n">
        <x:f>IF(COUNT('Schedule'!S77:S81)=5,SUM('Schedule'!S77:S81),"n.a.")</x:f>
        <x:v>2602.57</x:v>
      </x:c>
      <x:c r="I34" s="4" t="str">
        <x:f>'Schedule'!T77</x:f>
        <x:v>Ready</x:v>
      </x:c>
      <x:c r="J34" s="4"/>
      <x:c r="K34" s="30" t="n">
        <x:f>C34</x:f>
        <x:v>15</x:v>
      </x:c>
      <x:c r="L34" s="22" t="n">
        <x:f>IF(ISNUMBER(H34),H34,NA())</x:f>
        <x:v>2602.57</x:v>
      </x:c>
      <x:c r="M34" s="4"/>
      <x:c r="N34" s="4"/>
      <x:c r="O34" s="4"/>
      <x:c r="P34" s="4"/>
    </x:row>
    <x:row r="35" ht="22" customHeight="1">
      <x:c r="A35" s="2"/>
      <x:c r="B35" s="2"/>
      <x:c r="C35" s="23" t="n">
        <x:v>16</x:v>
      </x:c>
      <x:c r="D35" s="32" t="n">
        <x:f>'Schedule'!D82</x:f>
        <x:v>46784</x:v>
      </x:c>
      <x:c r="E35" s="4" t="n">
        <x:f>'Schedule'!E82</x:f>
        <x:v>500</x:v>
      </x:c>
      <x:c r="F35" s="4" t="n">
        <x:f>IF(COUNT('Schedule'!Q82:Q86)=5,SUM('Schedule'!Q82:Q86),"n.a.")</x:f>
        <x:v>500</x:v>
      </x:c>
      <x:c r="G35" s="4" t="n">
        <x:f>IF(COUNT('Schedule'!M82:M86)=5,SUM('Schedule'!M82:M86),"n.a.")</x:f>
        <x:v>17.35</x:v>
      </x:c>
      <x:c r="H35" s="4" t="n">
        <x:f>IF(COUNT('Schedule'!S82:S86)=5,SUM('Schedule'!S82:S86),"n.a.")</x:f>
        <x:v>2119.92</x:v>
      </x:c>
      <x:c r="I35" s="4" t="str">
        <x:f>'Schedule'!T82</x:f>
        <x:v>Ready</x:v>
      </x:c>
      <x:c r="J35" s="4"/>
      <x:c r="K35" s="30" t="n">
        <x:f>C35</x:f>
        <x:v>16</x:v>
      </x:c>
      <x:c r="L35" s="22" t="n">
        <x:f>IF(ISNUMBER(H35),H35,NA())</x:f>
        <x:v>2119.92</x:v>
      </x:c>
      <x:c r="M35" s="4"/>
      <x:c r="N35" s="4"/>
      <x:c r="O35" s="4"/>
      <x:c r="P35" s="4"/>
    </x:row>
    <x:row r="36" ht="22" customHeight="1">
      <x:c r="A36" s="2"/>
      <x:c r="B36" s="2"/>
      <x:c r="C36" s="23" t="n">
        <x:v>17</x:v>
      </x:c>
      <x:c r="D36" s="32" t="n">
        <x:f>'Schedule'!D87</x:f>
        <x:v>46813</x:v>
      </x:c>
      <x:c r="E36" s="4" t="n">
        <x:f>'Schedule'!E87</x:f>
        <x:v>500</x:v>
      </x:c>
      <x:c r="F36" s="4" t="n">
        <x:f>IF(COUNT('Schedule'!Q87:Q91)=5,SUM('Schedule'!Q87:Q91),"n.a.")</x:f>
        <x:v>500</x:v>
      </x:c>
      <x:c r="G36" s="4" t="n">
        <x:f>IF(COUNT('Schedule'!M87:M91)=5,SUM('Schedule'!M87:M91),"n.a.")</x:f>
        <x:v>14.13</x:v>
      </x:c>
      <x:c r="H36" s="4" t="n">
        <x:f>IF(COUNT('Schedule'!S87:S91)=5,SUM('Schedule'!S87:S91),"n.a.")</x:f>
        <x:v>1634.05</x:v>
      </x:c>
      <x:c r="I36" s="4" t="str">
        <x:f>'Schedule'!T87</x:f>
        <x:v>Ready</x:v>
      </x:c>
      <x:c r="J36" s="4"/>
      <x:c r="K36" s="30" t="n">
        <x:f>C36</x:f>
        <x:v>17</x:v>
      </x:c>
      <x:c r="L36" s="22" t="n">
        <x:f>IF(ISNUMBER(H36),H36,NA())</x:f>
        <x:v>1634.05</x:v>
      </x:c>
      <x:c r="M36" s="4"/>
      <x:c r="N36" s="4"/>
      <x:c r="O36" s="4"/>
      <x:c r="P36" s="4"/>
    </x:row>
    <x:row r="37" ht="22" customHeight="1">
      <x:c r="A37" s="2"/>
      <x:c r="B37" s="2"/>
      <x:c r="C37" s="23" t="n">
        <x:v>18</x:v>
      </x:c>
      <x:c r="D37" s="32" t="n">
        <x:f>'Schedule'!D92</x:f>
        <x:v>46844</x:v>
      </x:c>
      <x:c r="E37" s="4" t="n">
        <x:f>'Schedule'!E92</x:f>
        <x:v>500</x:v>
      </x:c>
      <x:c r="F37" s="4" t="n">
        <x:f>IF(COUNT('Schedule'!Q92:Q96)=5,SUM('Schedule'!Q92:Q96),"n.a.")</x:f>
        <x:v>500</x:v>
      </x:c>
      <x:c r="G37" s="4" t="n">
        <x:f>IF(COUNT('Schedule'!M92:M96)=5,SUM('Schedule'!M92:M96),"n.a.")</x:f>
        <x:v>10.89</x:v>
      </x:c>
      <x:c r="H37" s="4" t="n">
        <x:f>IF(COUNT('Schedule'!S92:S96)=5,SUM('Schedule'!S92:S96),"n.a.")</x:f>
        <x:v>1144.94</x:v>
      </x:c>
      <x:c r="I37" s="4" t="str">
        <x:f>'Schedule'!T92</x:f>
        <x:v>Ready</x:v>
      </x:c>
      <x:c r="J37" s="4"/>
      <x:c r="K37" s="30" t="n">
        <x:f>C37</x:f>
        <x:v>18</x:v>
      </x:c>
      <x:c r="L37" s="22" t="n">
        <x:f>IF(ISNUMBER(H37),H37,NA())</x:f>
        <x:v>1144.94</x:v>
      </x:c>
      <x:c r="M37" s="4"/>
      <x:c r="N37" s="4"/>
      <x:c r="O37" s="4"/>
      <x:c r="P37" s="4"/>
    </x:row>
    <x:row r="38" ht="22" customHeight="1">
      <x:c r="A38" s="2"/>
      <x:c r="B38" s="2"/>
      <x:c r="C38" s="23" t="n">
        <x:v>19</x:v>
      </x:c>
      <x:c r="D38" s="32" t="n">
        <x:f>'Schedule'!D97</x:f>
        <x:v>46874</x:v>
      </x:c>
      <x:c r="E38" s="4" t="n">
        <x:f>'Schedule'!E97</x:f>
        <x:v>500</x:v>
      </x:c>
      <x:c r="F38" s="4" t="n">
        <x:f>IF(COUNT('Schedule'!Q97:Q101)=5,SUM('Schedule'!Q97:Q101),"n.a.")</x:f>
        <x:v>500</x:v>
      </x:c>
      <x:c r="G38" s="4" t="n">
        <x:f>IF(COUNT('Schedule'!M97:M101)=5,SUM('Schedule'!M97:M101),"n.a.")</x:f>
        <x:v>7.63</x:v>
      </x:c>
      <x:c r="H38" s="4" t="n">
        <x:f>IF(COUNT('Schedule'!S97:S101)=5,SUM('Schedule'!S97:S101),"n.a.")</x:f>
        <x:v>652.57</x:v>
      </x:c>
      <x:c r="I38" s="4" t="str">
        <x:f>'Schedule'!T97</x:f>
        <x:v>Ready</x:v>
      </x:c>
      <x:c r="J38" s="4"/>
      <x:c r="K38" s="30" t="n">
        <x:f>C38</x:f>
        <x:v>19</x:v>
      </x:c>
      <x:c r="L38" s="22" t="n">
        <x:f>IF(ISNUMBER(H38),H38,NA())</x:f>
        <x:v>652.57</x:v>
      </x:c>
      <x:c r="M38" s="4"/>
      <x:c r="N38" s="4"/>
      <x:c r="O38" s="4"/>
      <x:c r="P38" s="4"/>
    </x:row>
    <x:row r="39" ht="22" customHeight="1">
      <x:c r="A39" s="2"/>
      <x:c r="B39" s="2"/>
      <x:c r="C39" s="23" t="n">
        <x:v>20</x:v>
      </x:c>
      <x:c r="D39" s="32" t="n">
        <x:f>'Schedule'!D102</x:f>
        <x:v>46905</x:v>
      </x:c>
      <x:c r="E39" s="4" t="n">
        <x:f>'Schedule'!E102</x:f>
        <x:v>500</x:v>
      </x:c>
      <x:c r="F39" s="4" t="n">
        <x:f>IF(COUNT('Schedule'!Q102:Q106)=5,SUM('Schedule'!Q102:Q106),"n.a.")</x:f>
        <x:v>500</x:v>
      </x:c>
      <x:c r="G39" s="4" t="n">
        <x:f>IF(COUNT('Schedule'!M102:M106)=5,SUM('Schedule'!M102:M106),"n.a.")</x:f>
        <x:v>4.35</x:v>
      </x:c>
      <x:c r="H39" s="4" t="n">
        <x:f>IF(COUNT('Schedule'!S102:S106)=5,SUM('Schedule'!S102:S106),"n.a.")</x:f>
        <x:v>156.92</x:v>
      </x:c>
      <x:c r="I39" s="4" t="str">
        <x:f>'Schedule'!T102</x:f>
        <x:v>Ready</x:v>
      </x:c>
      <x:c r="J39" s="4"/>
      <x:c r="K39" s="30" t="n">
        <x:f>C39</x:f>
        <x:v>20</x:v>
      </x:c>
      <x:c r="L39" s="22" t="n">
        <x:f>IF(ISNUMBER(H39),H39,NA())</x:f>
        <x:v>156.92</x:v>
      </x:c>
      <x:c r="M39" s="4"/>
      <x:c r="N39" s="4"/>
      <x:c r="O39" s="4"/>
      <x:c r="P39" s="4"/>
    </x:row>
    <x:row r="40" ht="22" customHeight="1">
      <x:c r="A40" s="2"/>
      <x:c r="B40" s="2"/>
      <x:c r="C40" s="23" t="n">
        <x:v>21</x:v>
      </x:c>
      <x:c r="D40" s="32" t="n">
        <x:f>'Schedule'!D107</x:f>
        <x:v>46935</x:v>
      </x:c>
      <x:c r="E40" s="4" t="n">
        <x:f>'Schedule'!E107</x:f>
        <x:v>500</x:v>
      </x:c>
      <x:c r="F40" s="4" t="n">
        <x:f>IF(COUNT('Schedule'!Q107:Q111)=5,SUM('Schedule'!Q107:Q111),"n.a.")</x:f>
        <x:v>157.97</x:v>
      </x:c>
      <x:c r="G40" s="4" t="n">
        <x:f>IF(COUNT('Schedule'!M107:M111)=5,SUM('Schedule'!M107:M111),"n.a.")</x:f>
        <x:v>1.05</x:v>
      </x:c>
      <x:c r="H40" s="4" t="n">
        <x:f>IF(COUNT('Schedule'!S107:S111)=5,SUM('Schedule'!S107:S111),"n.a.")</x:f>
        <x:v>0</x:v>
      </x:c>
      <x:c r="I40" s="4" t="str">
        <x:f>'Schedule'!T107</x:f>
        <x:v>Ready</x:v>
      </x:c>
      <x:c r="J40" s="4"/>
      <x:c r="K40" s="30" t="n">
        <x:f>C40</x:f>
        <x:v>21</x:v>
      </x:c>
      <x:c r="L40" s="22" t="n">
        <x:f>IF(ISNUMBER(H40),H40,NA())</x:f>
        <x:v>0</x:v>
      </x:c>
      <x:c r="M40" s="4"/>
      <x:c r="N40" s="4"/>
      <x:c r="O40" s="4"/>
      <x:c r="P40" s="4"/>
    </x:row>
    <x:row r="41" ht="22" customHeight="1">
      <x:c r="A41" s="2"/>
      <x:c r="B41" s="2"/>
      <x:c r="C41" s="23" t="n">
        <x:v>22</x:v>
      </x:c>
      <x:c r="D41" s="32" t="n">
        <x:f>'Schedule'!D112</x:f>
        <x:v>46966</x:v>
      </x:c>
      <x:c r="E41" s="4" t="n">
        <x:f>'Schedule'!E112</x:f>
        <x:v>500</x:v>
      </x:c>
      <x:c r="F41" s="4" t="n">
        <x:f>IF(COUNT('Schedule'!Q112:Q116)=5,SUM('Schedule'!Q112:Q116),"n.a.")</x:f>
        <x:v>0</x:v>
      </x:c>
      <x:c r="G41" s="4" t="n">
        <x:f>IF(COUNT('Schedule'!M112:M116)=5,SUM('Schedule'!M112:M116),"n.a.")</x:f>
        <x:v>0</x:v>
      </x:c>
      <x:c r="H41" s="4" t="n">
        <x:f>IF(COUNT('Schedule'!S112:S116)=5,SUM('Schedule'!S112:S116),"n.a.")</x:f>
        <x:v>0</x:v>
      </x:c>
      <x:c r="I41" s="4" t="str">
        <x:f>'Schedule'!T112</x:f>
        <x:v>Ready</x:v>
      </x:c>
      <x:c r="J41" s="4"/>
      <x:c r="K41" s="30" t="n">
        <x:f>C41</x:f>
        <x:v>22</x:v>
      </x:c>
      <x:c r="L41" s="22" t="n">
        <x:f>IF(ISNUMBER(H41),H41,NA())</x:f>
        <x:v>0</x:v>
      </x:c>
      <x:c r="M41" s="4"/>
      <x:c r="N41" s="4"/>
      <x:c r="O41" s="4"/>
      <x:c r="P41" s="4"/>
    </x:row>
    <x:row r="42" ht="22" customHeight="1">
      <x:c r="A42" s="2"/>
      <x:c r="B42" s="2"/>
      <x:c r="C42" s="23" t="n">
        <x:v>23</x:v>
      </x:c>
      <x:c r="D42" s="32" t="n">
        <x:f>'Schedule'!D117</x:f>
        <x:v>46997</x:v>
      </x:c>
      <x:c r="E42" s="4" t="n">
        <x:f>'Schedule'!E117</x:f>
        <x:v>500</x:v>
      </x:c>
      <x:c r="F42" s="4" t="n">
        <x:f>IF(COUNT('Schedule'!Q117:Q121)=5,SUM('Schedule'!Q117:Q121),"n.a.")</x:f>
        <x:v>0</x:v>
      </x:c>
      <x:c r="G42" s="4" t="n">
        <x:f>IF(COUNT('Schedule'!M117:M121)=5,SUM('Schedule'!M117:M121),"n.a.")</x:f>
        <x:v>0</x:v>
      </x:c>
      <x:c r="H42" s="4" t="n">
        <x:f>IF(COUNT('Schedule'!S117:S121)=5,SUM('Schedule'!S117:S121),"n.a.")</x:f>
        <x:v>0</x:v>
      </x:c>
      <x:c r="I42" s="4" t="str">
        <x:f>'Schedule'!T117</x:f>
        <x:v>Ready</x:v>
      </x:c>
      <x:c r="J42" s="4"/>
      <x:c r="K42" s="30" t="n">
        <x:f>C42</x:f>
        <x:v>23</x:v>
      </x:c>
      <x:c r="L42" s="22" t="n">
        <x:f>IF(ISNUMBER(H42),H42,NA())</x:f>
        <x:v>0</x:v>
      </x:c>
      <x:c r="M42" s="4"/>
      <x:c r="N42" s="4"/>
      <x:c r="O42" s="4"/>
      <x:c r="P42" s="4"/>
    </x:row>
    <x:row r="43" ht="22" customHeight="1">
      <x:c r="A43" s="2"/>
      <x:c r="B43" s="2"/>
      <x:c r="C43" s="23" t="n">
        <x:v>24</x:v>
      </x:c>
      <x:c r="D43" s="32" t="n">
        <x:f>'Schedule'!D122</x:f>
        <x:v>47027</x:v>
      </x:c>
      <x:c r="E43" s="4" t="n">
        <x:f>'Schedule'!E122</x:f>
        <x:v>500</x:v>
      </x:c>
      <x:c r="F43" s="4" t="n">
        <x:f>IF(COUNT('Schedule'!Q122:Q126)=5,SUM('Schedule'!Q122:Q126),"n.a.")</x:f>
        <x:v>0</x:v>
      </x:c>
      <x:c r="G43" s="4" t="n">
        <x:f>IF(COUNT('Schedule'!M122:M126)=5,SUM('Schedule'!M122:M126),"n.a.")</x:f>
        <x:v>0</x:v>
      </x:c>
      <x:c r="H43" s="4" t="n">
        <x:f>IF(COUNT('Schedule'!S122:S126)=5,SUM('Schedule'!S122:S126),"n.a.")</x:f>
        <x:v>0</x:v>
      </x:c>
      <x:c r="I43" s="4" t="str">
        <x:f>'Schedule'!T122</x:f>
        <x:v>Ready</x:v>
      </x:c>
      <x:c r="J43" s="4"/>
      <x:c r="K43" s="30" t="n">
        <x:f>C43</x:f>
        <x:v>24</x:v>
      </x:c>
      <x:c r="L43" s="22" t="n">
        <x:f>IF(ISNUMBER(H43),H43,NA())</x:f>
        <x:v>0</x:v>
      </x:c>
      <x:c r="M43" s="4"/>
      <x:c r="N43" s="4"/>
      <x:c r="O43" s="4"/>
      <x:c r="P43" s="4"/>
    </x:row>
    <x:row r="44" ht="22" customHeight="1">
      <x:c r="A44" s="2"/>
      <x:c r="B44" s="2"/>
      <x:c r="C44" s="23" t="n">
        <x:v>25</x:v>
      </x:c>
      <x:c r="D44" s="32" t="n">
        <x:f>'Schedule'!D127</x:f>
        <x:v>47058</x:v>
      </x:c>
      <x:c r="E44" s="4" t="n">
        <x:f>'Schedule'!E127</x:f>
        <x:v>500</x:v>
      </x:c>
      <x:c r="F44" s="4" t="n">
        <x:f>IF(COUNT('Schedule'!Q127:Q131)=5,SUM('Schedule'!Q127:Q131),"n.a.")</x:f>
        <x:v>0</x:v>
      </x:c>
      <x:c r="G44" s="4" t="n">
        <x:f>IF(COUNT('Schedule'!M127:M131)=5,SUM('Schedule'!M127:M131),"n.a.")</x:f>
        <x:v>0</x:v>
      </x:c>
      <x:c r="H44" s="4" t="n">
        <x:f>IF(COUNT('Schedule'!S127:S131)=5,SUM('Schedule'!S127:S131),"n.a.")</x:f>
        <x:v>0</x:v>
      </x:c>
      <x:c r="I44" s="4" t="str">
        <x:f>'Schedule'!T127</x:f>
        <x:v>Ready</x:v>
      </x:c>
      <x:c r="J44" s="4"/>
      <x:c r="K44" s="30" t="n">
        <x:f>C44</x:f>
        <x:v>25</x:v>
      </x:c>
      <x:c r="L44" s="22" t="n">
        <x:f>IF(ISNUMBER(H44),H44,NA())</x:f>
        <x:v>0</x:v>
      </x:c>
      <x:c r="M44" s="4"/>
      <x:c r="N44" s="4"/>
      <x:c r="O44" s="4"/>
      <x:c r="P44" s="4"/>
    </x:row>
    <x:row r="45" ht="22" customHeight="1">
      <x:c r="A45" s="2"/>
      <x:c r="B45" s="2"/>
      <x:c r="C45" s="23" t="n">
        <x:v>26</x:v>
      </x:c>
      <x:c r="D45" s="32" t="n">
        <x:f>'Schedule'!D132</x:f>
        <x:v>47088</x:v>
      </x:c>
      <x:c r="E45" s="4" t="n">
        <x:f>'Schedule'!E132</x:f>
        <x:v>500</x:v>
      </x:c>
      <x:c r="F45" s="4" t="n">
        <x:f>IF(COUNT('Schedule'!Q132:Q136)=5,SUM('Schedule'!Q132:Q136),"n.a.")</x:f>
        <x:v>0</x:v>
      </x:c>
      <x:c r="G45" s="4" t="n">
        <x:f>IF(COUNT('Schedule'!M132:M136)=5,SUM('Schedule'!M132:M136),"n.a.")</x:f>
        <x:v>0</x:v>
      </x:c>
      <x:c r="H45" s="4" t="n">
        <x:f>IF(COUNT('Schedule'!S132:S136)=5,SUM('Schedule'!S132:S136),"n.a.")</x:f>
        <x:v>0</x:v>
      </x:c>
      <x:c r="I45" s="4" t="str">
        <x:f>'Schedule'!T132</x:f>
        <x:v>Ready</x:v>
      </x:c>
      <x:c r="J45" s="4"/>
      <x:c r="K45" s="30" t="n">
        <x:f>C45</x:f>
        <x:v>26</x:v>
      </x:c>
      <x:c r="L45" s="22" t="n">
        <x:f>IF(ISNUMBER(H45),H45,NA())</x:f>
        <x:v>0</x:v>
      </x:c>
      <x:c r="M45" s="4"/>
      <x:c r="N45" s="4"/>
      <x:c r="O45" s="4"/>
      <x:c r="P45" s="4"/>
    </x:row>
    <x:row r="46" ht="22" customHeight="1">
      <x:c r="A46" s="2"/>
      <x:c r="B46" s="2"/>
      <x:c r="C46" s="23" t="n">
        <x:v>27</x:v>
      </x:c>
      <x:c r="D46" s="32" t="n">
        <x:f>'Schedule'!D137</x:f>
        <x:v>47119</x:v>
      </x:c>
      <x:c r="E46" s="4" t="n">
        <x:f>'Schedule'!E137</x:f>
        <x:v>500</x:v>
      </x:c>
      <x:c r="F46" s="4" t="n">
        <x:f>IF(COUNT('Schedule'!Q137:Q141)=5,SUM('Schedule'!Q137:Q141),"n.a.")</x:f>
        <x:v>0</x:v>
      </x:c>
      <x:c r="G46" s="4" t="n">
        <x:f>IF(COUNT('Schedule'!M137:M141)=5,SUM('Schedule'!M137:M141),"n.a.")</x:f>
        <x:v>0</x:v>
      </x:c>
      <x:c r="H46" s="4" t="n">
        <x:f>IF(COUNT('Schedule'!S137:S141)=5,SUM('Schedule'!S137:S141),"n.a.")</x:f>
        <x:v>0</x:v>
      </x:c>
      <x:c r="I46" s="4" t="str">
        <x:f>'Schedule'!T137</x:f>
        <x:v>Ready</x:v>
      </x:c>
      <x:c r="J46" s="4"/>
      <x:c r="K46" s="30" t="n">
        <x:f>C46</x:f>
        <x:v>27</x:v>
      </x:c>
      <x:c r="L46" s="22" t="n">
        <x:f>IF(ISNUMBER(H46),H46,NA())</x:f>
        <x:v>0</x:v>
      </x:c>
      <x:c r="M46" s="4"/>
      <x:c r="N46" s="4"/>
      <x:c r="O46" s="4"/>
      <x:c r="P46" s="4"/>
    </x:row>
    <x:row r="47" ht="22" customHeight="1">
      <x:c r="A47" s="2"/>
      <x:c r="B47" s="2"/>
      <x:c r="C47" s="23" t="n">
        <x:v>28</x:v>
      </x:c>
      <x:c r="D47" s="32" t="n">
        <x:f>'Schedule'!D142</x:f>
        <x:v>47150</x:v>
      </x:c>
      <x:c r="E47" s="4" t="n">
        <x:f>'Schedule'!E142</x:f>
        <x:v>500</x:v>
      </x:c>
      <x:c r="F47" s="4" t="n">
        <x:f>IF(COUNT('Schedule'!Q142:Q146)=5,SUM('Schedule'!Q142:Q146),"n.a.")</x:f>
        <x:v>0</x:v>
      </x:c>
      <x:c r="G47" s="4" t="n">
        <x:f>IF(COUNT('Schedule'!M142:M146)=5,SUM('Schedule'!M142:M146),"n.a.")</x:f>
        <x:v>0</x:v>
      </x:c>
      <x:c r="H47" s="4" t="n">
        <x:f>IF(COUNT('Schedule'!S142:S146)=5,SUM('Schedule'!S142:S146),"n.a.")</x:f>
        <x:v>0</x:v>
      </x:c>
      <x:c r="I47" s="4" t="str">
        <x:f>'Schedule'!T142</x:f>
        <x:v>Ready</x:v>
      </x:c>
      <x:c r="J47" s="4"/>
      <x:c r="K47" s="30" t="n">
        <x:f>C47</x:f>
        <x:v>28</x:v>
      </x:c>
      <x:c r="L47" s="22" t="n">
        <x:f>IF(ISNUMBER(H47),H47,NA())</x:f>
        <x:v>0</x:v>
      </x:c>
      <x:c r="M47" s="4"/>
      <x:c r="N47" s="4"/>
      <x:c r="O47" s="4"/>
      <x:c r="P47" s="4"/>
    </x:row>
    <x:row r="48" ht="22" customHeight="1">
      <x:c r="A48" s="2"/>
      <x:c r="B48" s="2"/>
      <x:c r="C48" s="23" t="n">
        <x:v>29</x:v>
      </x:c>
      <x:c r="D48" s="32" t="n">
        <x:f>'Schedule'!D147</x:f>
        <x:v>47178</x:v>
      </x:c>
      <x:c r="E48" s="4" t="n">
        <x:f>'Schedule'!E147</x:f>
        <x:v>500</x:v>
      </x:c>
      <x:c r="F48" s="4" t="n">
        <x:f>IF(COUNT('Schedule'!Q147:Q151)=5,SUM('Schedule'!Q147:Q151),"n.a.")</x:f>
        <x:v>0</x:v>
      </x:c>
      <x:c r="G48" s="4" t="n">
        <x:f>IF(COUNT('Schedule'!M147:M151)=5,SUM('Schedule'!M147:M151),"n.a.")</x:f>
        <x:v>0</x:v>
      </x:c>
      <x:c r="H48" s="4" t="n">
        <x:f>IF(COUNT('Schedule'!S147:S151)=5,SUM('Schedule'!S147:S151),"n.a.")</x:f>
        <x:v>0</x:v>
      </x:c>
      <x:c r="I48" s="4" t="str">
        <x:f>'Schedule'!T147</x:f>
        <x:v>Ready</x:v>
      </x:c>
      <x:c r="J48" s="4"/>
      <x:c r="K48" s="30" t="n">
        <x:f>C48</x:f>
        <x:v>29</x:v>
      </x:c>
      <x:c r="L48" s="22" t="n">
        <x:f>IF(ISNUMBER(H48),H48,NA())</x:f>
        <x:v>0</x:v>
      </x:c>
      <x:c r="M48" s="4"/>
      <x:c r="N48" s="4"/>
      <x:c r="O48" s="4"/>
      <x:c r="P48" s="4"/>
    </x:row>
    <x:row r="49" ht="22" customHeight="1">
      <x:c r="A49" s="2"/>
      <x:c r="B49" s="2"/>
      <x:c r="C49" s="23" t="n">
        <x:v>30</x:v>
      </x:c>
      <x:c r="D49" s="32" t="n">
        <x:f>'Schedule'!D152</x:f>
        <x:v>47209</x:v>
      </x:c>
      <x:c r="E49" s="4" t="n">
        <x:f>'Schedule'!E152</x:f>
        <x:v>500</x:v>
      </x:c>
      <x:c r="F49" s="4" t="n">
        <x:f>IF(COUNT('Schedule'!Q152:Q156)=5,SUM('Schedule'!Q152:Q156),"n.a.")</x:f>
        <x:v>0</x:v>
      </x:c>
      <x:c r="G49" s="4" t="n">
        <x:f>IF(COUNT('Schedule'!M152:M156)=5,SUM('Schedule'!M152:M156),"n.a.")</x:f>
        <x:v>0</x:v>
      </x:c>
      <x:c r="H49" s="4" t="n">
        <x:f>IF(COUNT('Schedule'!S152:S156)=5,SUM('Schedule'!S152:S156),"n.a.")</x:f>
        <x:v>0</x:v>
      </x:c>
      <x:c r="I49" s="4" t="str">
        <x:f>'Schedule'!T152</x:f>
        <x:v>Ready</x:v>
      </x:c>
      <x:c r="J49" s="4"/>
      <x:c r="K49" s="30" t="n">
        <x:f>C49</x:f>
        <x:v>30</x:v>
      </x:c>
      <x:c r="L49" s="22" t="n">
        <x:f>IF(ISNUMBER(H49),H49,NA())</x:f>
        <x:v>0</x:v>
      </x:c>
      <x:c r="M49" s="4"/>
      <x:c r="N49" s="4"/>
      <x:c r="O49" s="4"/>
      <x:c r="P49" s="4"/>
    </x:row>
    <x:row r="50" ht="22" customHeight="1">
      <x:c r="A50" s="2"/>
      <x:c r="B50" s="2"/>
      <x:c r="C50" s="23" t="n">
        <x:v>31</x:v>
      </x:c>
      <x:c r="D50" s="32" t="n">
        <x:f>'Schedule'!D157</x:f>
        <x:v>47239</x:v>
      </x:c>
      <x:c r="E50" s="4" t="n">
        <x:f>'Schedule'!E157</x:f>
        <x:v>500</x:v>
      </x:c>
      <x:c r="F50" s="4" t="n">
        <x:f>IF(COUNT('Schedule'!Q157:Q161)=5,SUM('Schedule'!Q157:Q161),"n.a.")</x:f>
        <x:v>0</x:v>
      </x:c>
      <x:c r="G50" s="4" t="n">
        <x:f>IF(COUNT('Schedule'!M157:M161)=5,SUM('Schedule'!M157:M161),"n.a.")</x:f>
        <x:v>0</x:v>
      </x:c>
      <x:c r="H50" s="4" t="n">
        <x:f>IF(COUNT('Schedule'!S157:S161)=5,SUM('Schedule'!S157:S161),"n.a.")</x:f>
        <x:v>0</x:v>
      </x:c>
      <x:c r="I50" s="4" t="str">
        <x:f>'Schedule'!T157</x:f>
        <x:v>Ready</x:v>
      </x:c>
      <x:c r="J50" s="4"/>
      <x:c r="K50" s="30" t="n">
        <x:f>C50</x:f>
        <x:v>31</x:v>
      </x:c>
      <x:c r="L50" s="22" t="n">
        <x:f>IF(ISNUMBER(H50),H50,NA())</x:f>
        <x:v>0</x:v>
      </x:c>
      <x:c r="M50" s="4"/>
      <x:c r="N50" s="4"/>
      <x:c r="O50" s="4"/>
      <x:c r="P50" s="4"/>
    </x:row>
    <x:row r="51" ht="22" customHeight="1">
      <x:c r="A51" s="2"/>
      <x:c r="B51" s="2"/>
      <x:c r="C51" s="23" t="n">
        <x:v>32</x:v>
      </x:c>
      <x:c r="D51" s="32" t="n">
        <x:f>'Schedule'!D162</x:f>
        <x:v>47270</x:v>
      </x:c>
      <x:c r="E51" s="4" t="n">
        <x:f>'Schedule'!E162</x:f>
        <x:v>500</x:v>
      </x:c>
      <x:c r="F51" s="4" t="n">
        <x:f>IF(COUNT('Schedule'!Q162:Q166)=5,SUM('Schedule'!Q162:Q166),"n.a.")</x:f>
        <x:v>0</x:v>
      </x:c>
      <x:c r="G51" s="4" t="n">
        <x:f>IF(COUNT('Schedule'!M162:M166)=5,SUM('Schedule'!M162:M166),"n.a.")</x:f>
        <x:v>0</x:v>
      </x:c>
      <x:c r="H51" s="4" t="n">
        <x:f>IF(COUNT('Schedule'!S162:S166)=5,SUM('Schedule'!S162:S166),"n.a.")</x:f>
        <x:v>0</x:v>
      </x:c>
      <x:c r="I51" s="4" t="str">
        <x:f>'Schedule'!T162</x:f>
        <x:v>Ready</x:v>
      </x:c>
      <x:c r="J51" s="4"/>
      <x:c r="K51" s="30" t="n">
        <x:f>C51</x:f>
        <x:v>32</x:v>
      </x:c>
      <x:c r="L51" s="22" t="n">
        <x:f>IF(ISNUMBER(H51),H51,NA())</x:f>
        <x:v>0</x:v>
      </x:c>
      <x:c r="M51" s="4"/>
      <x:c r="N51" s="4"/>
      <x:c r="O51" s="4"/>
      <x:c r="P51" s="4"/>
    </x:row>
    <x:row r="52" ht="22" customHeight="1">
      <x:c r="A52" s="2"/>
      <x:c r="B52" s="2"/>
      <x:c r="C52" s="23" t="n">
        <x:v>33</x:v>
      </x:c>
      <x:c r="D52" s="32" t="n">
        <x:f>'Schedule'!D167</x:f>
        <x:v>47300</x:v>
      </x:c>
      <x:c r="E52" s="4" t="n">
        <x:f>'Schedule'!E167</x:f>
        <x:v>500</x:v>
      </x:c>
      <x:c r="F52" s="4" t="n">
        <x:f>IF(COUNT('Schedule'!Q167:Q171)=5,SUM('Schedule'!Q167:Q171),"n.a.")</x:f>
        <x:v>0</x:v>
      </x:c>
      <x:c r="G52" s="4" t="n">
        <x:f>IF(COUNT('Schedule'!M167:M171)=5,SUM('Schedule'!M167:M171),"n.a.")</x:f>
        <x:v>0</x:v>
      </x:c>
      <x:c r="H52" s="4" t="n">
        <x:f>IF(COUNT('Schedule'!S167:S171)=5,SUM('Schedule'!S167:S171),"n.a.")</x:f>
        <x:v>0</x:v>
      </x:c>
      <x:c r="I52" s="4" t="str">
        <x:f>'Schedule'!T167</x:f>
        <x:v>Ready</x:v>
      </x:c>
      <x:c r="J52" s="4"/>
      <x:c r="K52" s="30" t="n">
        <x:f>C52</x:f>
        <x:v>33</x:v>
      </x:c>
      <x:c r="L52" s="22" t="n">
        <x:f>IF(ISNUMBER(H52),H52,NA())</x:f>
        <x:v>0</x:v>
      </x:c>
      <x:c r="M52" s="4"/>
      <x:c r="N52" s="4"/>
      <x:c r="O52" s="4"/>
      <x:c r="P52" s="4"/>
    </x:row>
    <x:row r="53" ht="22" customHeight="1">
      <x:c r="A53" s="2"/>
      <x:c r="B53" s="2"/>
      <x:c r="C53" s="23" t="n">
        <x:v>34</x:v>
      </x:c>
      <x:c r="D53" s="32" t="n">
        <x:f>'Schedule'!D172</x:f>
        <x:v>47331</x:v>
      </x:c>
      <x:c r="E53" s="4" t="n">
        <x:f>'Schedule'!E172</x:f>
        <x:v>500</x:v>
      </x:c>
      <x:c r="F53" s="4" t="n">
        <x:f>IF(COUNT('Schedule'!Q172:Q176)=5,SUM('Schedule'!Q172:Q176),"n.a.")</x:f>
        <x:v>0</x:v>
      </x:c>
      <x:c r="G53" s="4" t="n">
        <x:f>IF(COUNT('Schedule'!M172:M176)=5,SUM('Schedule'!M172:M176),"n.a.")</x:f>
        <x:v>0</x:v>
      </x:c>
      <x:c r="H53" s="4" t="n">
        <x:f>IF(COUNT('Schedule'!S172:S176)=5,SUM('Schedule'!S172:S176),"n.a.")</x:f>
        <x:v>0</x:v>
      </x:c>
      <x:c r="I53" s="4" t="str">
        <x:f>'Schedule'!T172</x:f>
        <x:v>Ready</x:v>
      </x:c>
      <x:c r="J53" s="4"/>
      <x:c r="K53" s="30" t="n">
        <x:f>C53</x:f>
        <x:v>34</x:v>
      </x:c>
      <x:c r="L53" s="22" t="n">
        <x:f>IF(ISNUMBER(H53),H53,NA())</x:f>
        <x:v>0</x:v>
      </x:c>
      <x:c r="M53" s="4"/>
      <x:c r="N53" s="4"/>
      <x:c r="O53" s="4"/>
      <x:c r="P53" s="4"/>
    </x:row>
    <x:row r="54" ht="22" customHeight="1">
      <x:c r="A54" s="2"/>
      <x:c r="B54" s="2"/>
      <x:c r="C54" s="23" t="n">
        <x:v>35</x:v>
      </x:c>
      <x:c r="D54" s="32" t="n">
        <x:f>'Schedule'!D177</x:f>
        <x:v>47362</x:v>
      </x:c>
      <x:c r="E54" s="4" t="n">
        <x:f>'Schedule'!E177</x:f>
        <x:v>500</x:v>
      </x:c>
      <x:c r="F54" s="4" t="n">
        <x:f>IF(COUNT('Schedule'!Q177:Q181)=5,SUM('Schedule'!Q177:Q181),"n.a.")</x:f>
        <x:v>0</x:v>
      </x:c>
      <x:c r="G54" s="4" t="n">
        <x:f>IF(COUNT('Schedule'!M177:M181)=5,SUM('Schedule'!M177:M181),"n.a.")</x:f>
        <x:v>0</x:v>
      </x:c>
      <x:c r="H54" s="4" t="n">
        <x:f>IF(COUNT('Schedule'!S177:S181)=5,SUM('Schedule'!S177:S181),"n.a.")</x:f>
        <x:v>0</x:v>
      </x:c>
      <x:c r="I54" s="4" t="str">
        <x:f>'Schedule'!T177</x:f>
        <x:v>Ready</x:v>
      </x:c>
      <x:c r="J54" s="4"/>
      <x:c r="K54" s="30" t="n">
        <x:f>C54</x:f>
        <x:v>35</x:v>
      </x:c>
      <x:c r="L54" s="22" t="n">
        <x:f>IF(ISNUMBER(H54),H54,NA())</x:f>
        <x:v>0</x:v>
      </x:c>
      <x:c r="M54" s="4"/>
      <x:c r="N54" s="4"/>
      <x:c r="O54" s="4"/>
      <x:c r="P54" s="4"/>
    </x:row>
    <x:row r="55" ht="22" customHeight="1">
      <x:c r="A55" s="2"/>
      <x:c r="B55" s="2"/>
      <x:c r="C55" s="23" t="n">
        <x:v>36</x:v>
      </x:c>
      <x:c r="D55" s="32" t="n">
        <x:f>'Schedule'!D182</x:f>
        <x:v>47392</x:v>
      </x:c>
      <x:c r="E55" s="4" t="n">
        <x:f>'Schedule'!E182</x:f>
        <x:v>500</x:v>
      </x:c>
      <x:c r="F55" s="4" t="n">
        <x:f>IF(COUNT('Schedule'!Q182:Q186)=5,SUM('Schedule'!Q182:Q186),"n.a.")</x:f>
        <x:v>0</x:v>
      </x:c>
      <x:c r="G55" s="4" t="n">
        <x:f>IF(COUNT('Schedule'!M182:M186)=5,SUM('Schedule'!M182:M186),"n.a.")</x:f>
        <x:v>0</x:v>
      </x:c>
      <x:c r="H55" s="4" t="n">
        <x:f>IF(COUNT('Schedule'!S182:S186)=5,SUM('Schedule'!S182:S186),"n.a.")</x:f>
        <x:v>0</x:v>
      </x:c>
      <x:c r="I55" s="4" t="str">
        <x:f>'Schedule'!T182</x:f>
        <x:v>Ready</x:v>
      </x:c>
      <x:c r="J55" s="4"/>
      <x:c r="K55" s="30" t="n">
        <x:f>C55</x:f>
        <x:v>36</x:v>
      </x:c>
      <x:c r="L55" s="22" t="n">
        <x:f>IF(ISNUMBER(H55),H55,NA())</x:f>
        <x:v>0</x:v>
      </x:c>
      <x:c r="M55" s="4"/>
      <x:c r="N55" s="4"/>
      <x:c r="O55" s="4"/>
      <x:c r="P55" s="4"/>
    </x:row>
    <x:row r="56" ht="22" customHeight="1">
      <x:c r="A56" s="2"/>
      <x:c r="B56" s="2"/>
      <x:c r="C56" s="23" t="n">
        <x:v>37</x:v>
      </x:c>
      <x:c r="D56" s="32" t="n">
        <x:f>'Schedule'!D187</x:f>
        <x:v>47423</x:v>
      </x:c>
      <x:c r="E56" s="4" t="n">
        <x:f>'Schedule'!E187</x:f>
        <x:v>500</x:v>
      </x:c>
      <x:c r="F56" s="4" t="n">
        <x:f>IF(COUNT('Schedule'!Q187:Q191)=5,SUM('Schedule'!Q187:Q191),"n.a.")</x:f>
        <x:v>0</x:v>
      </x:c>
      <x:c r="G56" s="4" t="n">
        <x:f>IF(COUNT('Schedule'!M187:M191)=5,SUM('Schedule'!M187:M191),"n.a.")</x:f>
        <x:v>0</x:v>
      </x:c>
      <x:c r="H56" s="4" t="n">
        <x:f>IF(COUNT('Schedule'!S187:S191)=5,SUM('Schedule'!S187:S191),"n.a.")</x:f>
        <x:v>0</x:v>
      </x:c>
      <x:c r="I56" s="4" t="str">
        <x:f>'Schedule'!T187</x:f>
        <x:v>Ready</x:v>
      </x:c>
      <x:c r="J56" s="4"/>
      <x:c r="K56" s="4"/>
      <x:c r="L56" s="4"/>
      <x:c r="M56" s="4"/>
      <x:c r="N56" s="4"/>
      <x:c r="O56" s="4"/>
      <x:c r="P56" s="4"/>
    </x:row>
    <x:row r="57" ht="22" customHeight="1">
      <x:c r="A57" s="2"/>
      <x:c r="B57" s="2"/>
      <x:c r="C57" s="23" t="n">
        <x:v>38</x:v>
      </x:c>
      <x:c r="D57" s="32" t="n">
        <x:f>'Schedule'!D192</x:f>
        <x:v>47453</x:v>
      </x:c>
      <x:c r="E57" s="4" t="n">
        <x:f>'Schedule'!E192</x:f>
        <x:v>500</x:v>
      </x:c>
      <x:c r="F57" s="4" t="n">
        <x:f>IF(COUNT('Schedule'!Q192:Q196)=5,SUM('Schedule'!Q192:Q196),"n.a.")</x:f>
        <x:v>0</x:v>
      </x:c>
      <x:c r="G57" s="4" t="n">
        <x:f>IF(COUNT('Schedule'!M192:M196)=5,SUM('Schedule'!M192:M196),"n.a.")</x:f>
        <x:v>0</x:v>
      </x:c>
      <x:c r="H57" s="4" t="n">
        <x:f>IF(COUNT('Schedule'!S192:S196)=5,SUM('Schedule'!S192:S196),"n.a.")</x:f>
        <x:v>0</x:v>
      </x:c>
      <x:c r="I57" s="4" t="str">
        <x:f>'Schedule'!T192</x:f>
        <x:v>Ready</x:v>
      </x:c>
      <x:c r="J57" s="4"/>
      <x:c r="K57" s="4"/>
      <x:c r="L57" s="4"/>
      <x:c r="M57" s="4"/>
      <x:c r="N57" s="4"/>
      <x:c r="O57" s="4"/>
      <x:c r="P57" s="4"/>
    </x:row>
    <x:row r="58" ht="22" customHeight="1">
      <x:c r="A58" s="2"/>
      <x:c r="B58" s="2"/>
      <x:c r="C58" s="23" t="n">
        <x:v>39</x:v>
      </x:c>
      <x:c r="D58" s="32" t="n">
        <x:f>'Schedule'!D197</x:f>
        <x:v>47484</x:v>
      </x:c>
      <x:c r="E58" s="4" t="n">
        <x:f>'Schedule'!E197</x:f>
        <x:v>500</x:v>
      </x:c>
      <x:c r="F58" s="4" t="n">
        <x:f>IF(COUNT('Schedule'!Q197:Q201)=5,SUM('Schedule'!Q197:Q201),"n.a.")</x:f>
        <x:v>0</x:v>
      </x:c>
      <x:c r="G58" s="4" t="n">
        <x:f>IF(COUNT('Schedule'!M197:M201)=5,SUM('Schedule'!M197:M201),"n.a.")</x:f>
        <x:v>0</x:v>
      </x:c>
      <x:c r="H58" s="4" t="n">
        <x:f>IF(COUNT('Schedule'!S197:S201)=5,SUM('Schedule'!S197:S201),"n.a.")</x:f>
        <x:v>0</x:v>
      </x:c>
      <x:c r="I58" s="4" t="str">
        <x:f>'Schedule'!T197</x:f>
        <x:v>Ready</x:v>
      </x:c>
      <x:c r="J58" s="4"/>
      <x:c r="K58" s="4"/>
      <x:c r="L58" s="4"/>
      <x:c r="M58" s="4"/>
      <x:c r="N58" s="4"/>
      <x:c r="O58" s="4"/>
      <x:c r="P58" s="4"/>
    </x:row>
    <x:row r="59" ht="22" customHeight="1">
      <x:c r="A59" s="2"/>
      <x:c r="B59" s="2"/>
      <x:c r="C59" s="23" t="n">
        <x:v>40</x:v>
      </x:c>
      <x:c r="D59" s="32" t="n">
        <x:f>'Schedule'!D202</x:f>
        <x:v>47515</x:v>
      </x:c>
      <x:c r="E59" s="4" t="n">
        <x:f>'Schedule'!E202</x:f>
        <x:v>500</x:v>
      </x:c>
      <x:c r="F59" s="4" t="n">
        <x:f>IF(COUNT('Schedule'!Q202:Q206)=5,SUM('Schedule'!Q202:Q206),"n.a.")</x:f>
        <x:v>0</x:v>
      </x:c>
      <x:c r="G59" s="4" t="n">
        <x:f>IF(COUNT('Schedule'!M202:M206)=5,SUM('Schedule'!M202:M206),"n.a.")</x:f>
        <x:v>0</x:v>
      </x:c>
      <x:c r="H59" s="4" t="n">
        <x:f>IF(COUNT('Schedule'!S202:S206)=5,SUM('Schedule'!S202:S206),"n.a.")</x:f>
        <x:v>0</x:v>
      </x:c>
      <x:c r="I59" s="4" t="str">
        <x:f>'Schedule'!T202</x:f>
        <x:v>Ready</x:v>
      </x:c>
      <x:c r="J59" s="4"/>
      <x:c r="K59" s="4"/>
      <x:c r="L59" s="4"/>
      <x:c r="M59" s="4"/>
      <x:c r="N59" s="4"/>
      <x:c r="O59" s="4"/>
      <x:c r="P59" s="4"/>
    </x:row>
    <x:row r="60" ht="22" customHeight="1">
      <x:c r="A60" s="2"/>
      <x:c r="B60" s="2"/>
      <x:c r="C60" s="23" t="n">
        <x:v>41</x:v>
      </x:c>
      <x:c r="D60" s="32" t="n">
        <x:f>'Schedule'!D207</x:f>
        <x:v>47543</x:v>
      </x:c>
      <x:c r="E60" s="4" t="n">
        <x:f>'Schedule'!E207</x:f>
        <x:v>500</x:v>
      </x:c>
      <x:c r="F60" s="4" t="n">
        <x:f>IF(COUNT('Schedule'!Q207:Q211)=5,SUM('Schedule'!Q207:Q211),"n.a.")</x:f>
        <x:v>0</x:v>
      </x:c>
      <x:c r="G60" s="4" t="n">
        <x:f>IF(COUNT('Schedule'!M207:M211)=5,SUM('Schedule'!M207:M211),"n.a.")</x:f>
        <x:v>0</x:v>
      </x:c>
      <x:c r="H60" s="4" t="n">
        <x:f>IF(COUNT('Schedule'!S207:S211)=5,SUM('Schedule'!S207:S211),"n.a.")</x:f>
        <x:v>0</x:v>
      </x:c>
      <x:c r="I60" s="4" t="str">
        <x:f>'Schedule'!T207</x:f>
        <x:v>Ready</x:v>
      </x:c>
      <x:c r="J60" s="4"/>
      <x:c r="K60" s="4"/>
      <x:c r="L60" s="4"/>
      <x:c r="M60" s="4"/>
      <x:c r="N60" s="4"/>
      <x:c r="O60" s="4"/>
      <x:c r="P60" s="4"/>
    </x:row>
    <x:row r="61" ht="22" customHeight="1">
      <x:c r="A61" s="2"/>
      <x:c r="B61" s="2"/>
      <x:c r="C61" s="23" t="n">
        <x:v>42</x:v>
      </x:c>
      <x:c r="D61" s="32" t="n">
        <x:f>'Schedule'!D212</x:f>
        <x:v>47574</x:v>
      </x:c>
      <x:c r="E61" s="4" t="n">
        <x:f>'Schedule'!E212</x:f>
        <x:v>500</x:v>
      </x:c>
      <x:c r="F61" s="4" t="n">
        <x:f>IF(COUNT('Schedule'!Q212:Q216)=5,SUM('Schedule'!Q212:Q216),"n.a.")</x:f>
        <x:v>0</x:v>
      </x:c>
      <x:c r="G61" s="4" t="n">
        <x:f>IF(COUNT('Schedule'!M212:M216)=5,SUM('Schedule'!M212:M216),"n.a.")</x:f>
        <x:v>0</x:v>
      </x:c>
      <x:c r="H61" s="4" t="n">
        <x:f>IF(COUNT('Schedule'!S212:S216)=5,SUM('Schedule'!S212:S216),"n.a.")</x:f>
        <x:v>0</x:v>
      </x:c>
      <x:c r="I61" s="4" t="str">
        <x:f>'Schedule'!T212</x:f>
        <x:v>Ready</x:v>
      </x:c>
      <x:c r="J61" s="4"/>
      <x:c r="K61" s="4"/>
      <x:c r="L61" s="4"/>
      <x:c r="M61" s="4"/>
      <x:c r="N61" s="4"/>
      <x:c r="O61" s="4"/>
      <x:c r="P61" s="4"/>
    </x:row>
    <x:row r="62" ht="22" customHeight="1">
      <x:c r="A62" s="2"/>
      <x:c r="B62" s="2"/>
      <x:c r="C62" s="23" t="n">
        <x:v>43</x:v>
      </x:c>
      <x:c r="D62" s="32" t="n">
        <x:f>'Schedule'!D217</x:f>
        <x:v>47604</x:v>
      </x:c>
      <x:c r="E62" s="4" t="n">
        <x:f>'Schedule'!E217</x:f>
        <x:v>500</x:v>
      </x:c>
      <x:c r="F62" s="4" t="n">
        <x:f>IF(COUNT('Schedule'!Q217:Q221)=5,SUM('Schedule'!Q217:Q221),"n.a.")</x:f>
        <x:v>0</x:v>
      </x:c>
      <x:c r="G62" s="4" t="n">
        <x:f>IF(COUNT('Schedule'!M217:M221)=5,SUM('Schedule'!M217:M221),"n.a.")</x:f>
        <x:v>0</x:v>
      </x:c>
      <x:c r="H62" s="4" t="n">
        <x:f>IF(COUNT('Schedule'!S217:S221)=5,SUM('Schedule'!S217:S221),"n.a.")</x:f>
        <x:v>0</x:v>
      </x:c>
      <x:c r="I62" s="4" t="str">
        <x:f>'Schedule'!T217</x:f>
        <x:v>Ready</x:v>
      </x:c>
      <x:c r="J62" s="4"/>
      <x:c r="K62" s="4"/>
      <x:c r="L62" s="4"/>
      <x:c r="M62" s="4"/>
      <x:c r="N62" s="4"/>
      <x:c r="O62" s="4"/>
      <x:c r="P62" s="4"/>
    </x:row>
    <x:row r="63" ht="22" customHeight="1">
      <x:c r="A63" s="2"/>
      <x:c r="B63" s="2"/>
      <x:c r="C63" s="23" t="n">
        <x:v>44</x:v>
      </x:c>
      <x:c r="D63" s="32" t="n">
        <x:f>'Schedule'!D222</x:f>
        <x:v>47635</x:v>
      </x:c>
      <x:c r="E63" s="4" t="n">
        <x:f>'Schedule'!E222</x:f>
        <x:v>500</x:v>
      </x:c>
      <x:c r="F63" s="4" t="n">
        <x:f>IF(COUNT('Schedule'!Q222:Q226)=5,SUM('Schedule'!Q222:Q226),"n.a.")</x:f>
        <x:v>0</x:v>
      </x:c>
      <x:c r="G63" s="4" t="n">
        <x:f>IF(COUNT('Schedule'!M222:M226)=5,SUM('Schedule'!M222:M226),"n.a.")</x:f>
        <x:v>0</x:v>
      </x:c>
      <x:c r="H63" s="4" t="n">
        <x:f>IF(COUNT('Schedule'!S222:S226)=5,SUM('Schedule'!S222:S226),"n.a.")</x:f>
        <x:v>0</x:v>
      </x:c>
      <x:c r="I63" s="4" t="str">
        <x:f>'Schedule'!T222</x:f>
        <x:v>Ready</x:v>
      </x:c>
      <x:c r="J63" s="4"/>
      <x:c r="K63" s="4"/>
      <x:c r="L63" s="4"/>
      <x:c r="M63" s="4"/>
      <x:c r="N63" s="4"/>
      <x:c r="O63" s="4"/>
      <x:c r="P63" s="4"/>
    </x:row>
    <x:row r="64" ht="22" customHeight="1">
      <x:c r="A64" s="2"/>
      <x:c r="B64" s="2"/>
      <x:c r="C64" s="23" t="n">
        <x:v>45</x:v>
      </x:c>
      <x:c r="D64" s="32" t="n">
        <x:f>'Schedule'!D227</x:f>
        <x:v>47665</x:v>
      </x:c>
      <x:c r="E64" s="4" t="n">
        <x:f>'Schedule'!E227</x:f>
        <x:v>500</x:v>
      </x:c>
      <x:c r="F64" s="4" t="n">
        <x:f>IF(COUNT('Schedule'!Q227:Q231)=5,SUM('Schedule'!Q227:Q231),"n.a.")</x:f>
        <x:v>0</x:v>
      </x:c>
      <x:c r="G64" s="4" t="n">
        <x:f>IF(COUNT('Schedule'!M227:M231)=5,SUM('Schedule'!M227:M231),"n.a.")</x:f>
        <x:v>0</x:v>
      </x:c>
      <x:c r="H64" s="4" t="n">
        <x:f>IF(COUNT('Schedule'!S227:S231)=5,SUM('Schedule'!S227:S231),"n.a.")</x:f>
        <x:v>0</x:v>
      </x:c>
      <x:c r="I64" s="4" t="str">
        <x:f>'Schedule'!T227</x:f>
        <x:v>Ready</x:v>
      </x:c>
      <x:c r="J64" s="4"/>
      <x:c r="K64" s="4"/>
      <x:c r="L64" s="4"/>
      <x:c r="M64" s="4"/>
      <x:c r="N64" s="4"/>
      <x:c r="O64" s="4"/>
      <x:c r="P64" s="4"/>
    </x:row>
    <x:row r="65" ht="22" customHeight="1">
      <x:c r="A65" s="2"/>
      <x:c r="B65" s="2"/>
      <x:c r="C65" s="23" t="n">
        <x:v>46</x:v>
      </x:c>
      <x:c r="D65" s="32" t="n">
        <x:f>'Schedule'!D232</x:f>
        <x:v>47696</x:v>
      </x:c>
      <x:c r="E65" s="4" t="n">
        <x:f>'Schedule'!E232</x:f>
        <x:v>500</x:v>
      </x:c>
      <x:c r="F65" s="4" t="n">
        <x:f>IF(COUNT('Schedule'!Q232:Q236)=5,SUM('Schedule'!Q232:Q236),"n.a.")</x:f>
        <x:v>0</x:v>
      </x:c>
      <x:c r="G65" s="4" t="n">
        <x:f>IF(COUNT('Schedule'!M232:M236)=5,SUM('Schedule'!M232:M236),"n.a.")</x:f>
        <x:v>0</x:v>
      </x:c>
      <x:c r="H65" s="4" t="n">
        <x:f>IF(COUNT('Schedule'!S232:S236)=5,SUM('Schedule'!S232:S236),"n.a.")</x:f>
        <x:v>0</x:v>
      </x:c>
      <x:c r="I65" s="4" t="str">
        <x:f>'Schedule'!T232</x:f>
        <x:v>Ready</x:v>
      </x:c>
      <x:c r="J65" s="4"/>
      <x:c r="K65" s="4"/>
      <x:c r="L65" s="4"/>
      <x:c r="M65" s="4"/>
      <x:c r="N65" s="4"/>
      <x:c r="O65" s="4"/>
      <x:c r="P65" s="4"/>
    </x:row>
    <x:row r="66" ht="22" customHeight="1">
      <x:c r="A66" s="2"/>
      <x:c r="B66" s="2"/>
      <x:c r="C66" s="23" t="n">
        <x:v>47</x:v>
      </x:c>
      <x:c r="D66" s="32" t="n">
        <x:f>'Schedule'!D237</x:f>
        <x:v>47727</x:v>
      </x:c>
      <x:c r="E66" s="4" t="n">
        <x:f>'Schedule'!E237</x:f>
        <x:v>500</x:v>
      </x:c>
      <x:c r="F66" s="4" t="n">
        <x:f>IF(COUNT('Schedule'!Q237:Q241)=5,SUM('Schedule'!Q237:Q241),"n.a.")</x:f>
        <x:v>0</x:v>
      </x:c>
      <x:c r="G66" s="4" t="n">
        <x:f>IF(COUNT('Schedule'!M237:M241)=5,SUM('Schedule'!M237:M241),"n.a.")</x:f>
        <x:v>0</x:v>
      </x:c>
      <x:c r="H66" s="4" t="n">
        <x:f>IF(COUNT('Schedule'!S237:S241)=5,SUM('Schedule'!S237:S241),"n.a.")</x:f>
        <x:v>0</x:v>
      </x:c>
      <x:c r="I66" s="4" t="str">
        <x:f>'Schedule'!T237</x:f>
        <x:v>Ready</x:v>
      </x:c>
      <x:c r="J66" s="4"/>
      <x:c r="K66" s="4"/>
      <x:c r="L66" s="4"/>
      <x:c r="M66" s="4"/>
      <x:c r="N66" s="4"/>
      <x:c r="O66" s="4"/>
      <x:c r="P66" s="4"/>
    </x:row>
    <x:row r="67" ht="22" customHeight="1">
      <x:c r="A67" s="2"/>
      <x:c r="B67" s="2"/>
      <x:c r="C67" s="23" t="n">
        <x:v>48</x:v>
      </x:c>
      <x:c r="D67" s="32" t="n">
        <x:f>'Schedule'!D242</x:f>
        <x:v>47757</x:v>
      </x:c>
      <x:c r="E67" s="4" t="n">
        <x:f>'Schedule'!E242</x:f>
        <x:v>500</x:v>
      </x:c>
      <x:c r="F67" s="4" t="n">
        <x:f>IF(COUNT('Schedule'!Q242:Q246)=5,SUM('Schedule'!Q242:Q246),"n.a.")</x:f>
        <x:v>0</x:v>
      </x:c>
      <x:c r="G67" s="4" t="n">
        <x:f>IF(COUNT('Schedule'!M242:M246)=5,SUM('Schedule'!M242:M246),"n.a.")</x:f>
        <x:v>0</x:v>
      </x:c>
      <x:c r="H67" s="4" t="n">
        <x:f>IF(COUNT('Schedule'!S242:S246)=5,SUM('Schedule'!S242:S246),"n.a.")</x:f>
        <x:v>0</x:v>
      </x:c>
      <x:c r="I67" s="4" t="str">
        <x:f>'Schedule'!T242</x:f>
        <x:v>Ready</x:v>
      </x:c>
      <x:c r="J67" s="4"/>
      <x:c r="K67" s="4"/>
      <x:c r="L67" s="4"/>
      <x:c r="M67" s="4"/>
      <x:c r="N67" s="4"/>
      <x:c r="O67" s="4"/>
      <x:c r="P67" s="4"/>
    </x:row>
    <x:row r="68" ht="22" customHeight="1">
      <x:c r="A68" s="2"/>
      <x:c r="B68" s="2"/>
      <x:c r="C68" s="23" t="n">
        <x:v>49</x:v>
      </x:c>
      <x:c r="D68" s="32" t="n">
        <x:f>'Schedule'!D247</x:f>
        <x:v>47788</x:v>
      </x:c>
      <x:c r="E68" s="4" t="n">
        <x:f>'Schedule'!E247</x:f>
        <x:v>500</x:v>
      </x:c>
      <x:c r="F68" s="4" t="n">
        <x:f>IF(COUNT('Schedule'!Q247:Q251)=5,SUM('Schedule'!Q247:Q251),"n.a.")</x:f>
        <x:v>0</x:v>
      </x:c>
      <x:c r="G68" s="4" t="n">
        <x:f>IF(COUNT('Schedule'!M247:M251)=5,SUM('Schedule'!M247:M251),"n.a.")</x:f>
        <x:v>0</x:v>
      </x:c>
      <x:c r="H68" s="4" t="n">
        <x:f>IF(COUNT('Schedule'!S247:S251)=5,SUM('Schedule'!S247:S251),"n.a.")</x:f>
        <x:v>0</x:v>
      </x:c>
      <x:c r="I68" s="4" t="str">
        <x:f>'Schedule'!T247</x:f>
        <x:v>Ready</x:v>
      </x:c>
      <x:c r="J68" s="4"/>
      <x:c r="K68" s="4"/>
      <x:c r="L68" s="4"/>
      <x:c r="M68" s="4"/>
      <x:c r="N68" s="4"/>
      <x:c r="O68" s="4"/>
      <x:c r="P68" s="4"/>
    </x:row>
    <x:row r="69" ht="22" customHeight="1">
      <x:c r="A69" s="2"/>
      <x:c r="B69" s="2"/>
      <x:c r="C69" s="23" t="n">
        <x:v>50</x:v>
      </x:c>
      <x:c r="D69" s="32" t="n">
        <x:f>'Schedule'!D252</x:f>
        <x:v>47818</x:v>
      </x:c>
      <x:c r="E69" s="4" t="n">
        <x:f>'Schedule'!E252</x:f>
        <x:v>500</x:v>
      </x:c>
      <x:c r="F69" s="4" t="n">
        <x:f>IF(COUNT('Schedule'!Q252:Q256)=5,SUM('Schedule'!Q252:Q256),"n.a.")</x:f>
        <x:v>0</x:v>
      </x:c>
      <x:c r="G69" s="4" t="n">
        <x:f>IF(COUNT('Schedule'!M252:M256)=5,SUM('Schedule'!M252:M256),"n.a.")</x:f>
        <x:v>0</x:v>
      </x:c>
      <x:c r="H69" s="4" t="n">
        <x:f>IF(COUNT('Schedule'!S252:S256)=5,SUM('Schedule'!S252:S256),"n.a.")</x:f>
        <x:v>0</x:v>
      </x:c>
      <x:c r="I69" s="4" t="str">
        <x:f>'Schedule'!T252</x:f>
        <x:v>Ready</x:v>
      </x:c>
      <x:c r="J69" s="4"/>
      <x:c r="K69" s="4"/>
      <x:c r="L69" s="4"/>
      <x:c r="M69" s="4"/>
      <x:c r="N69" s="4"/>
      <x:c r="O69" s="4"/>
      <x:c r="P69" s="4"/>
    </x:row>
    <x:row r="70" ht="22" customHeight="1">
      <x:c r="A70" s="2"/>
      <x:c r="B70" s="2"/>
      <x:c r="C70" s="23" t="n">
        <x:v>51</x:v>
      </x:c>
      <x:c r="D70" s="32" t="n">
        <x:f>'Schedule'!D257</x:f>
        <x:v>47849</x:v>
      </x:c>
      <x:c r="E70" s="4" t="n">
        <x:f>'Schedule'!E257</x:f>
        <x:v>500</x:v>
      </x:c>
      <x:c r="F70" s="4" t="n">
        <x:f>IF(COUNT('Schedule'!Q257:Q261)=5,SUM('Schedule'!Q257:Q261),"n.a.")</x:f>
        <x:v>0</x:v>
      </x:c>
      <x:c r="G70" s="4" t="n">
        <x:f>IF(COUNT('Schedule'!M257:M261)=5,SUM('Schedule'!M257:M261),"n.a.")</x:f>
        <x:v>0</x:v>
      </x:c>
      <x:c r="H70" s="4" t="n">
        <x:f>IF(COUNT('Schedule'!S257:S261)=5,SUM('Schedule'!S257:S261),"n.a.")</x:f>
        <x:v>0</x:v>
      </x:c>
      <x:c r="I70" s="4" t="str">
        <x:f>'Schedule'!T257</x:f>
        <x:v>Ready</x:v>
      </x:c>
      <x:c r="J70" s="4"/>
      <x:c r="K70" s="4"/>
      <x:c r="L70" s="4"/>
      <x:c r="M70" s="4"/>
      <x:c r="N70" s="4"/>
      <x:c r="O70" s="4"/>
      <x:c r="P70" s="4"/>
    </x:row>
    <x:row r="71" ht="22" customHeight="1">
      <x:c r="A71" s="2"/>
      <x:c r="B71" s="2"/>
      <x:c r="C71" s="23" t="n">
        <x:v>52</x:v>
      </x:c>
      <x:c r="D71" s="32" t="n">
        <x:f>'Schedule'!D262</x:f>
        <x:v>47880</x:v>
      </x:c>
      <x:c r="E71" s="4" t="n">
        <x:f>'Schedule'!E262</x:f>
        <x:v>500</x:v>
      </x:c>
      <x:c r="F71" s="4" t="n">
        <x:f>IF(COUNT('Schedule'!Q262:Q266)=5,SUM('Schedule'!Q262:Q266),"n.a.")</x:f>
        <x:v>0</x:v>
      </x:c>
      <x:c r="G71" s="4" t="n">
        <x:f>IF(COUNT('Schedule'!M262:M266)=5,SUM('Schedule'!M262:M266),"n.a.")</x:f>
        <x:v>0</x:v>
      </x:c>
      <x:c r="H71" s="4" t="n">
        <x:f>IF(COUNT('Schedule'!S262:S266)=5,SUM('Schedule'!S262:S266),"n.a.")</x:f>
        <x:v>0</x:v>
      </x:c>
      <x:c r="I71" s="4" t="str">
        <x:f>'Schedule'!T262</x:f>
        <x:v>Ready</x:v>
      </x:c>
      <x:c r="J71" s="4"/>
      <x:c r="K71" s="4"/>
      <x:c r="L71" s="4"/>
      <x:c r="M71" s="4"/>
      <x:c r="N71" s="4"/>
      <x:c r="O71" s="4"/>
      <x:c r="P71" s="4"/>
    </x:row>
    <x:row r="72" ht="22" customHeight="1">
      <x:c r="A72" s="2"/>
      <x:c r="B72" s="2"/>
      <x:c r="C72" s="23" t="n">
        <x:v>53</x:v>
      </x:c>
      <x:c r="D72" s="32" t="n">
        <x:f>'Schedule'!D267</x:f>
        <x:v>47908</x:v>
      </x:c>
      <x:c r="E72" s="4" t="n">
        <x:f>'Schedule'!E267</x:f>
        <x:v>500</x:v>
      </x:c>
      <x:c r="F72" s="4" t="n">
        <x:f>IF(COUNT('Schedule'!Q267:Q271)=5,SUM('Schedule'!Q267:Q271),"n.a.")</x:f>
        <x:v>0</x:v>
      </x:c>
      <x:c r="G72" s="4" t="n">
        <x:f>IF(COUNT('Schedule'!M267:M271)=5,SUM('Schedule'!M267:M271),"n.a.")</x:f>
        <x:v>0</x:v>
      </x:c>
      <x:c r="H72" s="4" t="n">
        <x:f>IF(COUNT('Schedule'!S267:S271)=5,SUM('Schedule'!S267:S271),"n.a.")</x:f>
        <x:v>0</x:v>
      </x:c>
      <x:c r="I72" s="4" t="str">
        <x:f>'Schedule'!T267</x:f>
        <x:v>Ready</x:v>
      </x:c>
      <x:c r="J72" s="4"/>
      <x:c r="K72" s="4"/>
      <x:c r="L72" s="4"/>
      <x:c r="M72" s="4"/>
      <x:c r="N72" s="4"/>
      <x:c r="O72" s="4"/>
      <x:c r="P72" s="4"/>
    </x:row>
    <x:row r="73" ht="22" customHeight="1">
      <x:c r="A73" s="2"/>
      <x:c r="B73" s="2"/>
      <x:c r="C73" s="23" t="n">
        <x:v>54</x:v>
      </x:c>
      <x:c r="D73" s="32" t="n">
        <x:f>'Schedule'!D272</x:f>
        <x:v>47939</x:v>
      </x:c>
      <x:c r="E73" s="4" t="n">
        <x:f>'Schedule'!E272</x:f>
        <x:v>500</x:v>
      </x:c>
      <x:c r="F73" s="4" t="n">
        <x:f>IF(COUNT('Schedule'!Q272:Q276)=5,SUM('Schedule'!Q272:Q276),"n.a.")</x:f>
        <x:v>0</x:v>
      </x:c>
      <x:c r="G73" s="4" t="n">
        <x:f>IF(COUNT('Schedule'!M272:M276)=5,SUM('Schedule'!M272:M276),"n.a.")</x:f>
        <x:v>0</x:v>
      </x:c>
      <x:c r="H73" s="4" t="n">
        <x:f>IF(COUNT('Schedule'!S272:S276)=5,SUM('Schedule'!S272:S276),"n.a.")</x:f>
        <x:v>0</x:v>
      </x:c>
      <x:c r="I73" s="4" t="str">
        <x:f>'Schedule'!T272</x:f>
        <x:v>Ready</x:v>
      </x:c>
      <x:c r="J73" s="4"/>
      <x:c r="K73" s="4"/>
      <x:c r="L73" s="4"/>
      <x:c r="M73" s="4"/>
      <x:c r="N73" s="4"/>
      <x:c r="O73" s="4"/>
      <x:c r="P73" s="4"/>
    </x:row>
    <x:row r="74" ht="22" customHeight="1">
      <x:c r="A74" s="2"/>
      <x:c r="B74" s="2"/>
      <x:c r="C74" s="23" t="n">
        <x:v>55</x:v>
      </x:c>
      <x:c r="D74" s="32" t="n">
        <x:f>'Schedule'!D277</x:f>
        <x:v>47969</x:v>
      </x:c>
      <x:c r="E74" s="4" t="n">
        <x:f>'Schedule'!E277</x:f>
        <x:v>500</x:v>
      </x:c>
      <x:c r="F74" s="4" t="n">
        <x:f>IF(COUNT('Schedule'!Q277:Q281)=5,SUM('Schedule'!Q277:Q281),"n.a.")</x:f>
        <x:v>0</x:v>
      </x:c>
      <x:c r="G74" s="4" t="n">
        <x:f>IF(COUNT('Schedule'!M277:M281)=5,SUM('Schedule'!M277:M281),"n.a.")</x:f>
        <x:v>0</x:v>
      </x:c>
      <x:c r="H74" s="4" t="n">
        <x:f>IF(COUNT('Schedule'!S277:S281)=5,SUM('Schedule'!S277:S281),"n.a.")</x:f>
        <x:v>0</x:v>
      </x:c>
      <x:c r="I74" s="4" t="str">
        <x:f>'Schedule'!T277</x:f>
        <x:v>Ready</x:v>
      </x:c>
      <x:c r="J74" s="4"/>
      <x:c r="K74" s="4"/>
      <x:c r="L74" s="4"/>
      <x:c r="M74" s="4"/>
      <x:c r="N74" s="4"/>
      <x:c r="O74" s="4"/>
      <x:c r="P74" s="4"/>
    </x:row>
    <x:row r="75" ht="22" customHeight="1">
      <x:c r="A75" s="2"/>
      <x:c r="B75" s="2"/>
      <x:c r="C75" s="23" t="n">
        <x:v>56</x:v>
      </x:c>
      <x:c r="D75" s="32" t="n">
        <x:f>'Schedule'!D282</x:f>
        <x:v>48000</x:v>
      </x:c>
      <x:c r="E75" s="4" t="n">
        <x:f>'Schedule'!E282</x:f>
        <x:v>500</x:v>
      </x:c>
      <x:c r="F75" s="4" t="n">
        <x:f>IF(COUNT('Schedule'!Q282:Q286)=5,SUM('Schedule'!Q282:Q286),"n.a.")</x:f>
        <x:v>0</x:v>
      </x:c>
      <x:c r="G75" s="4" t="n">
        <x:f>IF(COUNT('Schedule'!M282:M286)=5,SUM('Schedule'!M282:M286),"n.a.")</x:f>
        <x:v>0</x:v>
      </x:c>
      <x:c r="H75" s="4" t="n">
        <x:f>IF(COUNT('Schedule'!S282:S286)=5,SUM('Schedule'!S282:S286),"n.a.")</x:f>
        <x:v>0</x:v>
      </x:c>
      <x:c r="I75" s="4" t="str">
        <x:f>'Schedule'!T282</x:f>
        <x:v>Ready</x:v>
      </x:c>
      <x:c r="J75" s="4"/>
      <x:c r="K75" s="4"/>
      <x:c r="L75" s="4"/>
      <x:c r="M75" s="4"/>
      <x:c r="N75" s="4"/>
      <x:c r="O75" s="4"/>
      <x:c r="P75" s="4"/>
    </x:row>
    <x:row r="76" ht="22" customHeight="1">
      <x:c r="A76" s="2"/>
      <x:c r="B76" s="2"/>
      <x:c r="C76" s="23" t="n">
        <x:v>57</x:v>
      </x:c>
      <x:c r="D76" s="32" t="n">
        <x:f>'Schedule'!D287</x:f>
        <x:v>48030</x:v>
      </x:c>
      <x:c r="E76" s="4" t="n">
        <x:f>'Schedule'!E287</x:f>
        <x:v>500</x:v>
      </x:c>
      <x:c r="F76" s="4" t="n">
        <x:f>IF(COUNT('Schedule'!Q287:Q291)=5,SUM('Schedule'!Q287:Q291),"n.a.")</x:f>
        <x:v>0</x:v>
      </x:c>
      <x:c r="G76" s="4" t="n">
        <x:f>IF(COUNT('Schedule'!M287:M291)=5,SUM('Schedule'!M287:M291),"n.a.")</x:f>
        <x:v>0</x:v>
      </x:c>
      <x:c r="H76" s="4" t="n">
        <x:f>IF(COUNT('Schedule'!S287:S291)=5,SUM('Schedule'!S287:S291),"n.a.")</x:f>
        <x:v>0</x:v>
      </x:c>
      <x:c r="I76" s="4" t="str">
        <x:f>'Schedule'!T287</x:f>
        <x:v>Ready</x:v>
      </x:c>
      <x:c r="J76" s="4"/>
      <x:c r="K76" s="4"/>
      <x:c r="L76" s="4"/>
      <x:c r="M76" s="4"/>
      <x:c r="N76" s="4"/>
      <x:c r="O76" s="4"/>
      <x:c r="P76" s="4"/>
    </x:row>
    <x:row r="77" ht="22" customHeight="1">
      <x:c r="A77" s="2"/>
      <x:c r="B77" s="2"/>
      <x:c r="C77" s="23" t="n">
        <x:v>58</x:v>
      </x:c>
      <x:c r="D77" s="32" t="n">
        <x:f>'Schedule'!D292</x:f>
        <x:v>48061</x:v>
      </x:c>
      <x:c r="E77" s="4" t="n">
        <x:f>'Schedule'!E292</x:f>
        <x:v>500</x:v>
      </x:c>
      <x:c r="F77" s="4" t="n">
        <x:f>IF(COUNT('Schedule'!Q292:Q296)=5,SUM('Schedule'!Q292:Q296),"n.a.")</x:f>
        <x:v>0</x:v>
      </x:c>
      <x:c r="G77" s="4" t="n">
        <x:f>IF(COUNT('Schedule'!M292:M296)=5,SUM('Schedule'!M292:M296),"n.a.")</x:f>
        <x:v>0</x:v>
      </x:c>
      <x:c r="H77" s="4" t="n">
        <x:f>IF(COUNT('Schedule'!S292:S296)=5,SUM('Schedule'!S292:S296),"n.a.")</x:f>
        <x:v>0</x:v>
      </x:c>
      <x:c r="I77" s="4" t="str">
        <x:f>'Schedule'!T292</x:f>
        <x:v>Ready</x:v>
      </x:c>
      <x:c r="J77" s="4"/>
      <x:c r="K77" s="4"/>
      <x:c r="L77" s="4"/>
      <x:c r="M77" s="4"/>
      <x:c r="N77" s="4"/>
      <x:c r="O77" s="4"/>
      <x:c r="P77" s="4"/>
    </x:row>
    <x:row r="78" ht="22" customHeight="1">
      <x:c r="A78" s="2"/>
      <x:c r="B78" s="2"/>
      <x:c r="C78" s="23" t="n">
        <x:v>59</x:v>
      </x:c>
      <x:c r="D78" s="32" t="n">
        <x:f>'Schedule'!D297</x:f>
        <x:v>48092</x:v>
      </x:c>
      <x:c r="E78" s="4" t="n">
        <x:f>'Schedule'!E297</x:f>
        <x:v>500</x:v>
      </x:c>
      <x:c r="F78" s="4" t="n">
        <x:f>IF(COUNT('Schedule'!Q297:Q301)=5,SUM('Schedule'!Q297:Q301),"n.a.")</x:f>
        <x:v>0</x:v>
      </x:c>
      <x:c r="G78" s="4" t="n">
        <x:f>IF(COUNT('Schedule'!M297:M301)=5,SUM('Schedule'!M297:M301),"n.a.")</x:f>
        <x:v>0</x:v>
      </x:c>
      <x:c r="H78" s="4" t="n">
        <x:f>IF(COUNT('Schedule'!S297:S301)=5,SUM('Schedule'!S297:S301),"n.a.")</x:f>
        <x:v>0</x:v>
      </x:c>
      <x:c r="I78" s="4" t="str">
        <x:f>'Schedule'!T297</x:f>
        <x:v>Ready</x:v>
      </x:c>
      <x:c r="J78" s="4"/>
      <x:c r="K78" s="4"/>
      <x:c r="L78" s="4"/>
      <x:c r="M78" s="4"/>
      <x:c r="N78" s="4"/>
      <x:c r="O78" s="4"/>
      <x:c r="P78" s="4"/>
    </x:row>
    <x:row r="79" ht="22" customHeight="1">
      <x:c r="A79" s="2"/>
      <x:c r="B79" s="2"/>
      <x:c r="C79" s="23" t="n">
        <x:v>60</x:v>
      </x:c>
      <x:c r="D79" s="32" t="n">
        <x:f>'Schedule'!D302</x:f>
        <x:v>48122</x:v>
      </x:c>
      <x:c r="E79" s="4" t="n">
        <x:f>'Schedule'!E302</x:f>
        <x:v>500</x:v>
      </x:c>
      <x:c r="F79" s="4" t="n">
        <x:f>IF(COUNT('Schedule'!Q302:Q306)=5,SUM('Schedule'!Q302:Q306),"n.a.")</x:f>
        <x:v>0</x:v>
      </x:c>
      <x:c r="G79" s="4" t="n">
        <x:f>IF(COUNT('Schedule'!M302:M306)=5,SUM('Schedule'!M302:M306),"n.a.")</x:f>
        <x:v>0</x:v>
      </x:c>
      <x:c r="H79" s="4" t="n">
        <x:f>IF(COUNT('Schedule'!S302:S306)=5,SUM('Schedule'!S302:S306),"n.a.")</x:f>
        <x:v>0</x:v>
      </x:c>
      <x:c r="I79" s="4" t="str">
        <x:f>'Schedule'!T302</x:f>
        <x:v>Ready</x:v>
      </x:c>
      <x:c r="J79" s="4"/>
      <x:c r="K79" s="4"/>
      <x:c r="L79" s="4"/>
      <x:c r="M79" s="4"/>
      <x:c r="N79" s="4"/>
      <x:c r="O79" s="4"/>
      <x:c r="P79" s="4"/>
    </x:row>
    <x:row r="80" ht="22" customHeight="1">
      <x:c r="A80" s="2"/>
      <x:c r="B80" s="2"/>
      <x:c r="C80" s="23" t="n">
        <x:v>61</x:v>
      </x:c>
      <x:c r="D80" s="32" t="n">
        <x:f>'Schedule'!D307</x:f>
        <x:v>48153</x:v>
      </x:c>
      <x:c r="E80" s="4" t="n">
        <x:f>'Schedule'!E307</x:f>
        <x:v>500</x:v>
      </x:c>
      <x:c r="F80" s="4" t="n">
        <x:f>IF(COUNT('Schedule'!Q307:Q311)=5,SUM('Schedule'!Q307:Q311),"n.a.")</x:f>
        <x:v>0</x:v>
      </x:c>
      <x:c r="G80" s="4" t="n">
        <x:f>IF(COUNT('Schedule'!M307:M311)=5,SUM('Schedule'!M307:M311),"n.a.")</x:f>
        <x:v>0</x:v>
      </x:c>
      <x:c r="H80" s="4" t="n">
        <x:f>IF(COUNT('Schedule'!S307:S311)=5,SUM('Schedule'!S307:S311),"n.a.")</x:f>
        <x:v>0</x:v>
      </x:c>
      <x:c r="I80" s="4" t="str">
        <x:f>'Schedule'!T307</x:f>
        <x:v>Ready</x:v>
      </x:c>
      <x:c r="J80" s="4"/>
      <x:c r="K80" s="4"/>
      <x:c r="L80" s="4"/>
      <x:c r="M80" s="4"/>
      <x:c r="N80" s="4"/>
      <x:c r="O80" s="4"/>
      <x:c r="P80" s="4"/>
    </x:row>
    <x:row r="81" ht="22" customHeight="1">
      <x:c r="A81" s="2"/>
      <x:c r="B81" s="2"/>
      <x:c r="C81" s="23" t="n">
        <x:v>62</x:v>
      </x:c>
      <x:c r="D81" s="32" t="n">
        <x:f>'Schedule'!D312</x:f>
        <x:v>48183</x:v>
      </x:c>
      <x:c r="E81" s="4" t="n">
        <x:f>'Schedule'!E312</x:f>
        <x:v>500</x:v>
      </x:c>
      <x:c r="F81" s="4" t="n">
        <x:f>IF(COUNT('Schedule'!Q312:Q316)=5,SUM('Schedule'!Q312:Q316),"n.a.")</x:f>
        <x:v>0</x:v>
      </x:c>
      <x:c r="G81" s="4" t="n">
        <x:f>IF(COUNT('Schedule'!M312:M316)=5,SUM('Schedule'!M312:M316),"n.a.")</x:f>
        <x:v>0</x:v>
      </x:c>
      <x:c r="H81" s="4" t="n">
        <x:f>IF(COUNT('Schedule'!S312:S316)=5,SUM('Schedule'!S312:S316),"n.a.")</x:f>
        <x:v>0</x:v>
      </x:c>
      <x:c r="I81" s="4" t="str">
        <x:f>'Schedule'!T312</x:f>
        <x:v>Ready</x:v>
      </x:c>
      <x:c r="J81" s="4"/>
      <x:c r="K81" s="4"/>
      <x:c r="L81" s="4"/>
      <x:c r="M81" s="4"/>
      <x:c r="N81" s="4"/>
      <x:c r="O81" s="4"/>
      <x:c r="P81" s="4"/>
    </x:row>
    <x:row r="82" ht="22" customHeight="1">
      <x:c r="A82" s="2"/>
      <x:c r="B82" s="2"/>
      <x:c r="C82" s="23" t="n">
        <x:v>63</x:v>
      </x:c>
      <x:c r="D82" s="32" t="n">
        <x:f>'Schedule'!D317</x:f>
        <x:v>48214</x:v>
      </x:c>
      <x:c r="E82" s="4" t="n">
        <x:f>'Schedule'!E317</x:f>
        <x:v>500</x:v>
      </x:c>
      <x:c r="F82" s="4" t="n">
        <x:f>IF(COUNT('Schedule'!Q317:Q321)=5,SUM('Schedule'!Q317:Q321),"n.a.")</x:f>
        <x:v>0</x:v>
      </x:c>
      <x:c r="G82" s="4" t="n">
        <x:f>IF(COUNT('Schedule'!M317:M321)=5,SUM('Schedule'!M317:M321),"n.a.")</x:f>
        <x:v>0</x:v>
      </x:c>
      <x:c r="H82" s="4" t="n">
        <x:f>IF(COUNT('Schedule'!S317:S321)=5,SUM('Schedule'!S317:S321),"n.a.")</x:f>
        <x:v>0</x:v>
      </x:c>
      <x:c r="I82" s="4" t="str">
        <x:f>'Schedule'!T317</x:f>
        <x:v>Ready</x:v>
      </x:c>
      <x:c r="J82" s="4"/>
      <x:c r="K82" s="4"/>
      <x:c r="L82" s="4"/>
      <x:c r="M82" s="4"/>
      <x:c r="N82" s="4"/>
      <x:c r="O82" s="4"/>
      <x:c r="P82" s="4"/>
    </x:row>
    <x:row r="83" ht="22" customHeight="1">
      <x:c r="A83" s="2"/>
      <x:c r="B83" s="2"/>
      <x:c r="C83" s="23" t="n">
        <x:v>64</x:v>
      </x:c>
      <x:c r="D83" s="32" t="n">
        <x:f>'Schedule'!D322</x:f>
        <x:v>48245</x:v>
      </x:c>
      <x:c r="E83" s="4" t="n">
        <x:f>'Schedule'!E322</x:f>
        <x:v>500</x:v>
      </x:c>
      <x:c r="F83" s="4" t="n">
        <x:f>IF(COUNT('Schedule'!Q322:Q326)=5,SUM('Schedule'!Q322:Q326),"n.a.")</x:f>
        <x:v>0</x:v>
      </x:c>
      <x:c r="G83" s="4" t="n">
        <x:f>IF(COUNT('Schedule'!M322:M326)=5,SUM('Schedule'!M322:M326),"n.a.")</x:f>
        <x:v>0</x:v>
      </x:c>
      <x:c r="H83" s="4" t="n">
        <x:f>IF(COUNT('Schedule'!S322:S326)=5,SUM('Schedule'!S322:S326),"n.a.")</x:f>
        <x:v>0</x:v>
      </x:c>
      <x:c r="I83" s="4" t="str">
        <x:f>'Schedule'!T322</x:f>
        <x:v>Ready</x:v>
      </x:c>
      <x:c r="J83" s="4"/>
      <x:c r="K83" s="4"/>
      <x:c r="L83" s="4"/>
      <x:c r="M83" s="4"/>
      <x:c r="N83" s="4"/>
      <x:c r="O83" s="4"/>
      <x:c r="P83" s="4"/>
    </x:row>
    <x:row r="84" ht="22" customHeight="1">
      <x:c r="A84" s="2"/>
      <x:c r="B84" s="2"/>
      <x:c r="C84" s="23" t="n">
        <x:v>65</x:v>
      </x:c>
      <x:c r="D84" s="32" t="n">
        <x:f>'Schedule'!D327</x:f>
        <x:v>48274</x:v>
      </x:c>
      <x:c r="E84" s="4" t="n">
        <x:f>'Schedule'!E327</x:f>
        <x:v>500</x:v>
      </x:c>
      <x:c r="F84" s="4" t="n">
        <x:f>IF(COUNT('Schedule'!Q327:Q331)=5,SUM('Schedule'!Q327:Q331),"n.a.")</x:f>
        <x:v>0</x:v>
      </x:c>
      <x:c r="G84" s="4" t="n">
        <x:f>IF(COUNT('Schedule'!M327:M331)=5,SUM('Schedule'!M327:M331),"n.a.")</x:f>
        <x:v>0</x:v>
      </x:c>
      <x:c r="H84" s="4" t="n">
        <x:f>IF(COUNT('Schedule'!S327:S331)=5,SUM('Schedule'!S327:S331),"n.a.")</x:f>
        <x:v>0</x:v>
      </x:c>
      <x:c r="I84" s="4" t="str">
        <x:f>'Schedule'!T327</x:f>
        <x:v>Ready</x:v>
      </x:c>
      <x:c r="J84" s="4"/>
      <x:c r="K84" s="4"/>
      <x:c r="L84" s="4"/>
      <x:c r="M84" s="4"/>
      <x:c r="N84" s="4"/>
      <x:c r="O84" s="4"/>
      <x:c r="P84" s="4"/>
    </x:row>
    <x:row r="85" ht="22" customHeight="1">
      <x:c r="A85" s="2"/>
      <x:c r="B85" s="2"/>
      <x:c r="C85" s="23" t="n">
        <x:v>66</x:v>
      </x:c>
      <x:c r="D85" s="32" t="n">
        <x:f>'Schedule'!D332</x:f>
        <x:v>48305</x:v>
      </x:c>
      <x:c r="E85" s="4" t="n">
        <x:f>'Schedule'!E332</x:f>
        <x:v>500</x:v>
      </x:c>
      <x:c r="F85" s="4" t="n">
        <x:f>IF(COUNT('Schedule'!Q332:Q336)=5,SUM('Schedule'!Q332:Q336),"n.a.")</x:f>
        <x:v>0</x:v>
      </x:c>
      <x:c r="G85" s="4" t="n">
        <x:f>IF(COUNT('Schedule'!M332:M336)=5,SUM('Schedule'!M332:M336),"n.a.")</x:f>
        <x:v>0</x:v>
      </x:c>
      <x:c r="H85" s="4" t="n">
        <x:f>IF(COUNT('Schedule'!S332:S336)=5,SUM('Schedule'!S332:S336),"n.a.")</x:f>
        <x:v>0</x:v>
      </x:c>
      <x:c r="I85" s="4" t="str">
        <x:f>'Schedule'!T332</x:f>
        <x:v>Ready</x:v>
      </x:c>
      <x:c r="J85" s="4"/>
      <x:c r="K85" s="4"/>
      <x:c r="L85" s="4"/>
      <x:c r="M85" s="4"/>
      <x:c r="N85" s="4"/>
      <x:c r="O85" s="4"/>
      <x:c r="P85" s="4"/>
    </x:row>
    <x:row r="86" ht="22" customHeight="1">
      <x:c r="A86" s="2"/>
      <x:c r="B86" s="2"/>
      <x:c r="C86" s="23" t="n">
        <x:v>67</x:v>
      </x:c>
      <x:c r="D86" s="32" t="n">
        <x:f>'Schedule'!D337</x:f>
        <x:v>48335</x:v>
      </x:c>
      <x:c r="E86" s="4" t="n">
        <x:f>'Schedule'!E337</x:f>
        <x:v>500</x:v>
      </x:c>
      <x:c r="F86" s="4" t="n">
        <x:f>IF(COUNT('Schedule'!Q337:Q341)=5,SUM('Schedule'!Q337:Q341),"n.a.")</x:f>
        <x:v>0</x:v>
      </x:c>
      <x:c r="G86" s="4" t="n">
        <x:f>IF(COUNT('Schedule'!M337:M341)=5,SUM('Schedule'!M337:M341),"n.a.")</x:f>
        <x:v>0</x:v>
      </x:c>
      <x:c r="H86" s="4" t="n">
        <x:f>IF(COUNT('Schedule'!S337:S341)=5,SUM('Schedule'!S337:S341),"n.a.")</x:f>
        <x:v>0</x:v>
      </x:c>
      <x:c r="I86" s="4" t="str">
        <x:f>'Schedule'!T337</x:f>
        <x:v>Ready</x:v>
      </x:c>
      <x:c r="J86" s="4"/>
      <x:c r="K86" s="4"/>
      <x:c r="L86" s="4"/>
      <x:c r="M86" s="4"/>
      <x:c r="N86" s="4"/>
      <x:c r="O86" s="4"/>
      <x:c r="P86" s="4"/>
    </x:row>
    <x:row r="87" ht="22" customHeight="1">
      <x:c r="A87" s="2"/>
      <x:c r="B87" s="2"/>
      <x:c r="C87" s="23" t="n">
        <x:v>68</x:v>
      </x:c>
      <x:c r="D87" s="32" t="n">
        <x:f>'Schedule'!D342</x:f>
        <x:v>48366</x:v>
      </x:c>
      <x:c r="E87" s="4" t="n">
        <x:f>'Schedule'!E342</x:f>
        <x:v>500</x:v>
      </x:c>
      <x:c r="F87" s="4" t="n">
        <x:f>IF(COUNT('Schedule'!Q342:Q346)=5,SUM('Schedule'!Q342:Q346),"n.a.")</x:f>
        <x:v>0</x:v>
      </x:c>
      <x:c r="G87" s="4" t="n">
        <x:f>IF(COUNT('Schedule'!M342:M346)=5,SUM('Schedule'!M342:M346),"n.a.")</x:f>
        <x:v>0</x:v>
      </x:c>
      <x:c r="H87" s="4" t="n">
        <x:f>IF(COUNT('Schedule'!S342:S346)=5,SUM('Schedule'!S342:S346),"n.a.")</x:f>
        <x:v>0</x:v>
      </x:c>
      <x:c r="I87" s="4" t="str">
        <x:f>'Schedule'!T342</x:f>
        <x:v>Ready</x:v>
      </x:c>
      <x:c r="J87" s="4"/>
      <x:c r="K87" s="4"/>
      <x:c r="L87" s="4"/>
      <x:c r="M87" s="4"/>
      <x:c r="N87" s="4"/>
      <x:c r="O87" s="4"/>
      <x:c r="P87" s="4"/>
    </x:row>
    <x:row r="88" ht="22" customHeight="1">
      <x:c r="A88" s="2"/>
      <x:c r="B88" s="2"/>
      <x:c r="C88" s="23" t="n">
        <x:v>69</x:v>
      </x:c>
      <x:c r="D88" s="32" t="n">
        <x:f>'Schedule'!D347</x:f>
        <x:v>48396</x:v>
      </x:c>
      <x:c r="E88" s="4" t="n">
        <x:f>'Schedule'!E347</x:f>
        <x:v>500</x:v>
      </x:c>
      <x:c r="F88" s="4" t="n">
        <x:f>IF(COUNT('Schedule'!Q347:Q351)=5,SUM('Schedule'!Q347:Q351),"n.a.")</x:f>
        <x:v>0</x:v>
      </x:c>
      <x:c r="G88" s="4" t="n">
        <x:f>IF(COUNT('Schedule'!M347:M351)=5,SUM('Schedule'!M347:M351),"n.a.")</x:f>
        <x:v>0</x:v>
      </x:c>
      <x:c r="H88" s="4" t="n">
        <x:f>IF(COUNT('Schedule'!S347:S351)=5,SUM('Schedule'!S347:S351),"n.a.")</x:f>
        <x:v>0</x:v>
      </x:c>
      <x:c r="I88" s="4" t="str">
        <x:f>'Schedule'!T347</x:f>
        <x:v>Ready</x:v>
      </x:c>
      <x:c r="J88" s="4"/>
      <x:c r="K88" s="4"/>
      <x:c r="L88" s="4"/>
      <x:c r="M88" s="4"/>
      <x:c r="N88" s="4"/>
      <x:c r="O88" s="4"/>
      <x:c r="P88" s="4"/>
    </x:row>
    <x:row r="89" ht="22" customHeight="1">
      <x:c r="A89" s="2"/>
      <x:c r="B89" s="2"/>
      <x:c r="C89" s="23" t="n">
        <x:v>70</x:v>
      </x:c>
      <x:c r="D89" s="32" t="n">
        <x:f>'Schedule'!D352</x:f>
        <x:v>48427</x:v>
      </x:c>
      <x:c r="E89" s="4" t="n">
        <x:f>'Schedule'!E352</x:f>
        <x:v>500</x:v>
      </x:c>
      <x:c r="F89" s="4" t="n">
        <x:f>IF(COUNT('Schedule'!Q352:Q356)=5,SUM('Schedule'!Q352:Q356),"n.a.")</x:f>
        <x:v>0</x:v>
      </x:c>
      <x:c r="G89" s="4" t="n">
        <x:f>IF(COUNT('Schedule'!M352:M356)=5,SUM('Schedule'!M352:M356),"n.a.")</x:f>
        <x:v>0</x:v>
      </x:c>
      <x:c r="H89" s="4" t="n">
        <x:f>IF(COUNT('Schedule'!S352:S356)=5,SUM('Schedule'!S352:S356),"n.a.")</x:f>
        <x:v>0</x:v>
      </x:c>
      <x:c r="I89" s="4" t="str">
        <x:f>'Schedule'!T352</x:f>
        <x:v>Ready</x:v>
      </x:c>
      <x:c r="J89" s="4"/>
      <x:c r="K89" s="4"/>
      <x:c r="L89" s="4"/>
      <x:c r="M89" s="4"/>
      <x:c r="N89" s="4"/>
      <x:c r="O89" s="4"/>
      <x:c r="P89" s="4"/>
    </x:row>
    <x:row r="90" ht="22" customHeight="1">
      <x:c r="A90" s="2"/>
      <x:c r="B90" s="2"/>
      <x:c r="C90" s="23" t="n">
        <x:v>71</x:v>
      </x:c>
      <x:c r="D90" s="32" t="n">
        <x:f>'Schedule'!D357</x:f>
        <x:v>48458</x:v>
      </x:c>
      <x:c r="E90" s="4" t="n">
        <x:f>'Schedule'!E357</x:f>
        <x:v>500</x:v>
      </x:c>
      <x:c r="F90" s="4" t="n">
        <x:f>IF(COUNT('Schedule'!Q357:Q361)=5,SUM('Schedule'!Q357:Q361),"n.a.")</x:f>
        <x:v>0</x:v>
      </x:c>
      <x:c r="G90" s="4" t="n">
        <x:f>IF(COUNT('Schedule'!M357:M361)=5,SUM('Schedule'!M357:M361),"n.a.")</x:f>
        <x:v>0</x:v>
      </x:c>
      <x:c r="H90" s="4" t="n">
        <x:f>IF(COUNT('Schedule'!S357:S361)=5,SUM('Schedule'!S357:S361),"n.a.")</x:f>
        <x:v>0</x:v>
      </x:c>
      <x:c r="I90" s="4" t="str">
        <x:f>'Schedule'!T357</x:f>
        <x:v>Ready</x:v>
      </x:c>
      <x:c r="J90" s="4"/>
      <x:c r="K90" s="4"/>
      <x:c r="L90" s="4"/>
      <x:c r="M90" s="4"/>
      <x:c r="N90" s="4"/>
      <x:c r="O90" s="4"/>
      <x:c r="P90" s="4"/>
    </x:row>
    <x:row r="91" ht="22" customHeight="1">
      <x:c r="A91" s="2"/>
      <x:c r="B91" s="2"/>
      <x:c r="C91" s="23" t="n">
        <x:v>72</x:v>
      </x:c>
      <x:c r="D91" s="32" t="n">
        <x:f>'Schedule'!D362</x:f>
        <x:v>48488</x:v>
      </x:c>
      <x:c r="E91" s="4" t="n">
        <x:f>'Schedule'!E362</x:f>
        <x:v>500</x:v>
      </x:c>
      <x:c r="F91" s="4" t="n">
        <x:f>IF(COUNT('Schedule'!Q362:Q366)=5,SUM('Schedule'!Q362:Q366),"n.a.")</x:f>
        <x:v>0</x:v>
      </x:c>
      <x:c r="G91" s="4" t="n">
        <x:f>IF(COUNT('Schedule'!M362:M366)=5,SUM('Schedule'!M362:M366),"n.a.")</x:f>
        <x:v>0</x:v>
      </x:c>
      <x:c r="H91" s="4" t="n">
        <x:f>IF(COUNT('Schedule'!S362:S366)=5,SUM('Schedule'!S362:S366),"n.a.")</x:f>
        <x:v>0</x:v>
      </x:c>
      <x:c r="I91" s="4" t="str">
        <x:f>'Schedule'!T362</x:f>
        <x:v>Ready</x:v>
      </x:c>
      <x:c r="J91" s="4"/>
      <x:c r="K91" s="4"/>
      <x:c r="L91" s="4"/>
      <x:c r="M91" s="4"/>
      <x:c r="N91" s="4"/>
      <x:c r="O91" s="4"/>
      <x:c r="P91" s="4"/>
    </x:row>
    <x:row r="92" ht="22" customHeight="1">
      <x:c r="A92" s="2"/>
      <x:c r="B92" s="2"/>
      <x:c r="C92" s="23" t="n">
        <x:v>73</x:v>
      </x:c>
      <x:c r="D92" s="32" t="n">
        <x:f>'Schedule'!D367</x:f>
        <x:v>48519</x:v>
      </x:c>
      <x:c r="E92" s="4" t="n">
        <x:f>'Schedule'!E367</x:f>
        <x:v>500</x:v>
      </x:c>
      <x:c r="F92" s="4" t="n">
        <x:f>IF(COUNT('Schedule'!Q367:Q371)=5,SUM('Schedule'!Q367:Q371),"n.a.")</x:f>
        <x:v>0</x:v>
      </x:c>
      <x:c r="G92" s="4" t="n">
        <x:f>IF(COUNT('Schedule'!M367:M371)=5,SUM('Schedule'!M367:M371),"n.a.")</x:f>
        <x:v>0</x:v>
      </x:c>
      <x:c r="H92" s="4" t="n">
        <x:f>IF(COUNT('Schedule'!S367:S371)=5,SUM('Schedule'!S367:S371),"n.a.")</x:f>
        <x:v>0</x:v>
      </x:c>
      <x:c r="I92" s="4" t="str">
        <x:f>'Schedule'!T367</x:f>
        <x:v>Ready</x:v>
      </x:c>
      <x:c r="J92" s="4"/>
      <x:c r="K92" s="4"/>
      <x:c r="L92" s="4"/>
      <x:c r="M92" s="4"/>
      <x:c r="N92" s="4"/>
      <x:c r="O92" s="4"/>
      <x:c r="P92" s="4"/>
    </x:row>
    <x:row r="93" ht="22" customHeight="1">
      <x:c r="A93" s="2"/>
      <x:c r="B93" s="2"/>
      <x:c r="C93" s="23" t="n">
        <x:v>74</x:v>
      </x:c>
      <x:c r="D93" s="32" t="n">
        <x:f>'Schedule'!D372</x:f>
        <x:v>48549</x:v>
      </x:c>
      <x:c r="E93" s="4" t="n">
        <x:f>'Schedule'!E372</x:f>
        <x:v>500</x:v>
      </x:c>
      <x:c r="F93" s="4" t="n">
        <x:f>IF(COUNT('Schedule'!Q372:Q376)=5,SUM('Schedule'!Q372:Q376),"n.a.")</x:f>
        <x:v>0</x:v>
      </x:c>
      <x:c r="G93" s="4" t="n">
        <x:f>IF(COUNT('Schedule'!M372:M376)=5,SUM('Schedule'!M372:M376),"n.a.")</x:f>
        <x:v>0</x:v>
      </x:c>
      <x:c r="H93" s="4" t="n">
        <x:f>IF(COUNT('Schedule'!S372:S376)=5,SUM('Schedule'!S372:S376),"n.a.")</x:f>
        <x:v>0</x:v>
      </x:c>
      <x:c r="I93" s="4" t="str">
        <x:f>'Schedule'!T372</x:f>
        <x:v>Ready</x:v>
      </x:c>
      <x:c r="J93" s="4"/>
      <x:c r="K93" s="4"/>
      <x:c r="L93" s="4"/>
      <x:c r="M93" s="4"/>
      <x:c r="N93" s="4"/>
      <x:c r="O93" s="4"/>
      <x:c r="P93" s="4"/>
    </x:row>
    <x:row r="94" ht="22" customHeight="1">
      <x:c r="A94" s="2"/>
      <x:c r="B94" s="2"/>
      <x:c r="C94" s="23" t="n">
        <x:v>75</x:v>
      </x:c>
      <x:c r="D94" s="32" t="n">
        <x:f>'Schedule'!D377</x:f>
        <x:v>48580</x:v>
      </x:c>
      <x:c r="E94" s="4" t="n">
        <x:f>'Schedule'!E377</x:f>
        <x:v>500</x:v>
      </x:c>
      <x:c r="F94" s="4" t="n">
        <x:f>IF(COUNT('Schedule'!Q377:Q381)=5,SUM('Schedule'!Q377:Q381),"n.a.")</x:f>
        <x:v>0</x:v>
      </x:c>
      <x:c r="G94" s="4" t="n">
        <x:f>IF(COUNT('Schedule'!M377:M381)=5,SUM('Schedule'!M377:M381),"n.a.")</x:f>
        <x:v>0</x:v>
      </x:c>
      <x:c r="H94" s="4" t="n">
        <x:f>IF(COUNT('Schedule'!S377:S381)=5,SUM('Schedule'!S377:S381),"n.a.")</x:f>
        <x:v>0</x:v>
      </x:c>
      <x:c r="I94" s="4" t="str">
        <x:f>'Schedule'!T377</x:f>
        <x:v>Ready</x:v>
      </x:c>
      <x:c r="J94" s="4"/>
      <x:c r="K94" s="4"/>
      <x:c r="L94" s="4"/>
      <x:c r="M94" s="4"/>
      <x:c r="N94" s="4"/>
      <x:c r="O94" s="4"/>
      <x:c r="P94" s="4"/>
    </x:row>
    <x:row r="95" ht="22" customHeight="1">
      <x:c r="A95" s="2"/>
      <x:c r="B95" s="2"/>
      <x:c r="C95" s="23" t="n">
        <x:v>76</x:v>
      </x:c>
      <x:c r="D95" s="32" t="n">
        <x:f>'Schedule'!D382</x:f>
        <x:v>48611</x:v>
      </x:c>
      <x:c r="E95" s="4" t="n">
        <x:f>'Schedule'!E382</x:f>
        <x:v>500</x:v>
      </x:c>
      <x:c r="F95" s="4" t="n">
        <x:f>IF(COUNT('Schedule'!Q382:Q386)=5,SUM('Schedule'!Q382:Q386),"n.a.")</x:f>
        <x:v>0</x:v>
      </x:c>
      <x:c r="G95" s="4" t="n">
        <x:f>IF(COUNT('Schedule'!M382:M386)=5,SUM('Schedule'!M382:M386),"n.a.")</x:f>
        <x:v>0</x:v>
      </x:c>
      <x:c r="H95" s="4" t="n">
        <x:f>IF(COUNT('Schedule'!S382:S386)=5,SUM('Schedule'!S382:S386),"n.a.")</x:f>
        <x:v>0</x:v>
      </x:c>
      <x:c r="I95" s="4" t="str">
        <x:f>'Schedule'!T382</x:f>
        <x:v>Ready</x:v>
      </x:c>
      <x:c r="J95" s="4"/>
      <x:c r="K95" s="4"/>
      <x:c r="L95" s="4"/>
      <x:c r="M95" s="4"/>
      <x:c r="N95" s="4"/>
      <x:c r="O95" s="4"/>
      <x:c r="P95" s="4"/>
    </x:row>
    <x:row r="96" ht="22" customHeight="1">
      <x:c r="A96" s="2"/>
      <x:c r="B96" s="2"/>
      <x:c r="C96" s="23" t="n">
        <x:v>77</x:v>
      </x:c>
      <x:c r="D96" s="32" t="n">
        <x:f>'Schedule'!D387</x:f>
        <x:v>48639</x:v>
      </x:c>
      <x:c r="E96" s="4" t="n">
        <x:f>'Schedule'!E387</x:f>
        <x:v>500</x:v>
      </x:c>
      <x:c r="F96" s="4" t="n">
        <x:f>IF(COUNT('Schedule'!Q387:Q391)=5,SUM('Schedule'!Q387:Q391),"n.a.")</x:f>
        <x:v>0</x:v>
      </x:c>
      <x:c r="G96" s="4" t="n">
        <x:f>IF(COUNT('Schedule'!M387:M391)=5,SUM('Schedule'!M387:M391),"n.a.")</x:f>
        <x:v>0</x:v>
      </x:c>
      <x:c r="H96" s="4" t="n">
        <x:f>IF(COUNT('Schedule'!S387:S391)=5,SUM('Schedule'!S387:S391),"n.a.")</x:f>
        <x:v>0</x:v>
      </x:c>
      <x:c r="I96" s="4" t="str">
        <x:f>'Schedule'!T387</x:f>
        <x:v>Ready</x:v>
      </x:c>
      <x:c r="J96" s="4"/>
      <x:c r="K96" s="4"/>
      <x:c r="L96" s="4"/>
      <x:c r="M96" s="4"/>
      <x:c r="N96" s="4"/>
      <x:c r="O96" s="4"/>
      <x:c r="P96" s="4"/>
    </x:row>
    <x:row r="97" ht="22" customHeight="1">
      <x:c r="A97" s="2"/>
      <x:c r="B97" s="2"/>
      <x:c r="C97" s="23" t="n">
        <x:v>78</x:v>
      </x:c>
      <x:c r="D97" s="32" t="n">
        <x:f>'Schedule'!D392</x:f>
        <x:v>48670</x:v>
      </x:c>
      <x:c r="E97" s="4" t="n">
        <x:f>'Schedule'!E392</x:f>
        <x:v>500</x:v>
      </x:c>
      <x:c r="F97" s="4" t="n">
        <x:f>IF(COUNT('Schedule'!Q392:Q396)=5,SUM('Schedule'!Q392:Q396),"n.a.")</x:f>
        <x:v>0</x:v>
      </x:c>
      <x:c r="G97" s="4" t="n">
        <x:f>IF(COUNT('Schedule'!M392:M396)=5,SUM('Schedule'!M392:M396),"n.a.")</x:f>
        <x:v>0</x:v>
      </x:c>
      <x:c r="H97" s="4" t="n">
        <x:f>IF(COUNT('Schedule'!S392:S396)=5,SUM('Schedule'!S392:S396),"n.a.")</x:f>
        <x:v>0</x:v>
      </x:c>
      <x:c r="I97" s="4" t="str">
        <x:f>'Schedule'!T392</x:f>
        <x:v>Ready</x:v>
      </x:c>
      <x:c r="J97" s="4"/>
      <x:c r="K97" s="4"/>
      <x:c r="L97" s="4"/>
      <x:c r="M97" s="4"/>
      <x:c r="N97" s="4"/>
      <x:c r="O97" s="4"/>
      <x:c r="P97" s="4"/>
    </x:row>
    <x:row r="98" ht="22" customHeight="1">
      <x:c r="A98" s="2"/>
      <x:c r="B98" s="2"/>
      <x:c r="C98" s="23" t="n">
        <x:v>79</x:v>
      </x:c>
      <x:c r="D98" s="32" t="n">
        <x:f>'Schedule'!D397</x:f>
        <x:v>48700</x:v>
      </x:c>
      <x:c r="E98" s="4" t="n">
        <x:f>'Schedule'!E397</x:f>
        <x:v>500</x:v>
      </x:c>
      <x:c r="F98" s="4" t="n">
        <x:f>IF(COUNT('Schedule'!Q397:Q401)=5,SUM('Schedule'!Q397:Q401),"n.a.")</x:f>
        <x:v>0</x:v>
      </x:c>
      <x:c r="G98" s="4" t="n">
        <x:f>IF(COUNT('Schedule'!M397:M401)=5,SUM('Schedule'!M397:M401),"n.a.")</x:f>
        <x:v>0</x:v>
      </x:c>
      <x:c r="H98" s="4" t="n">
        <x:f>IF(COUNT('Schedule'!S397:S401)=5,SUM('Schedule'!S397:S401),"n.a.")</x:f>
        <x:v>0</x:v>
      </x:c>
      <x:c r="I98" s="4" t="str">
        <x:f>'Schedule'!T397</x:f>
        <x:v>Ready</x:v>
      </x:c>
      <x:c r="J98" s="4"/>
      <x:c r="K98" s="4"/>
      <x:c r="L98" s="4"/>
      <x:c r="M98" s="4"/>
      <x:c r="N98" s="4"/>
      <x:c r="O98" s="4"/>
      <x:c r="P98" s="4"/>
    </x:row>
    <x:row r="99" ht="22" customHeight="1">
      <x:c r="A99" s="2"/>
      <x:c r="B99" s="2"/>
      <x:c r="C99" s="23" t="n">
        <x:v>80</x:v>
      </x:c>
      <x:c r="D99" s="32" t="n">
        <x:f>'Schedule'!D402</x:f>
        <x:v>48731</x:v>
      </x:c>
      <x:c r="E99" s="4" t="n">
        <x:f>'Schedule'!E402</x:f>
        <x:v>500</x:v>
      </x:c>
      <x:c r="F99" s="4" t="n">
        <x:f>IF(COUNT('Schedule'!Q402:Q406)=5,SUM('Schedule'!Q402:Q406),"n.a.")</x:f>
        <x:v>0</x:v>
      </x:c>
      <x:c r="G99" s="4" t="n">
        <x:f>IF(COUNT('Schedule'!M402:M406)=5,SUM('Schedule'!M402:M406),"n.a.")</x:f>
        <x:v>0</x:v>
      </x:c>
      <x:c r="H99" s="4" t="n">
        <x:f>IF(COUNT('Schedule'!S402:S406)=5,SUM('Schedule'!S402:S406),"n.a.")</x:f>
        <x:v>0</x:v>
      </x:c>
      <x:c r="I99" s="4" t="str">
        <x:f>'Schedule'!T402</x:f>
        <x:v>Ready</x:v>
      </x:c>
      <x:c r="J99" s="4"/>
      <x:c r="K99" s="4"/>
      <x:c r="L99" s="4"/>
      <x:c r="M99" s="4"/>
      <x:c r="N99" s="4"/>
      <x:c r="O99" s="4"/>
      <x:c r="P99" s="4"/>
    </x:row>
    <x:row r="100" ht="22" customHeight="1">
      <x:c r="A100" s="2"/>
      <x:c r="B100" s="2"/>
      <x:c r="C100" s="23" t="n">
        <x:v>81</x:v>
      </x:c>
      <x:c r="D100" s="32" t="n">
        <x:f>'Schedule'!D407</x:f>
        <x:v>48761</x:v>
      </x:c>
      <x:c r="E100" s="4" t="n">
        <x:f>'Schedule'!E407</x:f>
        <x:v>500</x:v>
      </x:c>
      <x:c r="F100" s="4" t="n">
        <x:f>IF(COUNT('Schedule'!Q407:Q411)=5,SUM('Schedule'!Q407:Q411),"n.a.")</x:f>
        <x:v>0</x:v>
      </x:c>
      <x:c r="G100" s="4" t="n">
        <x:f>IF(COUNT('Schedule'!M407:M411)=5,SUM('Schedule'!M407:M411),"n.a.")</x:f>
        <x:v>0</x:v>
      </x:c>
      <x:c r="H100" s="4" t="n">
        <x:f>IF(COUNT('Schedule'!S407:S411)=5,SUM('Schedule'!S407:S411),"n.a.")</x:f>
        <x:v>0</x:v>
      </x:c>
      <x:c r="I100" s="4" t="str">
        <x:f>'Schedule'!T407</x:f>
        <x:v>Ready</x:v>
      </x:c>
      <x:c r="J100" s="4"/>
      <x:c r="K100" s="4"/>
      <x:c r="L100" s="4"/>
      <x:c r="M100" s="4"/>
      <x:c r="N100" s="4"/>
      <x:c r="O100" s="4"/>
      <x:c r="P100" s="4"/>
    </x:row>
    <x:row r="101" ht="22" customHeight="1">
      <x:c r="A101" s="2"/>
      <x:c r="B101" s="2"/>
      <x:c r="C101" s="23" t="n">
        <x:v>82</x:v>
      </x:c>
      <x:c r="D101" s="32" t="n">
        <x:f>'Schedule'!D412</x:f>
        <x:v>48792</x:v>
      </x:c>
      <x:c r="E101" s="4" t="n">
        <x:f>'Schedule'!E412</x:f>
        <x:v>500</x:v>
      </x:c>
      <x:c r="F101" s="4" t="n">
        <x:f>IF(COUNT('Schedule'!Q412:Q416)=5,SUM('Schedule'!Q412:Q416),"n.a.")</x:f>
        <x:v>0</x:v>
      </x:c>
      <x:c r="G101" s="4" t="n">
        <x:f>IF(COUNT('Schedule'!M412:M416)=5,SUM('Schedule'!M412:M416),"n.a.")</x:f>
        <x:v>0</x:v>
      </x:c>
      <x:c r="H101" s="4" t="n">
        <x:f>IF(COUNT('Schedule'!S412:S416)=5,SUM('Schedule'!S412:S416),"n.a.")</x:f>
        <x:v>0</x:v>
      </x:c>
      <x:c r="I101" s="4" t="str">
        <x:f>'Schedule'!T412</x:f>
        <x:v>Ready</x:v>
      </x:c>
      <x:c r="J101" s="4"/>
      <x:c r="K101" s="4"/>
      <x:c r="L101" s="4"/>
      <x:c r="M101" s="4"/>
      <x:c r="N101" s="4"/>
      <x:c r="O101" s="4"/>
      <x:c r="P101" s="4"/>
    </x:row>
    <x:row r="102" ht="22" customHeight="1">
      <x:c r="A102" s="2"/>
      <x:c r="B102" s="2"/>
      <x:c r="C102" s="23" t="n">
        <x:v>83</x:v>
      </x:c>
      <x:c r="D102" s="32" t="n">
        <x:f>'Schedule'!D417</x:f>
        <x:v>48823</x:v>
      </x:c>
      <x:c r="E102" s="4" t="n">
        <x:f>'Schedule'!E417</x:f>
        <x:v>500</x:v>
      </x:c>
      <x:c r="F102" s="4" t="n">
        <x:f>IF(COUNT('Schedule'!Q417:Q421)=5,SUM('Schedule'!Q417:Q421),"n.a.")</x:f>
        <x:v>0</x:v>
      </x:c>
      <x:c r="G102" s="4" t="n">
        <x:f>IF(COUNT('Schedule'!M417:M421)=5,SUM('Schedule'!M417:M421),"n.a.")</x:f>
        <x:v>0</x:v>
      </x:c>
      <x:c r="H102" s="4" t="n">
        <x:f>IF(COUNT('Schedule'!S417:S421)=5,SUM('Schedule'!S417:S421),"n.a.")</x:f>
        <x:v>0</x:v>
      </x:c>
      <x:c r="I102" s="4" t="str">
        <x:f>'Schedule'!T417</x:f>
        <x:v>Ready</x:v>
      </x:c>
      <x:c r="J102" s="4"/>
      <x:c r="K102" s="4"/>
      <x:c r="L102" s="4"/>
      <x:c r="M102" s="4"/>
      <x:c r="N102" s="4"/>
      <x:c r="O102" s="4"/>
      <x:c r="P102" s="4"/>
    </x:row>
    <x:row r="103" ht="22" customHeight="1">
      <x:c r="A103" s="2"/>
      <x:c r="B103" s="2"/>
      <x:c r="C103" s="23" t="n">
        <x:v>84</x:v>
      </x:c>
      <x:c r="D103" s="32" t="n">
        <x:f>'Schedule'!D422</x:f>
        <x:v>48853</x:v>
      </x:c>
      <x:c r="E103" s="4" t="n">
        <x:f>'Schedule'!E422</x:f>
        <x:v>500</x:v>
      </x:c>
      <x:c r="F103" s="4" t="n">
        <x:f>IF(COUNT('Schedule'!Q422:Q426)=5,SUM('Schedule'!Q422:Q426),"n.a.")</x:f>
        <x:v>0</x:v>
      </x:c>
      <x:c r="G103" s="4" t="n">
        <x:f>IF(COUNT('Schedule'!M422:M426)=5,SUM('Schedule'!M422:M426),"n.a.")</x:f>
        <x:v>0</x:v>
      </x:c>
      <x:c r="H103" s="4" t="n">
        <x:f>IF(COUNT('Schedule'!S422:S426)=5,SUM('Schedule'!S422:S426),"n.a.")</x:f>
        <x:v>0</x:v>
      </x:c>
      <x:c r="I103" s="4" t="str">
        <x:f>'Schedule'!T422</x:f>
        <x:v>Ready</x:v>
      </x:c>
      <x:c r="J103" s="4"/>
      <x:c r="K103" s="4"/>
      <x:c r="L103" s="4"/>
      <x:c r="M103" s="4"/>
      <x:c r="N103" s="4"/>
      <x:c r="O103" s="4"/>
      <x:c r="P103" s="4"/>
    </x:row>
    <x:row r="104" ht="22" customHeight="1">
      <x:c r="A104" s="2"/>
      <x:c r="B104" s="2"/>
      <x:c r="C104" s="23" t="n">
        <x:v>85</x:v>
      </x:c>
      <x:c r="D104" s="32" t="n">
        <x:f>'Schedule'!D427</x:f>
        <x:v>48884</x:v>
      </x:c>
      <x:c r="E104" s="4" t="n">
        <x:f>'Schedule'!E427</x:f>
        <x:v>500</x:v>
      </x:c>
      <x:c r="F104" s="4" t="n">
        <x:f>IF(COUNT('Schedule'!Q427:Q431)=5,SUM('Schedule'!Q427:Q431),"n.a.")</x:f>
        <x:v>0</x:v>
      </x:c>
      <x:c r="G104" s="4" t="n">
        <x:f>IF(COUNT('Schedule'!M427:M431)=5,SUM('Schedule'!M427:M431),"n.a.")</x:f>
        <x:v>0</x:v>
      </x:c>
      <x:c r="H104" s="4" t="n">
        <x:f>IF(COUNT('Schedule'!S427:S431)=5,SUM('Schedule'!S427:S431),"n.a.")</x:f>
        <x:v>0</x:v>
      </x:c>
      <x:c r="I104" s="4" t="str">
        <x:f>'Schedule'!T427</x:f>
        <x:v>Ready</x:v>
      </x:c>
      <x:c r="J104" s="4"/>
      <x:c r="K104" s="4"/>
      <x:c r="L104" s="4"/>
      <x:c r="M104" s="4"/>
      <x:c r="N104" s="4"/>
      <x:c r="O104" s="4"/>
      <x:c r="P104" s="4"/>
    </x:row>
    <x:row r="105" ht="22" customHeight="1">
      <x:c r="A105" s="2"/>
      <x:c r="B105" s="2"/>
      <x:c r="C105" s="23" t="n">
        <x:v>86</x:v>
      </x:c>
      <x:c r="D105" s="32" t="n">
        <x:f>'Schedule'!D432</x:f>
        <x:v>48914</x:v>
      </x:c>
      <x:c r="E105" s="4" t="n">
        <x:f>'Schedule'!E432</x:f>
        <x:v>500</x:v>
      </x:c>
      <x:c r="F105" s="4" t="n">
        <x:f>IF(COUNT('Schedule'!Q432:Q436)=5,SUM('Schedule'!Q432:Q436),"n.a.")</x:f>
        <x:v>0</x:v>
      </x:c>
      <x:c r="G105" s="4" t="n">
        <x:f>IF(COUNT('Schedule'!M432:M436)=5,SUM('Schedule'!M432:M436),"n.a.")</x:f>
        <x:v>0</x:v>
      </x:c>
      <x:c r="H105" s="4" t="n">
        <x:f>IF(COUNT('Schedule'!S432:S436)=5,SUM('Schedule'!S432:S436),"n.a.")</x:f>
        <x:v>0</x:v>
      </x:c>
      <x:c r="I105" s="4" t="str">
        <x:f>'Schedule'!T432</x:f>
        <x:v>Ready</x:v>
      </x:c>
      <x:c r="J105" s="4"/>
      <x:c r="K105" s="4"/>
      <x:c r="L105" s="4"/>
      <x:c r="M105" s="4"/>
      <x:c r="N105" s="4"/>
      <x:c r="O105" s="4"/>
      <x:c r="P105" s="4"/>
    </x:row>
    <x:row r="106" ht="22" customHeight="1">
      <x:c r="A106" s="2"/>
      <x:c r="B106" s="2"/>
      <x:c r="C106" s="23" t="n">
        <x:v>87</x:v>
      </x:c>
      <x:c r="D106" s="32" t="n">
        <x:f>'Schedule'!D437</x:f>
        <x:v>48945</x:v>
      </x:c>
      <x:c r="E106" s="4" t="n">
        <x:f>'Schedule'!E437</x:f>
        <x:v>500</x:v>
      </x:c>
      <x:c r="F106" s="4" t="n">
        <x:f>IF(COUNT('Schedule'!Q437:Q441)=5,SUM('Schedule'!Q437:Q441),"n.a.")</x:f>
        <x:v>0</x:v>
      </x:c>
      <x:c r="G106" s="4" t="n">
        <x:f>IF(COUNT('Schedule'!M437:M441)=5,SUM('Schedule'!M437:M441),"n.a.")</x:f>
        <x:v>0</x:v>
      </x:c>
      <x:c r="H106" s="4" t="n">
        <x:f>IF(COUNT('Schedule'!S437:S441)=5,SUM('Schedule'!S437:S441),"n.a.")</x:f>
        <x:v>0</x:v>
      </x:c>
      <x:c r="I106" s="4" t="str">
        <x:f>'Schedule'!T437</x:f>
        <x:v>Ready</x:v>
      </x:c>
      <x:c r="J106" s="4"/>
      <x:c r="K106" s="4"/>
      <x:c r="L106" s="4"/>
      <x:c r="M106" s="4"/>
      <x:c r="N106" s="4"/>
      <x:c r="O106" s="4"/>
      <x:c r="P106" s="4"/>
    </x:row>
    <x:row r="107" ht="22" customHeight="1">
      <x:c r="A107" s="2"/>
      <x:c r="B107" s="2"/>
      <x:c r="C107" s="23" t="n">
        <x:v>88</x:v>
      </x:c>
      <x:c r="D107" s="32" t="n">
        <x:f>'Schedule'!D442</x:f>
        <x:v>48976</x:v>
      </x:c>
      <x:c r="E107" s="4" t="n">
        <x:f>'Schedule'!E442</x:f>
        <x:v>500</x:v>
      </x:c>
      <x:c r="F107" s="4" t="n">
        <x:f>IF(COUNT('Schedule'!Q442:Q446)=5,SUM('Schedule'!Q442:Q446),"n.a.")</x:f>
        <x:v>0</x:v>
      </x:c>
      <x:c r="G107" s="4" t="n">
        <x:f>IF(COUNT('Schedule'!M442:M446)=5,SUM('Schedule'!M442:M446),"n.a.")</x:f>
        <x:v>0</x:v>
      </x:c>
      <x:c r="H107" s="4" t="n">
        <x:f>IF(COUNT('Schedule'!S442:S446)=5,SUM('Schedule'!S442:S446),"n.a.")</x:f>
        <x:v>0</x:v>
      </x:c>
      <x:c r="I107" s="4" t="str">
        <x:f>'Schedule'!T442</x:f>
        <x:v>Ready</x:v>
      </x:c>
      <x:c r="J107" s="4"/>
      <x:c r="K107" s="4"/>
      <x:c r="L107" s="4"/>
      <x:c r="M107" s="4"/>
      <x:c r="N107" s="4"/>
      <x:c r="O107" s="4"/>
      <x:c r="P107" s="4"/>
    </x:row>
    <x:row r="108" ht="22" customHeight="1">
      <x:c r="A108" s="2"/>
      <x:c r="B108" s="2"/>
      <x:c r="C108" s="23" t="n">
        <x:v>89</x:v>
      </x:c>
      <x:c r="D108" s="32" t="n">
        <x:f>'Schedule'!D447</x:f>
        <x:v>49004</x:v>
      </x:c>
      <x:c r="E108" s="4" t="n">
        <x:f>'Schedule'!E447</x:f>
        <x:v>500</x:v>
      </x:c>
      <x:c r="F108" s="4" t="n">
        <x:f>IF(COUNT('Schedule'!Q447:Q451)=5,SUM('Schedule'!Q447:Q451),"n.a.")</x:f>
        <x:v>0</x:v>
      </x:c>
      <x:c r="G108" s="4" t="n">
        <x:f>IF(COUNT('Schedule'!M447:M451)=5,SUM('Schedule'!M447:M451),"n.a.")</x:f>
        <x:v>0</x:v>
      </x:c>
      <x:c r="H108" s="4" t="n">
        <x:f>IF(COUNT('Schedule'!S447:S451)=5,SUM('Schedule'!S447:S451),"n.a.")</x:f>
        <x:v>0</x:v>
      </x:c>
      <x:c r="I108" s="4" t="str">
        <x:f>'Schedule'!T447</x:f>
        <x:v>Ready</x:v>
      </x:c>
      <x:c r="J108" s="4"/>
      <x:c r="K108" s="4"/>
      <x:c r="L108" s="4"/>
      <x:c r="M108" s="4"/>
      <x:c r="N108" s="4"/>
      <x:c r="O108" s="4"/>
      <x:c r="P108" s="4"/>
    </x:row>
    <x:row r="109" ht="22" customHeight="1">
      <x:c r="A109" s="2"/>
      <x:c r="B109" s="2"/>
      <x:c r="C109" s="23" t="n">
        <x:v>90</x:v>
      </x:c>
      <x:c r="D109" s="32" t="n">
        <x:f>'Schedule'!D452</x:f>
        <x:v>49035</x:v>
      </x:c>
      <x:c r="E109" s="4" t="n">
        <x:f>'Schedule'!E452</x:f>
        <x:v>500</x:v>
      </x:c>
      <x:c r="F109" s="4" t="n">
        <x:f>IF(COUNT('Schedule'!Q452:Q456)=5,SUM('Schedule'!Q452:Q456),"n.a.")</x:f>
        <x:v>0</x:v>
      </x:c>
      <x:c r="G109" s="4" t="n">
        <x:f>IF(COUNT('Schedule'!M452:M456)=5,SUM('Schedule'!M452:M456),"n.a.")</x:f>
        <x:v>0</x:v>
      </x:c>
      <x:c r="H109" s="4" t="n">
        <x:f>IF(COUNT('Schedule'!S452:S456)=5,SUM('Schedule'!S452:S456),"n.a.")</x:f>
        <x:v>0</x:v>
      </x:c>
      <x:c r="I109" s="4" t="str">
        <x:f>'Schedule'!T452</x:f>
        <x:v>Ready</x:v>
      </x:c>
      <x:c r="J109" s="4"/>
      <x:c r="K109" s="4"/>
      <x:c r="L109" s="4"/>
      <x:c r="M109" s="4"/>
      <x:c r="N109" s="4"/>
      <x:c r="O109" s="4"/>
      <x:c r="P109" s="4"/>
    </x:row>
    <x:row r="110" ht="22" customHeight="1">
      <x:c r="A110" s="2"/>
      <x:c r="B110" s="2"/>
      <x:c r="C110" s="23" t="n">
        <x:v>91</x:v>
      </x:c>
      <x:c r="D110" s="32" t="n">
        <x:f>'Schedule'!D457</x:f>
        <x:v>49065</x:v>
      </x:c>
      <x:c r="E110" s="4" t="n">
        <x:f>'Schedule'!E457</x:f>
        <x:v>500</x:v>
      </x:c>
      <x:c r="F110" s="4" t="n">
        <x:f>IF(COUNT('Schedule'!Q457:Q461)=5,SUM('Schedule'!Q457:Q461),"n.a.")</x:f>
        <x:v>0</x:v>
      </x:c>
      <x:c r="G110" s="4" t="n">
        <x:f>IF(COUNT('Schedule'!M457:M461)=5,SUM('Schedule'!M457:M461),"n.a.")</x:f>
        <x:v>0</x:v>
      </x:c>
      <x:c r="H110" s="4" t="n">
        <x:f>IF(COUNT('Schedule'!S457:S461)=5,SUM('Schedule'!S457:S461),"n.a.")</x:f>
        <x:v>0</x:v>
      </x:c>
      <x:c r="I110" s="4" t="str">
        <x:f>'Schedule'!T457</x:f>
        <x:v>Ready</x:v>
      </x:c>
      <x:c r="J110" s="4"/>
      <x:c r="K110" s="4"/>
      <x:c r="L110" s="4"/>
      <x:c r="M110" s="4"/>
      <x:c r="N110" s="4"/>
      <x:c r="O110" s="4"/>
      <x:c r="P110" s="4"/>
    </x:row>
    <x:row r="111" ht="22" customHeight="1">
      <x:c r="A111" s="2"/>
      <x:c r="B111" s="2"/>
      <x:c r="C111" s="23" t="n">
        <x:v>92</x:v>
      </x:c>
      <x:c r="D111" s="32" t="n">
        <x:f>'Schedule'!D462</x:f>
        <x:v>49096</x:v>
      </x:c>
      <x:c r="E111" s="4" t="n">
        <x:f>'Schedule'!E462</x:f>
        <x:v>500</x:v>
      </x:c>
      <x:c r="F111" s="4" t="n">
        <x:f>IF(COUNT('Schedule'!Q462:Q466)=5,SUM('Schedule'!Q462:Q466),"n.a.")</x:f>
        <x:v>0</x:v>
      </x:c>
      <x:c r="G111" s="4" t="n">
        <x:f>IF(COUNT('Schedule'!M462:M466)=5,SUM('Schedule'!M462:M466),"n.a.")</x:f>
        <x:v>0</x:v>
      </x:c>
      <x:c r="H111" s="4" t="n">
        <x:f>IF(COUNT('Schedule'!S462:S466)=5,SUM('Schedule'!S462:S466),"n.a.")</x:f>
        <x:v>0</x:v>
      </x:c>
      <x:c r="I111" s="4" t="str">
        <x:f>'Schedule'!T462</x:f>
        <x:v>Ready</x:v>
      </x:c>
      <x:c r="J111" s="4"/>
      <x:c r="K111" s="4"/>
      <x:c r="L111" s="4"/>
      <x:c r="M111" s="4"/>
      <x:c r="N111" s="4"/>
      <x:c r="O111" s="4"/>
      <x:c r="P111" s="4"/>
    </x:row>
    <x:row r="112" ht="22" customHeight="1">
      <x:c r="A112" s="2"/>
      <x:c r="B112" s="2"/>
      <x:c r="C112" s="23" t="n">
        <x:v>93</x:v>
      </x:c>
      <x:c r="D112" s="32" t="n">
        <x:f>'Schedule'!D467</x:f>
        <x:v>49126</x:v>
      </x:c>
      <x:c r="E112" s="4" t="n">
        <x:f>'Schedule'!E467</x:f>
        <x:v>500</x:v>
      </x:c>
      <x:c r="F112" s="4" t="n">
        <x:f>IF(COUNT('Schedule'!Q467:Q471)=5,SUM('Schedule'!Q467:Q471),"n.a.")</x:f>
        <x:v>0</x:v>
      </x:c>
      <x:c r="G112" s="4" t="n">
        <x:f>IF(COUNT('Schedule'!M467:M471)=5,SUM('Schedule'!M467:M471),"n.a.")</x:f>
        <x:v>0</x:v>
      </x:c>
      <x:c r="H112" s="4" t="n">
        <x:f>IF(COUNT('Schedule'!S467:S471)=5,SUM('Schedule'!S467:S471),"n.a.")</x:f>
        <x:v>0</x:v>
      </x:c>
      <x:c r="I112" s="4" t="str">
        <x:f>'Schedule'!T467</x:f>
        <x:v>Ready</x:v>
      </x:c>
      <x:c r="J112" s="4"/>
      <x:c r="K112" s="4"/>
      <x:c r="L112" s="4"/>
      <x:c r="M112" s="4"/>
      <x:c r="N112" s="4"/>
      <x:c r="O112" s="4"/>
      <x:c r="P112" s="4"/>
    </x:row>
    <x:row r="113" ht="22" customHeight="1">
      <x:c r="A113" s="2"/>
      <x:c r="B113" s="2"/>
      <x:c r="C113" s="23" t="n">
        <x:v>94</x:v>
      </x:c>
      <x:c r="D113" s="32" t="n">
        <x:f>'Schedule'!D472</x:f>
        <x:v>49157</x:v>
      </x:c>
      <x:c r="E113" s="4" t="n">
        <x:f>'Schedule'!E472</x:f>
        <x:v>500</x:v>
      </x:c>
      <x:c r="F113" s="4" t="n">
        <x:f>IF(COUNT('Schedule'!Q472:Q476)=5,SUM('Schedule'!Q472:Q476),"n.a.")</x:f>
        <x:v>0</x:v>
      </x:c>
      <x:c r="G113" s="4" t="n">
        <x:f>IF(COUNT('Schedule'!M472:M476)=5,SUM('Schedule'!M472:M476),"n.a.")</x:f>
        <x:v>0</x:v>
      </x:c>
      <x:c r="H113" s="4" t="n">
        <x:f>IF(COUNT('Schedule'!S472:S476)=5,SUM('Schedule'!S472:S476),"n.a.")</x:f>
        <x:v>0</x:v>
      </x:c>
      <x:c r="I113" s="4" t="str">
        <x:f>'Schedule'!T472</x:f>
        <x:v>Ready</x:v>
      </x:c>
      <x:c r="J113" s="4"/>
      <x:c r="K113" s="4"/>
      <x:c r="L113" s="4"/>
      <x:c r="M113" s="4"/>
      <x:c r="N113" s="4"/>
      <x:c r="O113" s="4"/>
      <x:c r="P113" s="4"/>
    </x:row>
    <x:row r="114" ht="22" customHeight="1">
      <x:c r="A114" s="2"/>
      <x:c r="B114" s="2"/>
      <x:c r="C114" s="23" t="n">
        <x:v>95</x:v>
      </x:c>
      <x:c r="D114" s="32" t="n">
        <x:f>'Schedule'!D477</x:f>
        <x:v>49188</x:v>
      </x:c>
      <x:c r="E114" s="4" t="n">
        <x:f>'Schedule'!E477</x:f>
        <x:v>500</x:v>
      </x:c>
      <x:c r="F114" s="4" t="n">
        <x:f>IF(COUNT('Schedule'!Q477:Q481)=5,SUM('Schedule'!Q477:Q481),"n.a.")</x:f>
        <x:v>0</x:v>
      </x:c>
      <x:c r="G114" s="4" t="n">
        <x:f>IF(COUNT('Schedule'!M477:M481)=5,SUM('Schedule'!M477:M481),"n.a.")</x:f>
        <x:v>0</x:v>
      </x:c>
      <x:c r="H114" s="4" t="n">
        <x:f>IF(COUNT('Schedule'!S477:S481)=5,SUM('Schedule'!S477:S481),"n.a.")</x:f>
        <x:v>0</x:v>
      </x:c>
      <x:c r="I114" s="4" t="str">
        <x:f>'Schedule'!T477</x:f>
        <x:v>Ready</x:v>
      </x:c>
      <x:c r="J114" s="4"/>
      <x:c r="K114" s="4"/>
      <x:c r="L114" s="4"/>
      <x:c r="M114" s="4"/>
      <x:c r="N114" s="4"/>
      <x:c r="O114" s="4"/>
      <x:c r="P114" s="4"/>
    </x:row>
    <x:row r="115" ht="22" customHeight="1">
      <x:c r="A115" s="2"/>
      <x:c r="B115" s="2"/>
      <x:c r="C115" s="23" t="n">
        <x:v>96</x:v>
      </x:c>
      <x:c r="D115" s="32" t="n">
        <x:f>'Schedule'!D482</x:f>
        <x:v>49218</x:v>
      </x:c>
      <x:c r="E115" s="4" t="n">
        <x:f>'Schedule'!E482</x:f>
        <x:v>500</x:v>
      </x:c>
      <x:c r="F115" s="4" t="n">
        <x:f>IF(COUNT('Schedule'!Q482:Q486)=5,SUM('Schedule'!Q482:Q486),"n.a.")</x:f>
        <x:v>0</x:v>
      </x:c>
      <x:c r="G115" s="4" t="n">
        <x:f>IF(COUNT('Schedule'!M482:M486)=5,SUM('Schedule'!M482:M486),"n.a.")</x:f>
        <x:v>0</x:v>
      </x:c>
      <x:c r="H115" s="4" t="n">
        <x:f>IF(COUNT('Schedule'!S482:S486)=5,SUM('Schedule'!S482:S486),"n.a.")</x:f>
        <x:v>0</x:v>
      </x:c>
      <x:c r="I115" s="4" t="str">
        <x:f>'Schedule'!T482</x:f>
        <x:v>Ready</x:v>
      </x:c>
      <x:c r="J115" s="4"/>
      <x:c r="K115" s="4"/>
      <x:c r="L115" s="4"/>
      <x:c r="M115" s="4"/>
      <x:c r="N115" s="4"/>
      <x:c r="O115" s="4"/>
      <x:c r="P115" s="4"/>
    </x:row>
    <x:row r="116" ht="22" customHeight="1">
      <x:c r="A116" s="2"/>
      <x:c r="B116" s="2"/>
      <x:c r="C116" s="23" t="n">
        <x:v>97</x:v>
      </x:c>
      <x:c r="D116" s="32" t="n">
        <x:f>'Schedule'!D487</x:f>
        <x:v>49249</x:v>
      </x:c>
      <x:c r="E116" s="4" t="n">
        <x:f>'Schedule'!E487</x:f>
        <x:v>500</x:v>
      </x:c>
      <x:c r="F116" s="4" t="n">
        <x:f>IF(COUNT('Schedule'!Q487:Q491)=5,SUM('Schedule'!Q487:Q491),"n.a.")</x:f>
        <x:v>0</x:v>
      </x:c>
      <x:c r="G116" s="4" t="n">
        <x:f>IF(COUNT('Schedule'!M487:M491)=5,SUM('Schedule'!M487:M491),"n.a.")</x:f>
        <x:v>0</x:v>
      </x:c>
      <x:c r="H116" s="4" t="n">
        <x:f>IF(COUNT('Schedule'!S487:S491)=5,SUM('Schedule'!S487:S491),"n.a.")</x:f>
        <x:v>0</x:v>
      </x:c>
      <x:c r="I116" s="4" t="str">
        <x:f>'Schedule'!T487</x:f>
        <x:v>Ready</x:v>
      </x:c>
      <x:c r="J116" s="4"/>
      <x:c r="K116" s="4"/>
      <x:c r="L116" s="4"/>
      <x:c r="M116" s="4"/>
      <x:c r="N116" s="4"/>
      <x:c r="O116" s="4"/>
      <x:c r="P116" s="4"/>
    </x:row>
    <x:row r="117" ht="22" customHeight="1">
      <x:c r="A117" s="2"/>
      <x:c r="B117" s="2"/>
      <x:c r="C117" s="23" t="n">
        <x:v>98</x:v>
      </x:c>
      <x:c r="D117" s="32" t="n">
        <x:f>'Schedule'!D492</x:f>
        <x:v>49279</x:v>
      </x:c>
      <x:c r="E117" s="4" t="n">
        <x:f>'Schedule'!E492</x:f>
        <x:v>500</x:v>
      </x:c>
      <x:c r="F117" s="4" t="n">
        <x:f>IF(COUNT('Schedule'!Q492:Q496)=5,SUM('Schedule'!Q492:Q496),"n.a.")</x:f>
        <x:v>0</x:v>
      </x:c>
      <x:c r="G117" s="4" t="n">
        <x:f>IF(COUNT('Schedule'!M492:M496)=5,SUM('Schedule'!M492:M496),"n.a.")</x:f>
        <x:v>0</x:v>
      </x:c>
      <x:c r="H117" s="4" t="n">
        <x:f>IF(COUNT('Schedule'!S492:S496)=5,SUM('Schedule'!S492:S496),"n.a.")</x:f>
        <x:v>0</x:v>
      </x:c>
      <x:c r="I117" s="4" t="str">
        <x:f>'Schedule'!T492</x:f>
        <x:v>Ready</x:v>
      </x:c>
      <x:c r="J117" s="4"/>
      <x:c r="K117" s="4"/>
      <x:c r="L117" s="4"/>
      <x:c r="M117" s="4"/>
      <x:c r="N117" s="4"/>
      <x:c r="O117" s="4"/>
      <x:c r="P117" s="4"/>
    </x:row>
    <x:row r="118" ht="22" customHeight="1">
      <x:c r="A118" s="2"/>
      <x:c r="B118" s="2"/>
      <x:c r="C118" s="23" t="n">
        <x:v>99</x:v>
      </x:c>
      <x:c r="D118" s="32" t="n">
        <x:f>'Schedule'!D497</x:f>
        <x:v>49310</x:v>
      </x:c>
      <x:c r="E118" s="4" t="n">
        <x:f>'Schedule'!E497</x:f>
        <x:v>500</x:v>
      </x:c>
      <x:c r="F118" s="4" t="n">
        <x:f>IF(COUNT('Schedule'!Q497:Q501)=5,SUM('Schedule'!Q497:Q501),"n.a.")</x:f>
        <x:v>0</x:v>
      </x:c>
      <x:c r="G118" s="4" t="n">
        <x:f>IF(COUNT('Schedule'!M497:M501)=5,SUM('Schedule'!M497:M501),"n.a.")</x:f>
        <x:v>0</x:v>
      </x:c>
      <x:c r="H118" s="4" t="n">
        <x:f>IF(COUNT('Schedule'!S497:S501)=5,SUM('Schedule'!S497:S501),"n.a.")</x:f>
        <x:v>0</x:v>
      </x:c>
      <x:c r="I118" s="4" t="str">
        <x:f>'Schedule'!T497</x:f>
        <x:v>Ready</x:v>
      </x:c>
      <x:c r="J118" s="4"/>
      <x:c r="K118" s="4"/>
      <x:c r="L118" s="4"/>
      <x:c r="M118" s="4"/>
      <x:c r="N118" s="4"/>
      <x:c r="O118" s="4"/>
      <x:c r="P118" s="4"/>
    </x:row>
    <x:row r="119" ht="22" customHeight="1">
      <x:c r="A119" s="2"/>
      <x:c r="B119" s="2"/>
      <x:c r="C119" s="23" t="n">
        <x:v>100</x:v>
      </x:c>
      <x:c r="D119" s="32" t="n">
        <x:f>'Schedule'!D502</x:f>
        <x:v>49341</x:v>
      </x:c>
      <x:c r="E119" s="4" t="n">
        <x:f>'Schedule'!E502</x:f>
        <x:v>500</x:v>
      </x:c>
      <x:c r="F119" s="4" t="n">
        <x:f>IF(COUNT('Schedule'!Q502:Q506)=5,SUM('Schedule'!Q502:Q506),"n.a.")</x:f>
        <x:v>0</x:v>
      </x:c>
      <x:c r="G119" s="4" t="n">
        <x:f>IF(COUNT('Schedule'!M502:M506)=5,SUM('Schedule'!M502:M506),"n.a.")</x:f>
        <x:v>0</x:v>
      </x:c>
      <x:c r="H119" s="4" t="n">
        <x:f>IF(COUNT('Schedule'!S502:S506)=5,SUM('Schedule'!S502:S506),"n.a.")</x:f>
        <x:v>0</x:v>
      </x:c>
      <x:c r="I119" s="4" t="str">
        <x:f>'Schedule'!T502</x:f>
        <x:v>Ready</x:v>
      </x:c>
      <x:c r="J119" s="4"/>
      <x:c r="K119" s="4"/>
      <x:c r="L119" s="4"/>
      <x:c r="M119" s="4"/>
      <x:c r="N119" s="4"/>
      <x:c r="O119" s="4"/>
      <x:c r="P119" s="4"/>
    </x:row>
    <x:row r="120" ht="22" customHeight="1">
      <x:c r="A120" s="2"/>
      <x:c r="B120" s="2"/>
      <x:c r="C120" s="23" t="n">
        <x:v>101</x:v>
      </x:c>
      <x:c r="D120" s="32" t="n">
        <x:f>'Schedule'!D507</x:f>
        <x:v>49369</x:v>
      </x:c>
      <x:c r="E120" s="4" t="n">
        <x:f>'Schedule'!E507</x:f>
        <x:v>500</x:v>
      </x:c>
      <x:c r="F120" s="4" t="n">
        <x:f>IF(COUNT('Schedule'!Q507:Q511)=5,SUM('Schedule'!Q507:Q511),"n.a.")</x:f>
        <x:v>0</x:v>
      </x:c>
      <x:c r="G120" s="4" t="n">
        <x:f>IF(COUNT('Schedule'!M507:M511)=5,SUM('Schedule'!M507:M511),"n.a.")</x:f>
        <x:v>0</x:v>
      </x:c>
      <x:c r="H120" s="4" t="n">
        <x:f>IF(COUNT('Schedule'!S507:S511)=5,SUM('Schedule'!S507:S511),"n.a.")</x:f>
        <x:v>0</x:v>
      </x:c>
      <x:c r="I120" s="4" t="str">
        <x:f>'Schedule'!T507</x:f>
        <x:v>Ready</x:v>
      </x:c>
      <x:c r="J120" s="4"/>
      <x:c r="K120" s="4"/>
      <x:c r="L120" s="4"/>
      <x:c r="M120" s="4"/>
      <x:c r="N120" s="4"/>
      <x:c r="O120" s="4"/>
      <x:c r="P120" s="4"/>
    </x:row>
    <x:row r="121" ht="22" customHeight="1">
      <x:c r="A121" s="2"/>
      <x:c r="B121" s="2"/>
      <x:c r="C121" s="23" t="n">
        <x:v>102</x:v>
      </x:c>
      <x:c r="D121" s="32" t="n">
        <x:f>'Schedule'!D512</x:f>
        <x:v>49400</x:v>
      </x:c>
      <x:c r="E121" s="4" t="n">
        <x:f>'Schedule'!E512</x:f>
        <x:v>500</x:v>
      </x:c>
      <x:c r="F121" s="4" t="n">
        <x:f>IF(COUNT('Schedule'!Q512:Q516)=5,SUM('Schedule'!Q512:Q516),"n.a.")</x:f>
        <x:v>0</x:v>
      </x:c>
      <x:c r="G121" s="4" t="n">
        <x:f>IF(COUNT('Schedule'!M512:M516)=5,SUM('Schedule'!M512:M516),"n.a.")</x:f>
        <x:v>0</x:v>
      </x:c>
      <x:c r="H121" s="4" t="n">
        <x:f>IF(COUNT('Schedule'!S512:S516)=5,SUM('Schedule'!S512:S516),"n.a.")</x:f>
        <x:v>0</x:v>
      </x:c>
      <x:c r="I121" s="4" t="str">
        <x:f>'Schedule'!T512</x:f>
        <x:v>Ready</x:v>
      </x:c>
      <x:c r="J121" s="4"/>
      <x:c r="K121" s="4"/>
      <x:c r="L121" s="4"/>
      <x:c r="M121" s="4"/>
      <x:c r="N121" s="4"/>
      <x:c r="O121" s="4"/>
      <x:c r="P121" s="4"/>
    </x:row>
    <x:row r="122" ht="22" customHeight="1">
      <x:c r="A122" s="2"/>
      <x:c r="B122" s="2"/>
      <x:c r="C122" s="23" t="n">
        <x:v>103</x:v>
      </x:c>
      <x:c r="D122" s="32" t="n">
        <x:f>'Schedule'!D517</x:f>
        <x:v>49430</x:v>
      </x:c>
      <x:c r="E122" s="4" t="n">
        <x:f>'Schedule'!E517</x:f>
        <x:v>500</x:v>
      </x:c>
      <x:c r="F122" s="4" t="n">
        <x:f>IF(COUNT('Schedule'!Q517:Q521)=5,SUM('Schedule'!Q517:Q521),"n.a.")</x:f>
        <x:v>0</x:v>
      </x:c>
      <x:c r="G122" s="4" t="n">
        <x:f>IF(COUNT('Schedule'!M517:M521)=5,SUM('Schedule'!M517:M521),"n.a.")</x:f>
        <x:v>0</x:v>
      </x:c>
      <x:c r="H122" s="4" t="n">
        <x:f>IF(COUNT('Schedule'!S517:S521)=5,SUM('Schedule'!S517:S521),"n.a.")</x:f>
        <x:v>0</x:v>
      </x:c>
      <x:c r="I122" s="4" t="str">
        <x:f>'Schedule'!T517</x:f>
        <x:v>Ready</x:v>
      </x:c>
      <x:c r="J122" s="4"/>
      <x:c r="K122" s="4"/>
      <x:c r="L122" s="4"/>
      <x:c r="M122" s="4"/>
      <x:c r="N122" s="4"/>
      <x:c r="O122" s="4"/>
      <x:c r="P122" s="4"/>
    </x:row>
    <x:row r="123" ht="22" customHeight="1">
      <x:c r="A123" s="2"/>
      <x:c r="B123" s="2"/>
      <x:c r="C123" s="23" t="n">
        <x:v>104</x:v>
      </x:c>
      <x:c r="D123" s="32" t="n">
        <x:f>'Schedule'!D522</x:f>
        <x:v>49461</x:v>
      </x:c>
      <x:c r="E123" s="4" t="n">
        <x:f>'Schedule'!E522</x:f>
        <x:v>500</x:v>
      </x:c>
      <x:c r="F123" s="4" t="n">
        <x:f>IF(COUNT('Schedule'!Q522:Q526)=5,SUM('Schedule'!Q522:Q526),"n.a.")</x:f>
        <x:v>0</x:v>
      </x:c>
      <x:c r="G123" s="4" t="n">
        <x:f>IF(COUNT('Schedule'!M522:M526)=5,SUM('Schedule'!M522:M526),"n.a.")</x:f>
        <x:v>0</x:v>
      </x:c>
      <x:c r="H123" s="4" t="n">
        <x:f>IF(COUNT('Schedule'!S522:S526)=5,SUM('Schedule'!S522:S526),"n.a.")</x:f>
        <x:v>0</x:v>
      </x:c>
      <x:c r="I123" s="4" t="str">
        <x:f>'Schedule'!T522</x:f>
        <x:v>Ready</x:v>
      </x:c>
      <x:c r="J123" s="4"/>
      <x:c r="K123" s="4"/>
      <x:c r="L123" s="4"/>
      <x:c r="M123" s="4"/>
      <x:c r="N123" s="4"/>
      <x:c r="O123" s="4"/>
      <x:c r="P123" s="4"/>
    </x:row>
    <x:row r="124" ht="22" customHeight="1">
      <x:c r="A124" s="2"/>
      <x:c r="B124" s="2"/>
      <x:c r="C124" s="23" t="n">
        <x:v>105</x:v>
      </x:c>
      <x:c r="D124" s="32" t="n">
        <x:f>'Schedule'!D527</x:f>
        <x:v>49491</x:v>
      </x:c>
      <x:c r="E124" s="4" t="n">
        <x:f>'Schedule'!E527</x:f>
        <x:v>500</x:v>
      </x:c>
      <x:c r="F124" s="4" t="n">
        <x:f>IF(COUNT('Schedule'!Q527:Q531)=5,SUM('Schedule'!Q527:Q531),"n.a.")</x:f>
        <x:v>0</x:v>
      </x:c>
      <x:c r="G124" s="4" t="n">
        <x:f>IF(COUNT('Schedule'!M527:M531)=5,SUM('Schedule'!M527:M531),"n.a.")</x:f>
        <x:v>0</x:v>
      </x:c>
      <x:c r="H124" s="4" t="n">
        <x:f>IF(COUNT('Schedule'!S527:S531)=5,SUM('Schedule'!S527:S531),"n.a.")</x:f>
        <x:v>0</x:v>
      </x:c>
      <x:c r="I124" s="4" t="str">
        <x:f>'Schedule'!T527</x:f>
        <x:v>Ready</x:v>
      </x:c>
      <x:c r="J124" s="4"/>
      <x:c r="K124" s="4"/>
      <x:c r="L124" s="4"/>
      <x:c r="M124" s="4"/>
      <x:c r="N124" s="4"/>
      <x:c r="O124" s="4"/>
      <x:c r="P124" s="4"/>
    </x:row>
    <x:row r="125" ht="22" customHeight="1">
      <x:c r="A125" s="2"/>
      <x:c r="B125" s="2"/>
      <x:c r="C125" s="23" t="n">
        <x:v>106</x:v>
      </x:c>
      <x:c r="D125" s="32" t="n">
        <x:f>'Schedule'!D532</x:f>
        <x:v>49522</x:v>
      </x:c>
      <x:c r="E125" s="4" t="n">
        <x:f>'Schedule'!E532</x:f>
        <x:v>500</x:v>
      </x:c>
      <x:c r="F125" s="4" t="n">
        <x:f>IF(COUNT('Schedule'!Q532:Q536)=5,SUM('Schedule'!Q532:Q536),"n.a.")</x:f>
        <x:v>0</x:v>
      </x:c>
      <x:c r="G125" s="4" t="n">
        <x:f>IF(COUNT('Schedule'!M532:M536)=5,SUM('Schedule'!M532:M536),"n.a.")</x:f>
        <x:v>0</x:v>
      </x:c>
      <x:c r="H125" s="4" t="n">
        <x:f>IF(COUNT('Schedule'!S532:S536)=5,SUM('Schedule'!S532:S536),"n.a.")</x:f>
        <x:v>0</x:v>
      </x:c>
      <x:c r="I125" s="4" t="str">
        <x:f>'Schedule'!T532</x:f>
        <x:v>Ready</x:v>
      </x:c>
      <x:c r="J125" s="4"/>
      <x:c r="K125" s="4"/>
      <x:c r="L125" s="4"/>
      <x:c r="M125" s="4"/>
      <x:c r="N125" s="4"/>
      <x:c r="O125" s="4"/>
      <x:c r="P125" s="4"/>
    </x:row>
    <x:row r="126" ht="22" customHeight="1">
      <x:c r="A126" s="2"/>
      <x:c r="B126" s="2"/>
      <x:c r="C126" s="23" t="n">
        <x:v>107</x:v>
      </x:c>
      <x:c r="D126" s="32" t="n">
        <x:f>'Schedule'!D537</x:f>
        <x:v>49553</x:v>
      </x:c>
      <x:c r="E126" s="4" t="n">
        <x:f>'Schedule'!E537</x:f>
        <x:v>500</x:v>
      </x:c>
      <x:c r="F126" s="4" t="n">
        <x:f>IF(COUNT('Schedule'!Q537:Q541)=5,SUM('Schedule'!Q537:Q541),"n.a.")</x:f>
        <x:v>0</x:v>
      </x:c>
      <x:c r="G126" s="4" t="n">
        <x:f>IF(COUNT('Schedule'!M537:M541)=5,SUM('Schedule'!M537:M541),"n.a.")</x:f>
        <x:v>0</x:v>
      </x:c>
      <x:c r="H126" s="4" t="n">
        <x:f>IF(COUNT('Schedule'!S537:S541)=5,SUM('Schedule'!S537:S541),"n.a.")</x:f>
        <x:v>0</x:v>
      </x:c>
      <x:c r="I126" s="4" t="str">
        <x:f>'Schedule'!T537</x:f>
        <x:v>Ready</x:v>
      </x:c>
      <x:c r="J126" s="4"/>
      <x:c r="K126" s="4"/>
      <x:c r="L126" s="4"/>
      <x:c r="M126" s="4"/>
      <x:c r="N126" s="4"/>
      <x:c r="O126" s="4"/>
      <x:c r="P126" s="4"/>
    </x:row>
    <x:row r="127" ht="22" customHeight="1">
      <x:c r="A127" s="2"/>
      <x:c r="B127" s="2"/>
      <x:c r="C127" s="23" t="n">
        <x:v>108</x:v>
      </x:c>
      <x:c r="D127" s="32" t="n">
        <x:f>'Schedule'!D542</x:f>
        <x:v>49583</x:v>
      </x:c>
      <x:c r="E127" s="4" t="n">
        <x:f>'Schedule'!E542</x:f>
        <x:v>500</x:v>
      </x:c>
      <x:c r="F127" s="4" t="n">
        <x:f>IF(COUNT('Schedule'!Q542:Q546)=5,SUM('Schedule'!Q542:Q546),"n.a.")</x:f>
        <x:v>0</x:v>
      </x:c>
      <x:c r="G127" s="4" t="n">
        <x:f>IF(COUNT('Schedule'!M542:M546)=5,SUM('Schedule'!M542:M546),"n.a.")</x:f>
        <x:v>0</x:v>
      </x:c>
      <x:c r="H127" s="4" t="n">
        <x:f>IF(COUNT('Schedule'!S542:S546)=5,SUM('Schedule'!S542:S546),"n.a.")</x:f>
        <x:v>0</x:v>
      </x:c>
      <x:c r="I127" s="4" t="str">
        <x:f>'Schedule'!T542</x:f>
        <x:v>Ready</x:v>
      </x:c>
      <x:c r="J127" s="4"/>
      <x:c r="K127" s="4"/>
      <x:c r="L127" s="4"/>
      <x:c r="M127" s="4"/>
      <x:c r="N127" s="4"/>
      <x:c r="O127" s="4"/>
      <x:c r="P127" s="4"/>
    </x:row>
    <x:row r="128" ht="22" customHeight="1">
      <x:c r="A128" s="2"/>
      <x:c r="B128" s="2"/>
      <x:c r="C128" s="23" t="n">
        <x:v>109</x:v>
      </x:c>
      <x:c r="D128" s="32" t="n">
        <x:f>'Schedule'!D547</x:f>
        <x:v>49614</x:v>
      </x:c>
      <x:c r="E128" s="4" t="n">
        <x:f>'Schedule'!E547</x:f>
        <x:v>500</x:v>
      </x:c>
      <x:c r="F128" s="4" t="n">
        <x:f>IF(COUNT('Schedule'!Q547:Q551)=5,SUM('Schedule'!Q547:Q551),"n.a.")</x:f>
        <x:v>0</x:v>
      </x:c>
      <x:c r="G128" s="4" t="n">
        <x:f>IF(COUNT('Schedule'!M547:M551)=5,SUM('Schedule'!M547:M551),"n.a.")</x:f>
        <x:v>0</x:v>
      </x:c>
      <x:c r="H128" s="4" t="n">
        <x:f>IF(COUNT('Schedule'!S547:S551)=5,SUM('Schedule'!S547:S551),"n.a.")</x:f>
        <x:v>0</x:v>
      </x:c>
      <x:c r="I128" s="4" t="str">
        <x:f>'Schedule'!T547</x:f>
        <x:v>Ready</x:v>
      </x:c>
      <x:c r="J128" s="4"/>
      <x:c r="K128" s="4"/>
      <x:c r="L128" s="4"/>
      <x:c r="M128" s="4"/>
      <x:c r="N128" s="4"/>
      <x:c r="O128" s="4"/>
      <x:c r="P128" s="4"/>
    </x:row>
    <x:row r="129" ht="22" customHeight="1">
      <x:c r="A129" s="2"/>
      <x:c r="B129" s="2"/>
      <x:c r="C129" s="23" t="n">
        <x:v>110</x:v>
      </x:c>
      <x:c r="D129" s="32" t="n">
        <x:f>'Schedule'!D552</x:f>
        <x:v>49644</x:v>
      </x:c>
      <x:c r="E129" s="4" t="n">
        <x:f>'Schedule'!E552</x:f>
        <x:v>500</x:v>
      </x:c>
      <x:c r="F129" s="4" t="n">
        <x:f>IF(COUNT('Schedule'!Q552:Q556)=5,SUM('Schedule'!Q552:Q556),"n.a.")</x:f>
        <x:v>0</x:v>
      </x:c>
      <x:c r="G129" s="4" t="n">
        <x:f>IF(COUNT('Schedule'!M552:M556)=5,SUM('Schedule'!M552:M556),"n.a.")</x:f>
        <x:v>0</x:v>
      </x:c>
      <x:c r="H129" s="4" t="n">
        <x:f>IF(COUNT('Schedule'!S552:S556)=5,SUM('Schedule'!S552:S556),"n.a.")</x:f>
        <x:v>0</x:v>
      </x:c>
      <x:c r="I129" s="4" t="str">
        <x:f>'Schedule'!T552</x:f>
        <x:v>Ready</x:v>
      </x:c>
      <x:c r="J129" s="4"/>
      <x:c r="K129" s="4"/>
      <x:c r="L129" s="4"/>
      <x:c r="M129" s="4"/>
      <x:c r="N129" s="4"/>
      <x:c r="O129" s="4"/>
      <x:c r="P129" s="4"/>
    </x:row>
    <x:row r="130" ht="22" customHeight="1">
      <x:c r="A130" s="2"/>
      <x:c r="B130" s="2"/>
      <x:c r="C130" s="23" t="n">
        <x:v>111</x:v>
      </x:c>
      <x:c r="D130" s="32" t="n">
        <x:f>'Schedule'!D557</x:f>
        <x:v>49675</x:v>
      </x:c>
      <x:c r="E130" s="4" t="n">
        <x:f>'Schedule'!E557</x:f>
        <x:v>500</x:v>
      </x:c>
      <x:c r="F130" s="4" t="n">
        <x:f>IF(COUNT('Schedule'!Q557:Q561)=5,SUM('Schedule'!Q557:Q561),"n.a.")</x:f>
        <x:v>0</x:v>
      </x:c>
      <x:c r="G130" s="4" t="n">
        <x:f>IF(COUNT('Schedule'!M557:M561)=5,SUM('Schedule'!M557:M561),"n.a.")</x:f>
        <x:v>0</x:v>
      </x:c>
      <x:c r="H130" s="4" t="n">
        <x:f>IF(COUNT('Schedule'!S557:S561)=5,SUM('Schedule'!S557:S561),"n.a.")</x:f>
        <x:v>0</x:v>
      </x:c>
      <x:c r="I130" s="4" t="str">
        <x:f>'Schedule'!T557</x:f>
        <x:v>Ready</x:v>
      </x:c>
      <x:c r="J130" s="4"/>
      <x:c r="K130" s="4"/>
      <x:c r="L130" s="4"/>
      <x:c r="M130" s="4"/>
      <x:c r="N130" s="4"/>
      <x:c r="O130" s="4"/>
      <x:c r="P130" s="4"/>
    </x:row>
    <x:row r="131" ht="22" customHeight="1">
      <x:c r="A131" s="2"/>
      <x:c r="B131" s="2"/>
      <x:c r="C131" s="23" t="n">
        <x:v>112</x:v>
      </x:c>
      <x:c r="D131" s="32" t="n">
        <x:f>'Schedule'!D562</x:f>
        <x:v>49706</x:v>
      </x:c>
      <x:c r="E131" s="4" t="n">
        <x:f>'Schedule'!E562</x:f>
        <x:v>500</x:v>
      </x:c>
      <x:c r="F131" s="4" t="n">
        <x:f>IF(COUNT('Schedule'!Q562:Q566)=5,SUM('Schedule'!Q562:Q566),"n.a.")</x:f>
        <x:v>0</x:v>
      </x:c>
      <x:c r="G131" s="4" t="n">
        <x:f>IF(COUNT('Schedule'!M562:M566)=5,SUM('Schedule'!M562:M566),"n.a.")</x:f>
        <x:v>0</x:v>
      </x:c>
      <x:c r="H131" s="4" t="n">
        <x:f>IF(COUNT('Schedule'!S562:S566)=5,SUM('Schedule'!S562:S566),"n.a.")</x:f>
        <x:v>0</x:v>
      </x:c>
      <x:c r="I131" s="4" t="str">
        <x:f>'Schedule'!T562</x:f>
        <x:v>Ready</x:v>
      </x:c>
      <x:c r="J131" s="4"/>
      <x:c r="K131" s="4"/>
      <x:c r="L131" s="4"/>
      <x:c r="M131" s="4"/>
      <x:c r="N131" s="4"/>
      <x:c r="O131" s="4"/>
      <x:c r="P131" s="4"/>
    </x:row>
    <x:row r="132" ht="22" customHeight="1">
      <x:c r="A132" s="2"/>
      <x:c r="B132" s="2"/>
      <x:c r="C132" s="23" t="n">
        <x:v>113</x:v>
      </x:c>
      <x:c r="D132" s="32" t="n">
        <x:f>'Schedule'!D567</x:f>
        <x:v>49735</x:v>
      </x:c>
      <x:c r="E132" s="4" t="n">
        <x:f>'Schedule'!E567</x:f>
        <x:v>500</x:v>
      </x:c>
      <x:c r="F132" s="4" t="n">
        <x:f>IF(COUNT('Schedule'!Q567:Q571)=5,SUM('Schedule'!Q567:Q571),"n.a.")</x:f>
        <x:v>0</x:v>
      </x:c>
      <x:c r="G132" s="4" t="n">
        <x:f>IF(COUNT('Schedule'!M567:M571)=5,SUM('Schedule'!M567:M571),"n.a.")</x:f>
        <x:v>0</x:v>
      </x:c>
      <x:c r="H132" s="4" t="n">
        <x:f>IF(COUNT('Schedule'!S567:S571)=5,SUM('Schedule'!S567:S571),"n.a.")</x:f>
        <x:v>0</x:v>
      </x:c>
      <x:c r="I132" s="4" t="str">
        <x:f>'Schedule'!T567</x:f>
        <x:v>Ready</x:v>
      </x:c>
      <x:c r="J132" s="4"/>
      <x:c r="K132" s="4"/>
      <x:c r="L132" s="4"/>
      <x:c r="M132" s="4"/>
      <x:c r="N132" s="4"/>
      <x:c r="O132" s="4"/>
      <x:c r="P132" s="4"/>
    </x:row>
    <x:row r="133" ht="22" customHeight="1">
      <x:c r="A133" s="2"/>
      <x:c r="B133" s="2"/>
      <x:c r="C133" s="23" t="n">
        <x:v>114</x:v>
      </x:c>
      <x:c r="D133" s="32" t="n">
        <x:f>'Schedule'!D572</x:f>
        <x:v>49766</x:v>
      </x:c>
      <x:c r="E133" s="4" t="n">
        <x:f>'Schedule'!E572</x:f>
        <x:v>500</x:v>
      </x:c>
      <x:c r="F133" s="4" t="n">
        <x:f>IF(COUNT('Schedule'!Q572:Q576)=5,SUM('Schedule'!Q572:Q576),"n.a.")</x:f>
        <x:v>0</x:v>
      </x:c>
      <x:c r="G133" s="4" t="n">
        <x:f>IF(COUNT('Schedule'!M572:M576)=5,SUM('Schedule'!M572:M576),"n.a.")</x:f>
        <x:v>0</x:v>
      </x:c>
      <x:c r="H133" s="4" t="n">
        <x:f>IF(COUNT('Schedule'!S572:S576)=5,SUM('Schedule'!S572:S576),"n.a.")</x:f>
        <x:v>0</x:v>
      </x:c>
      <x:c r="I133" s="4" t="str">
        <x:f>'Schedule'!T572</x:f>
        <x:v>Ready</x:v>
      </x:c>
      <x:c r="J133" s="4"/>
      <x:c r="K133" s="4"/>
      <x:c r="L133" s="4"/>
      <x:c r="M133" s="4"/>
      <x:c r="N133" s="4"/>
      <x:c r="O133" s="4"/>
      <x:c r="P133" s="4"/>
    </x:row>
    <x:row r="134" ht="22" customHeight="1">
      <x:c r="A134" s="2"/>
      <x:c r="B134" s="2"/>
      <x:c r="C134" s="23" t="n">
        <x:v>115</x:v>
      </x:c>
      <x:c r="D134" s="32" t="n">
        <x:f>'Schedule'!D577</x:f>
        <x:v>49796</x:v>
      </x:c>
      <x:c r="E134" s="4" t="n">
        <x:f>'Schedule'!E577</x:f>
        <x:v>500</x:v>
      </x:c>
      <x:c r="F134" s="4" t="n">
        <x:f>IF(COUNT('Schedule'!Q577:Q581)=5,SUM('Schedule'!Q577:Q581),"n.a.")</x:f>
        <x:v>0</x:v>
      </x:c>
      <x:c r="G134" s="4" t="n">
        <x:f>IF(COUNT('Schedule'!M577:M581)=5,SUM('Schedule'!M577:M581),"n.a.")</x:f>
        <x:v>0</x:v>
      </x:c>
      <x:c r="H134" s="4" t="n">
        <x:f>IF(COUNT('Schedule'!S577:S581)=5,SUM('Schedule'!S577:S581),"n.a.")</x:f>
        <x:v>0</x:v>
      </x:c>
      <x:c r="I134" s="4" t="str">
        <x:f>'Schedule'!T577</x:f>
        <x:v>Ready</x:v>
      </x:c>
      <x:c r="J134" s="4"/>
      <x:c r="K134" s="4"/>
      <x:c r="L134" s="4"/>
      <x:c r="M134" s="4"/>
      <x:c r="N134" s="4"/>
      <x:c r="O134" s="4"/>
      <x:c r="P134" s="4"/>
    </x:row>
    <x:row r="135" ht="22" customHeight="1">
      <x:c r="A135" s="2"/>
      <x:c r="B135" s="2"/>
      <x:c r="C135" s="23" t="n">
        <x:v>116</x:v>
      </x:c>
      <x:c r="D135" s="32" t="n">
        <x:f>'Schedule'!D582</x:f>
        <x:v>49827</x:v>
      </x:c>
      <x:c r="E135" s="4" t="n">
        <x:f>'Schedule'!E582</x:f>
        <x:v>500</x:v>
      </x:c>
      <x:c r="F135" s="4" t="n">
        <x:f>IF(COUNT('Schedule'!Q582:Q586)=5,SUM('Schedule'!Q582:Q586),"n.a.")</x:f>
        <x:v>0</x:v>
      </x:c>
      <x:c r="G135" s="4" t="n">
        <x:f>IF(COUNT('Schedule'!M582:M586)=5,SUM('Schedule'!M582:M586),"n.a.")</x:f>
        <x:v>0</x:v>
      </x:c>
      <x:c r="H135" s="4" t="n">
        <x:f>IF(COUNT('Schedule'!S582:S586)=5,SUM('Schedule'!S582:S586),"n.a.")</x:f>
        <x:v>0</x:v>
      </x:c>
      <x:c r="I135" s="4" t="str">
        <x:f>'Schedule'!T582</x:f>
        <x:v>Ready</x:v>
      </x:c>
      <x:c r="J135" s="4"/>
      <x:c r="K135" s="4"/>
      <x:c r="L135" s="4"/>
      <x:c r="M135" s="4"/>
      <x:c r="N135" s="4"/>
      <x:c r="O135" s="4"/>
      <x:c r="P135" s="4"/>
    </x:row>
    <x:row r="136" ht="22" customHeight="1">
      <x:c r="A136" s="2"/>
      <x:c r="B136" s="2"/>
      <x:c r="C136" s="23" t="n">
        <x:v>117</x:v>
      </x:c>
      <x:c r="D136" s="32" t="n">
        <x:f>'Schedule'!D587</x:f>
        <x:v>49857</x:v>
      </x:c>
      <x:c r="E136" s="4" t="n">
        <x:f>'Schedule'!E587</x:f>
        <x:v>500</x:v>
      </x:c>
      <x:c r="F136" s="4" t="n">
        <x:f>IF(COUNT('Schedule'!Q587:Q591)=5,SUM('Schedule'!Q587:Q591),"n.a.")</x:f>
        <x:v>0</x:v>
      </x:c>
      <x:c r="G136" s="4" t="n">
        <x:f>IF(COUNT('Schedule'!M587:M591)=5,SUM('Schedule'!M587:M591),"n.a.")</x:f>
        <x:v>0</x:v>
      </x:c>
      <x:c r="H136" s="4" t="n">
        <x:f>IF(COUNT('Schedule'!S587:S591)=5,SUM('Schedule'!S587:S591),"n.a.")</x:f>
        <x:v>0</x:v>
      </x:c>
      <x:c r="I136" s="4" t="str">
        <x:f>'Schedule'!T587</x:f>
        <x:v>Ready</x:v>
      </x:c>
      <x:c r="J136" s="4"/>
      <x:c r="K136" s="4"/>
      <x:c r="L136" s="4"/>
      <x:c r="M136" s="4"/>
      <x:c r="N136" s="4"/>
      <x:c r="O136" s="4"/>
      <x:c r="P136" s="4"/>
    </x:row>
    <x:row r="137" ht="22" customHeight="1">
      <x:c r="A137" s="2"/>
      <x:c r="B137" s="2"/>
      <x:c r="C137" s="23" t="n">
        <x:v>118</x:v>
      </x:c>
      <x:c r="D137" s="32" t="n">
        <x:f>'Schedule'!D592</x:f>
        <x:v>49888</x:v>
      </x:c>
      <x:c r="E137" s="4" t="n">
        <x:f>'Schedule'!E592</x:f>
        <x:v>500</x:v>
      </x:c>
      <x:c r="F137" s="4" t="n">
        <x:f>IF(COUNT('Schedule'!Q592:Q596)=5,SUM('Schedule'!Q592:Q596),"n.a.")</x:f>
        <x:v>0</x:v>
      </x:c>
      <x:c r="G137" s="4" t="n">
        <x:f>IF(COUNT('Schedule'!M592:M596)=5,SUM('Schedule'!M592:M596),"n.a.")</x:f>
        <x:v>0</x:v>
      </x:c>
      <x:c r="H137" s="4" t="n">
        <x:f>IF(COUNT('Schedule'!S592:S596)=5,SUM('Schedule'!S592:S596),"n.a.")</x:f>
        <x:v>0</x:v>
      </x:c>
      <x:c r="I137" s="4" t="str">
        <x:f>'Schedule'!T592</x:f>
        <x:v>Ready</x:v>
      </x:c>
      <x:c r="J137" s="4"/>
      <x:c r="K137" s="4"/>
      <x:c r="L137" s="4"/>
      <x:c r="M137" s="4"/>
      <x:c r="N137" s="4"/>
      <x:c r="O137" s="4"/>
      <x:c r="P137" s="4"/>
    </x:row>
    <x:row r="138" ht="22" customHeight="1">
      <x:c r="A138" s="2"/>
      <x:c r="B138" s="2"/>
      <x:c r="C138" s="23" t="n">
        <x:v>119</x:v>
      </x:c>
      <x:c r="D138" s="32" t="n">
        <x:f>'Schedule'!D597</x:f>
        <x:v>49919</x:v>
      </x:c>
      <x:c r="E138" s="4" t="n">
        <x:f>'Schedule'!E597</x:f>
        <x:v>500</x:v>
      </x:c>
      <x:c r="F138" s="4" t="n">
        <x:f>IF(COUNT('Schedule'!Q597:Q601)=5,SUM('Schedule'!Q597:Q601),"n.a.")</x:f>
        <x:v>0</x:v>
      </x:c>
      <x:c r="G138" s="4" t="n">
        <x:f>IF(COUNT('Schedule'!M597:M601)=5,SUM('Schedule'!M597:M601),"n.a.")</x:f>
        <x:v>0</x:v>
      </x:c>
      <x:c r="H138" s="4" t="n">
        <x:f>IF(COUNT('Schedule'!S597:S601)=5,SUM('Schedule'!S597:S601),"n.a.")</x:f>
        <x:v>0</x:v>
      </x:c>
      <x:c r="I138" s="4" t="str">
        <x:f>'Schedule'!T597</x:f>
        <x:v>Ready</x:v>
      </x:c>
      <x:c r="J138" s="4"/>
      <x:c r="K138" s="4"/>
      <x:c r="L138" s="4"/>
      <x:c r="M138" s="4"/>
      <x:c r="N138" s="4"/>
      <x:c r="O138" s="4"/>
      <x:c r="P138" s="4"/>
    </x:row>
    <x:row r="139" ht="22" customHeight="1">
      <x:c r="A139" s="2"/>
      <x:c r="B139" s="2"/>
      <x:c r="C139" s="23" t="n">
        <x:v>120</x:v>
      </x:c>
      <x:c r="D139" s="32" t="n">
        <x:f>'Schedule'!D602</x:f>
        <x:v>49949</x:v>
      </x:c>
      <x:c r="E139" s="4" t="n">
        <x:f>'Schedule'!E602</x:f>
        <x:v>500</x:v>
      </x:c>
      <x:c r="F139" s="4" t="n">
        <x:f>IF(COUNT('Schedule'!Q602:Q606)=5,SUM('Schedule'!Q602:Q606),"n.a.")</x:f>
        <x:v>0</x:v>
      </x:c>
      <x:c r="G139" s="4" t="n">
        <x:f>IF(COUNT('Schedule'!M602:M606)=5,SUM('Schedule'!M602:M606),"n.a.")</x:f>
        <x:v>0</x:v>
      </x:c>
      <x:c r="H139" s="4" t="n">
        <x:f>IF(COUNT('Schedule'!S602:S606)=5,SUM('Schedule'!S602:S606),"n.a.")</x:f>
        <x:v>0</x:v>
      </x:c>
      <x:c r="I139" s="4" t="str">
        <x:f>'Schedule'!T602</x:f>
        <x:v>Ready</x:v>
      </x:c>
      <x:c r="J139" s="4"/>
      <x:c r="K139" s="4"/>
      <x:c r="L139" s="4"/>
      <x:c r="M139" s="4"/>
      <x:c r="N139" s="4"/>
      <x:c r="O139" s="4"/>
      <x:c r="P139" s="4"/>
    </x:row>
    <x:row r="140" ht="22" customHeight="1">
      <x:c r="A140" s="2"/>
      <x:c r="B140" s="2"/>
      <x:c r="C140" s="23" t="n">
        <x:v>121</x:v>
      </x:c>
      <x:c r="D140" s="32" t="n">
        <x:f>'Schedule'!D607</x:f>
        <x:v>49980</x:v>
      </x:c>
      <x:c r="E140" s="4" t="n">
        <x:f>'Schedule'!E607</x:f>
        <x:v>500</x:v>
      </x:c>
      <x:c r="F140" s="4" t="n">
        <x:f>IF(COUNT('Schedule'!Q607:Q611)=5,SUM('Schedule'!Q607:Q611),"n.a.")</x:f>
        <x:v>0</x:v>
      </x:c>
      <x:c r="G140" s="4" t="n">
        <x:f>IF(COUNT('Schedule'!M607:M611)=5,SUM('Schedule'!M607:M611),"n.a.")</x:f>
        <x:v>0</x:v>
      </x:c>
      <x:c r="H140" s="4" t="n">
        <x:f>IF(COUNT('Schedule'!S607:S611)=5,SUM('Schedule'!S607:S611),"n.a.")</x:f>
        <x:v>0</x:v>
      </x:c>
      <x:c r="I140" s="4" t="str">
        <x:f>'Schedule'!T607</x:f>
        <x:v>Ready</x:v>
      </x:c>
      <x:c r="J140" s="4"/>
      <x:c r="K140" s="4"/>
      <x:c r="L140" s="4"/>
      <x:c r="M140" s="4"/>
      <x:c r="N140" s="4"/>
      <x:c r="O140" s="4"/>
      <x:c r="P140" s="4"/>
    </x:row>
    <x:row r="141" ht="22" customHeight="1">
      <x:c r="A141" s="2"/>
      <x:c r="B141" s="2"/>
      <x:c r="C141" s="23" t="n">
        <x:v>122</x:v>
      </x:c>
      <x:c r="D141" s="32" t="n">
        <x:f>'Schedule'!D612</x:f>
        <x:v>50010</x:v>
      </x:c>
      <x:c r="E141" s="4" t="n">
        <x:f>'Schedule'!E612</x:f>
        <x:v>500</x:v>
      </x:c>
      <x:c r="F141" s="4" t="n">
        <x:f>IF(COUNT('Schedule'!Q612:Q616)=5,SUM('Schedule'!Q612:Q616),"n.a.")</x:f>
        <x:v>0</x:v>
      </x:c>
      <x:c r="G141" s="4" t="n">
        <x:f>IF(COUNT('Schedule'!M612:M616)=5,SUM('Schedule'!M612:M616),"n.a.")</x:f>
        <x:v>0</x:v>
      </x:c>
      <x:c r="H141" s="4" t="n">
        <x:f>IF(COUNT('Schedule'!S612:S616)=5,SUM('Schedule'!S612:S616),"n.a.")</x:f>
        <x:v>0</x:v>
      </x:c>
      <x:c r="I141" s="4" t="str">
        <x:f>'Schedule'!T612</x:f>
        <x:v>Ready</x:v>
      </x:c>
      <x:c r="J141" s="4"/>
      <x:c r="K141" s="4"/>
      <x:c r="L141" s="4"/>
      <x:c r="M141" s="4"/>
      <x:c r="N141" s="4"/>
      <x:c r="O141" s="4"/>
      <x:c r="P141" s="4"/>
    </x:row>
    <x:row r="142" ht="22" customHeight="1">
      <x:c r="A142" s="2"/>
      <x:c r="B142" s="2"/>
      <x:c r="C142" s="23" t="n">
        <x:v>123</x:v>
      </x:c>
      <x:c r="D142" s="32" t="n">
        <x:f>'Schedule'!D617</x:f>
        <x:v>50041</x:v>
      </x:c>
      <x:c r="E142" s="4" t="n">
        <x:f>'Schedule'!E617</x:f>
        <x:v>500</x:v>
      </x:c>
      <x:c r="F142" s="4" t="n">
        <x:f>IF(COUNT('Schedule'!Q617:Q621)=5,SUM('Schedule'!Q617:Q621),"n.a.")</x:f>
        <x:v>0</x:v>
      </x:c>
      <x:c r="G142" s="4" t="n">
        <x:f>IF(COUNT('Schedule'!M617:M621)=5,SUM('Schedule'!M617:M621),"n.a.")</x:f>
        <x:v>0</x:v>
      </x:c>
      <x:c r="H142" s="4" t="n">
        <x:f>IF(COUNT('Schedule'!S617:S621)=5,SUM('Schedule'!S617:S621),"n.a.")</x:f>
        <x:v>0</x:v>
      </x:c>
      <x:c r="I142" s="4" t="str">
        <x:f>'Schedule'!T617</x:f>
        <x:v>Ready</x:v>
      </x:c>
      <x:c r="J142" s="4"/>
      <x:c r="K142" s="4"/>
      <x:c r="L142" s="4"/>
      <x:c r="M142" s="4"/>
      <x:c r="N142" s="4"/>
      <x:c r="O142" s="4"/>
      <x:c r="P142" s="4"/>
    </x:row>
    <x:row r="143" ht="22" customHeight="1">
      <x:c r="A143" s="2"/>
      <x:c r="B143" s="2"/>
      <x:c r="C143" s="23" t="n">
        <x:v>124</x:v>
      </x:c>
      <x:c r="D143" s="32" t="n">
        <x:f>'Schedule'!D622</x:f>
        <x:v>50072</x:v>
      </x:c>
      <x:c r="E143" s="4" t="n">
        <x:f>'Schedule'!E622</x:f>
        <x:v>500</x:v>
      </x:c>
      <x:c r="F143" s="4" t="n">
        <x:f>IF(COUNT('Schedule'!Q622:Q626)=5,SUM('Schedule'!Q622:Q626),"n.a.")</x:f>
        <x:v>0</x:v>
      </x:c>
      <x:c r="G143" s="4" t="n">
        <x:f>IF(COUNT('Schedule'!M622:M626)=5,SUM('Schedule'!M622:M626),"n.a.")</x:f>
        <x:v>0</x:v>
      </x:c>
      <x:c r="H143" s="4" t="n">
        <x:f>IF(COUNT('Schedule'!S622:S626)=5,SUM('Schedule'!S622:S626),"n.a.")</x:f>
        <x:v>0</x:v>
      </x:c>
      <x:c r="I143" s="4" t="str">
        <x:f>'Schedule'!T622</x:f>
        <x:v>Ready</x:v>
      </x:c>
      <x:c r="J143" s="4"/>
      <x:c r="K143" s="4"/>
      <x:c r="L143" s="4"/>
      <x:c r="M143" s="4"/>
      <x:c r="N143" s="4"/>
      <x:c r="O143" s="4"/>
      <x:c r="P143" s="4"/>
    </x:row>
    <x:row r="144" ht="22" customHeight="1">
      <x:c r="A144" s="2"/>
      <x:c r="B144" s="2"/>
      <x:c r="C144" s="23" t="n">
        <x:v>125</x:v>
      </x:c>
      <x:c r="D144" s="32" t="n">
        <x:f>'Schedule'!D627</x:f>
        <x:v>50100</x:v>
      </x:c>
      <x:c r="E144" s="4" t="n">
        <x:f>'Schedule'!E627</x:f>
        <x:v>500</x:v>
      </x:c>
      <x:c r="F144" s="4" t="n">
        <x:f>IF(COUNT('Schedule'!Q627:Q631)=5,SUM('Schedule'!Q627:Q631),"n.a.")</x:f>
        <x:v>0</x:v>
      </x:c>
      <x:c r="G144" s="4" t="n">
        <x:f>IF(COUNT('Schedule'!M627:M631)=5,SUM('Schedule'!M627:M631),"n.a.")</x:f>
        <x:v>0</x:v>
      </x:c>
      <x:c r="H144" s="4" t="n">
        <x:f>IF(COUNT('Schedule'!S627:S631)=5,SUM('Schedule'!S627:S631),"n.a.")</x:f>
        <x:v>0</x:v>
      </x:c>
      <x:c r="I144" s="4" t="str">
        <x:f>'Schedule'!T627</x:f>
        <x:v>Ready</x:v>
      </x:c>
      <x:c r="J144" s="4"/>
      <x:c r="K144" s="4"/>
      <x:c r="L144" s="4"/>
      <x:c r="M144" s="4"/>
      <x:c r="N144" s="4"/>
      <x:c r="O144" s="4"/>
      <x:c r="P144" s="4"/>
    </x:row>
    <x:row r="145" ht="22" customHeight="1">
      <x:c r="A145" s="2"/>
      <x:c r="B145" s="2"/>
      <x:c r="C145" s="23" t="n">
        <x:v>126</x:v>
      </x:c>
      <x:c r="D145" s="32" t="n">
        <x:f>'Schedule'!D632</x:f>
        <x:v>50131</x:v>
      </x:c>
      <x:c r="E145" s="4" t="n">
        <x:f>'Schedule'!E632</x:f>
        <x:v>500</x:v>
      </x:c>
      <x:c r="F145" s="4" t="n">
        <x:f>IF(COUNT('Schedule'!Q632:Q636)=5,SUM('Schedule'!Q632:Q636),"n.a.")</x:f>
        <x:v>0</x:v>
      </x:c>
      <x:c r="G145" s="4" t="n">
        <x:f>IF(COUNT('Schedule'!M632:M636)=5,SUM('Schedule'!M632:M636),"n.a.")</x:f>
        <x:v>0</x:v>
      </x:c>
      <x:c r="H145" s="4" t="n">
        <x:f>IF(COUNT('Schedule'!S632:S636)=5,SUM('Schedule'!S632:S636),"n.a.")</x:f>
        <x:v>0</x:v>
      </x:c>
      <x:c r="I145" s="4" t="str">
        <x:f>'Schedule'!T632</x:f>
        <x:v>Ready</x:v>
      </x:c>
      <x:c r="J145" s="4"/>
      <x:c r="K145" s="4"/>
      <x:c r="L145" s="4"/>
      <x:c r="M145" s="4"/>
      <x:c r="N145" s="4"/>
      <x:c r="O145" s="4"/>
      <x:c r="P145" s="4"/>
    </x:row>
    <x:row r="146" ht="22" customHeight="1">
      <x:c r="A146" s="2"/>
      <x:c r="B146" s="2"/>
      <x:c r="C146" s="23" t="n">
        <x:v>127</x:v>
      </x:c>
      <x:c r="D146" s="32" t="n">
        <x:f>'Schedule'!D637</x:f>
        <x:v>50161</x:v>
      </x:c>
      <x:c r="E146" s="4" t="n">
        <x:f>'Schedule'!E637</x:f>
        <x:v>500</x:v>
      </x:c>
      <x:c r="F146" s="4" t="n">
        <x:f>IF(COUNT('Schedule'!Q637:Q641)=5,SUM('Schedule'!Q637:Q641),"n.a.")</x:f>
        <x:v>0</x:v>
      </x:c>
      <x:c r="G146" s="4" t="n">
        <x:f>IF(COUNT('Schedule'!M637:M641)=5,SUM('Schedule'!M637:M641),"n.a.")</x:f>
        <x:v>0</x:v>
      </x:c>
      <x:c r="H146" s="4" t="n">
        <x:f>IF(COUNT('Schedule'!S637:S641)=5,SUM('Schedule'!S637:S641),"n.a.")</x:f>
        <x:v>0</x:v>
      </x:c>
      <x:c r="I146" s="4" t="str">
        <x:f>'Schedule'!T637</x:f>
        <x:v>Ready</x:v>
      </x:c>
      <x:c r="J146" s="4"/>
      <x:c r="K146" s="4"/>
      <x:c r="L146" s="4"/>
      <x:c r="M146" s="4"/>
      <x:c r="N146" s="4"/>
      <x:c r="O146" s="4"/>
      <x:c r="P146" s="4"/>
    </x:row>
    <x:row r="147" ht="22" customHeight="1">
      <x:c r="A147" s="2"/>
      <x:c r="B147" s="2"/>
      <x:c r="C147" s="23" t="n">
        <x:v>128</x:v>
      </x:c>
      <x:c r="D147" s="32" t="n">
        <x:f>'Schedule'!D642</x:f>
        <x:v>50192</x:v>
      </x:c>
      <x:c r="E147" s="4" t="n">
        <x:f>'Schedule'!E642</x:f>
        <x:v>500</x:v>
      </x:c>
      <x:c r="F147" s="4" t="n">
        <x:f>IF(COUNT('Schedule'!Q642:Q646)=5,SUM('Schedule'!Q642:Q646),"n.a.")</x:f>
        <x:v>0</x:v>
      </x:c>
      <x:c r="G147" s="4" t="n">
        <x:f>IF(COUNT('Schedule'!M642:M646)=5,SUM('Schedule'!M642:M646),"n.a.")</x:f>
        <x:v>0</x:v>
      </x:c>
      <x:c r="H147" s="4" t="n">
        <x:f>IF(COUNT('Schedule'!S642:S646)=5,SUM('Schedule'!S642:S646),"n.a.")</x:f>
        <x:v>0</x:v>
      </x:c>
      <x:c r="I147" s="4" t="str">
        <x:f>'Schedule'!T642</x:f>
        <x:v>Ready</x:v>
      </x:c>
      <x:c r="J147" s="4"/>
      <x:c r="K147" s="4"/>
      <x:c r="L147" s="4"/>
      <x:c r="M147" s="4"/>
      <x:c r="N147" s="4"/>
      <x:c r="O147" s="4"/>
      <x:c r="P147" s="4"/>
    </x:row>
    <x:row r="148" ht="22" customHeight="1">
      <x:c r="A148" s="2"/>
      <x:c r="B148" s="2"/>
      <x:c r="C148" s="23" t="n">
        <x:v>129</x:v>
      </x:c>
      <x:c r="D148" s="32" t="n">
        <x:f>'Schedule'!D647</x:f>
        <x:v>50222</x:v>
      </x:c>
      <x:c r="E148" s="4" t="n">
        <x:f>'Schedule'!E647</x:f>
        <x:v>500</x:v>
      </x:c>
      <x:c r="F148" s="4" t="n">
        <x:f>IF(COUNT('Schedule'!Q647:Q651)=5,SUM('Schedule'!Q647:Q651),"n.a.")</x:f>
        <x:v>0</x:v>
      </x:c>
      <x:c r="G148" s="4" t="n">
        <x:f>IF(COUNT('Schedule'!M647:M651)=5,SUM('Schedule'!M647:M651),"n.a.")</x:f>
        <x:v>0</x:v>
      </x:c>
      <x:c r="H148" s="4" t="n">
        <x:f>IF(COUNT('Schedule'!S647:S651)=5,SUM('Schedule'!S647:S651),"n.a.")</x:f>
        <x:v>0</x:v>
      </x:c>
      <x:c r="I148" s="4" t="str">
        <x:f>'Schedule'!T647</x:f>
        <x:v>Ready</x:v>
      </x:c>
      <x:c r="J148" s="4"/>
      <x:c r="K148" s="4"/>
      <x:c r="L148" s="4"/>
      <x:c r="M148" s="4"/>
      <x:c r="N148" s="4"/>
      <x:c r="O148" s="4"/>
      <x:c r="P148" s="4"/>
    </x:row>
    <x:row r="149" ht="22" customHeight="1">
      <x:c r="A149" s="2"/>
      <x:c r="B149" s="2"/>
      <x:c r="C149" s="23" t="n">
        <x:v>130</x:v>
      </x:c>
      <x:c r="D149" s="32" t="n">
        <x:f>'Schedule'!D652</x:f>
        <x:v>50253</x:v>
      </x:c>
      <x:c r="E149" s="4" t="n">
        <x:f>'Schedule'!E652</x:f>
        <x:v>500</x:v>
      </x:c>
      <x:c r="F149" s="4" t="n">
        <x:f>IF(COUNT('Schedule'!Q652:Q656)=5,SUM('Schedule'!Q652:Q656),"n.a.")</x:f>
        <x:v>0</x:v>
      </x:c>
      <x:c r="G149" s="4" t="n">
        <x:f>IF(COUNT('Schedule'!M652:M656)=5,SUM('Schedule'!M652:M656),"n.a.")</x:f>
        <x:v>0</x:v>
      </x:c>
      <x:c r="H149" s="4" t="n">
        <x:f>IF(COUNT('Schedule'!S652:S656)=5,SUM('Schedule'!S652:S656),"n.a.")</x:f>
        <x:v>0</x:v>
      </x:c>
      <x:c r="I149" s="4" t="str">
        <x:f>'Schedule'!T652</x:f>
        <x:v>Ready</x:v>
      </x:c>
      <x:c r="J149" s="4"/>
      <x:c r="K149" s="4"/>
      <x:c r="L149" s="4"/>
      <x:c r="M149" s="4"/>
      <x:c r="N149" s="4"/>
      <x:c r="O149" s="4"/>
      <x:c r="P149" s="4"/>
    </x:row>
    <x:row r="150" ht="22" customHeight="1">
      <x:c r="A150" s="2"/>
      <x:c r="B150" s="2"/>
      <x:c r="C150" s="23" t="n">
        <x:v>131</x:v>
      </x:c>
      <x:c r="D150" s="32" t="n">
        <x:f>'Schedule'!D657</x:f>
        <x:v>50284</x:v>
      </x:c>
      <x:c r="E150" s="4" t="n">
        <x:f>'Schedule'!E657</x:f>
        <x:v>500</x:v>
      </x:c>
      <x:c r="F150" s="4" t="n">
        <x:f>IF(COUNT('Schedule'!Q657:Q661)=5,SUM('Schedule'!Q657:Q661),"n.a.")</x:f>
        <x:v>0</x:v>
      </x:c>
      <x:c r="G150" s="4" t="n">
        <x:f>IF(COUNT('Schedule'!M657:M661)=5,SUM('Schedule'!M657:M661),"n.a.")</x:f>
        <x:v>0</x:v>
      </x:c>
      <x:c r="H150" s="4" t="n">
        <x:f>IF(COUNT('Schedule'!S657:S661)=5,SUM('Schedule'!S657:S661),"n.a.")</x:f>
        <x:v>0</x:v>
      </x:c>
      <x:c r="I150" s="4" t="str">
        <x:f>'Schedule'!T657</x:f>
        <x:v>Ready</x:v>
      </x:c>
      <x:c r="J150" s="4"/>
      <x:c r="K150" s="4"/>
      <x:c r="L150" s="4"/>
      <x:c r="M150" s="4"/>
      <x:c r="N150" s="4"/>
      <x:c r="O150" s="4"/>
      <x:c r="P150" s="4"/>
    </x:row>
    <x:row r="151" ht="22" customHeight="1">
      <x:c r="A151" s="2"/>
      <x:c r="B151" s="2"/>
      <x:c r="C151" s="23" t="n">
        <x:v>132</x:v>
      </x:c>
      <x:c r="D151" s="32" t="n">
        <x:f>'Schedule'!D662</x:f>
        <x:v>50314</x:v>
      </x:c>
      <x:c r="E151" s="4" t="n">
        <x:f>'Schedule'!E662</x:f>
        <x:v>500</x:v>
      </x:c>
      <x:c r="F151" s="4" t="n">
        <x:f>IF(COUNT('Schedule'!Q662:Q666)=5,SUM('Schedule'!Q662:Q666),"n.a.")</x:f>
        <x:v>0</x:v>
      </x:c>
      <x:c r="G151" s="4" t="n">
        <x:f>IF(COUNT('Schedule'!M662:M666)=5,SUM('Schedule'!M662:M666),"n.a.")</x:f>
        <x:v>0</x:v>
      </x:c>
      <x:c r="H151" s="4" t="n">
        <x:f>IF(COUNT('Schedule'!S662:S666)=5,SUM('Schedule'!S662:S666),"n.a.")</x:f>
        <x:v>0</x:v>
      </x:c>
      <x:c r="I151" s="4" t="str">
        <x:f>'Schedule'!T662</x:f>
        <x:v>Ready</x:v>
      </x:c>
      <x:c r="J151" s="4"/>
      <x:c r="K151" s="4"/>
      <x:c r="L151" s="4"/>
      <x:c r="M151" s="4"/>
      <x:c r="N151" s="4"/>
      <x:c r="O151" s="4"/>
      <x:c r="P151" s="4"/>
    </x:row>
    <x:row r="152" ht="22" customHeight="1">
      <x:c r="A152" s="2"/>
      <x:c r="B152" s="2"/>
      <x:c r="C152" s="23" t="n">
        <x:v>133</x:v>
      </x:c>
      <x:c r="D152" s="32" t="n">
        <x:f>'Schedule'!D667</x:f>
        <x:v>50345</x:v>
      </x:c>
      <x:c r="E152" s="4" t="n">
        <x:f>'Schedule'!E667</x:f>
        <x:v>500</x:v>
      </x:c>
      <x:c r="F152" s="4" t="n">
        <x:f>IF(COUNT('Schedule'!Q667:Q671)=5,SUM('Schedule'!Q667:Q671),"n.a.")</x:f>
        <x:v>0</x:v>
      </x:c>
      <x:c r="G152" s="4" t="n">
        <x:f>IF(COUNT('Schedule'!M667:M671)=5,SUM('Schedule'!M667:M671),"n.a.")</x:f>
        <x:v>0</x:v>
      </x:c>
      <x:c r="H152" s="4" t="n">
        <x:f>IF(COUNT('Schedule'!S667:S671)=5,SUM('Schedule'!S667:S671),"n.a.")</x:f>
        <x:v>0</x:v>
      </x:c>
      <x:c r="I152" s="4" t="str">
        <x:f>'Schedule'!T667</x:f>
        <x:v>Ready</x:v>
      </x:c>
      <x:c r="J152" s="4"/>
      <x:c r="K152" s="4"/>
      <x:c r="L152" s="4"/>
      <x:c r="M152" s="4"/>
      <x:c r="N152" s="4"/>
      <x:c r="O152" s="4"/>
      <x:c r="P152" s="4"/>
    </x:row>
    <x:row r="153" ht="22" customHeight="1">
      <x:c r="A153" s="2"/>
      <x:c r="B153" s="2"/>
      <x:c r="C153" s="23" t="n">
        <x:v>134</x:v>
      </x:c>
      <x:c r="D153" s="32" t="n">
        <x:f>'Schedule'!D672</x:f>
        <x:v>50375</x:v>
      </x:c>
      <x:c r="E153" s="4" t="n">
        <x:f>'Schedule'!E672</x:f>
        <x:v>500</x:v>
      </x:c>
      <x:c r="F153" s="4" t="n">
        <x:f>IF(COUNT('Schedule'!Q672:Q676)=5,SUM('Schedule'!Q672:Q676),"n.a.")</x:f>
        <x:v>0</x:v>
      </x:c>
      <x:c r="G153" s="4" t="n">
        <x:f>IF(COUNT('Schedule'!M672:M676)=5,SUM('Schedule'!M672:M676),"n.a.")</x:f>
        <x:v>0</x:v>
      </x:c>
      <x:c r="H153" s="4" t="n">
        <x:f>IF(COUNT('Schedule'!S672:S676)=5,SUM('Schedule'!S672:S676),"n.a.")</x:f>
        <x:v>0</x:v>
      </x:c>
      <x:c r="I153" s="4" t="str">
        <x:f>'Schedule'!T672</x:f>
        <x:v>Ready</x:v>
      </x:c>
      <x:c r="J153" s="4"/>
      <x:c r="K153" s="4"/>
      <x:c r="L153" s="4"/>
      <x:c r="M153" s="4"/>
      <x:c r="N153" s="4"/>
      <x:c r="O153" s="4"/>
      <x:c r="P153" s="4"/>
    </x:row>
    <x:row r="154" ht="22" customHeight="1">
      <x:c r="A154" s="2"/>
      <x:c r="B154" s="2"/>
      <x:c r="C154" s="23" t="n">
        <x:v>135</x:v>
      </x:c>
      <x:c r="D154" s="32" t="n">
        <x:f>'Schedule'!D677</x:f>
        <x:v>50406</x:v>
      </x:c>
      <x:c r="E154" s="4" t="n">
        <x:f>'Schedule'!E677</x:f>
        <x:v>500</x:v>
      </x:c>
      <x:c r="F154" s="4" t="n">
        <x:f>IF(COUNT('Schedule'!Q677:Q681)=5,SUM('Schedule'!Q677:Q681),"n.a.")</x:f>
        <x:v>0</x:v>
      </x:c>
      <x:c r="G154" s="4" t="n">
        <x:f>IF(COUNT('Schedule'!M677:M681)=5,SUM('Schedule'!M677:M681),"n.a.")</x:f>
        <x:v>0</x:v>
      </x:c>
      <x:c r="H154" s="4" t="n">
        <x:f>IF(COUNT('Schedule'!S677:S681)=5,SUM('Schedule'!S677:S681),"n.a.")</x:f>
        <x:v>0</x:v>
      </x:c>
      <x:c r="I154" s="4" t="str">
        <x:f>'Schedule'!T677</x:f>
        <x:v>Ready</x:v>
      </x:c>
      <x:c r="J154" s="4"/>
      <x:c r="K154" s="4"/>
      <x:c r="L154" s="4"/>
      <x:c r="M154" s="4"/>
      <x:c r="N154" s="4"/>
      <x:c r="O154" s="4"/>
      <x:c r="P154" s="4"/>
    </x:row>
    <x:row r="155" ht="22" customHeight="1">
      <x:c r="A155" s="2"/>
      <x:c r="B155" s="2"/>
      <x:c r="C155" s="23" t="n">
        <x:v>136</x:v>
      </x:c>
      <x:c r="D155" s="32" t="n">
        <x:f>'Schedule'!D682</x:f>
        <x:v>50437</x:v>
      </x:c>
      <x:c r="E155" s="4" t="n">
        <x:f>'Schedule'!E682</x:f>
        <x:v>500</x:v>
      </x:c>
      <x:c r="F155" s="4" t="n">
        <x:f>IF(COUNT('Schedule'!Q682:Q686)=5,SUM('Schedule'!Q682:Q686),"n.a.")</x:f>
        <x:v>0</x:v>
      </x:c>
      <x:c r="G155" s="4" t="n">
        <x:f>IF(COUNT('Schedule'!M682:M686)=5,SUM('Schedule'!M682:M686),"n.a.")</x:f>
        <x:v>0</x:v>
      </x:c>
      <x:c r="H155" s="4" t="n">
        <x:f>IF(COUNT('Schedule'!S682:S686)=5,SUM('Schedule'!S682:S686),"n.a.")</x:f>
        <x:v>0</x:v>
      </x:c>
      <x:c r="I155" s="4" t="str">
        <x:f>'Schedule'!T682</x:f>
        <x:v>Ready</x:v>
      </x:c>
      <x:c r="J155" s="4"/>
      <x:c r="K155" s="4"/>
      <x:c r="L155" s="4"/>
      <x:c r="M155" s="4"/>
      <x:c r="N155" s="4"/>
      <x:c r="O155" s="4"/>
      <x:c r="P155" s="4"/>
    </x:row>
    <x:row r="156" ht="22" customHeight="1">
      <x:c r="A156" s="2"/>
      <x:c r="B156" s="2"/>
      <x:c r="C156" s="23" t="n">
        <x:v>137</x:v>
      </x:c>
      <x:c r="D156" s="32" t="n">
        <x:f>'Schedule'!D687</x:f>
        <x:v>50465</x:v>
      </x:c>
      <x:c r="E156" s="4" t="n">
        <x:f>'Schedule'!E687</x:f>
        <x:v>500</x:v>
      </x:c>
      <x:c r="F156" s="4" t="n">
        <x:f>IF(COUNT('Schedule'!Q687:Q691)=5,SUM('Schedule'!Q687:Q691),"n.a.")</x:f>
        <x:v>0</x:v>
      </x:c>
      <x:c r="G156" s="4" t="n">
        <x:f>IF(COUNT('Schedule'!M687:M691)=5,SUM('Schedule'!M687:M691),"n.a.")</x:f>
        <x:v>0</x:v>
      </x:c>
      <x:c r="H156" s="4" t="n">
        <x:f>IF(COUNT('Schedule'!S687:S691)=5,SUM('Schedule'!S687:S691),"n.a.")</x:f>
        <x:v>0</x:v>
      </x:c>
      <x:c r="I156" s="4" t="str">
        <x:f>'Schedule'!T687</x:f>
        <x:v>Ready</x:v>
      </x:c>
      <x:c r="J156" s="4"/>
      <x:c r="K156" s="4"/>
      <x:c r="L156" s="4"/>
      <x:c r="M156" s="4"/>
      <x:c r="N156" s="4"/>
      <x:c r="O156" s="4"/>
      <x:c r="P156" s="4"/>
    </x:row>
    <x:row r="157" ht="22" customHeight="1">
      <x:c r="A157" s="2"/>
      <x:c r="B157" s="2"/>
      <x:c r="C157" s="23" t="n">
        <x:v>138</x:v>
      </x:c>
      <x:c r="D157" s="32" t="n">
        <x:f>'Schedule'!D692</x:f>
        <x:v>50496</x:v>
      </x:c>
      <x:c r="E157" s="4" t="n">
        <x:f>'Schedule'!E692</x:f>
        <x:v>500</x:v>
      </x:c>
      <x:c r="F157" s="4" t="n">
        <x:f>IF(COUNT('Schedule'!Q692:Q696)=5,SUM('Schedule'!Q692:Q696),"n.a.")</x:f>
        <x:v>0</x:v>
      </x:c>
      <x:c r="G157" s="4" t="n">
        <x:f>IF(COUNT('Schedule'!M692:M696)=5,SUM('Schedule'!M692:M696),"n.a.")</x:f>
        <x:v>0</x:v>
      </x:c>
      <x:c r="H157" s="4" t="n">
        <x:f>IF(COUNT('Schedule'!S692:S696)=5,SUM('Schedule'!S692:S696),"n.a.")</x:f>
        <x:v>0</x:v>
      </x:c>
      <x:c r="I157" s="4" t="str">
        <x:f>'Schedule'!T692</x:f>
        <x:v>Ready</x:v>
      </x:c>
      <x:c r="J157" s="4"/>
      <x:c r="K157" s="4"/>
      <x:c r="L157" s="4"/>
      <x:c r="M157" s="4"/>
      <x:c r="N157" s="4"/>
      <x:c r="O157" s="4"/>
      <x:c r="P157" s="4"/>
    </x:row>
    <x:row r="158" ht="22" customHeight="1">
      <x:c r="A158" s="2"/>
      <x:c r="B158" s="2"/>
      <x:c r="C158" s="23" t="n">
        <x:v>139</x:v>
      </x:c>
      <x:c r="D158" s="32" t="n">
        <x:f>'Schedule'!D697</x:f>
        <x:v>50526</x:v>
      </x:c>
      <x:c r="E158" s="4" t="n">
        <x:f>'Schedule'!E697</x:f>
        <x:v>500</x:v>
      </x:c>
      <x:c r="F158" s="4" t="n">
        <x:f>IF(COUNT('Schedule'!Q697:Q701)=5,SUM('Schedule'!Q697:Q701),"n.a.")</x:f>
        <x:v>0</x:v>
      </x:c>
      <x:c r="G158" s="4" t="n">
        <x:f>IF(COUNT('Schedule'!M697:M701)=5,SUM('Schedule'!M697:M701),"n.a.")</x:f>
        <x:v>0</x:v>
      </x:c>
      <x:c r="H158" s="4" t="n">
        <x:f>IF(COUNT('Schedule'!S697:S701)=5,SUM('Schedule'!S697:S701),"n.a.")</x:f>
        <x:v>0</x:v>
      </x:c>
      <x:c r="I158" s="4" t="str">
        <x:f>'Schedule'!T697</x:f>
        <x:v>Ready</x:v>
      </x:c>
      <x:c r="J158" s="4"/>
      <x:c r="K158" s="4"/>
      <x:c r="L158" s="4"/>
      <x:c r="M158" s="4"/>
      <x:c r="N158" s="4"/>
      <x:c r="O158" s="4"/>
      <x:c r="P158" s="4"/>
    </x:row>
    <x:row r="159" ht="22" customHeight="1">
      <x:c r="A159" s="2"/>
      <x:c r="B159" s="2"/>
      <x:c r="C159" s="23" t="n">
        <x:v>140</x:v>
      </x:c>
      <x:c r="D159" s="32" t="n">
        <x:f>'Schedule'!D702</x:f>
        <x:v>50557</x:v>
      </x:c>
      <x:c r="E159" s="4" t="n">
        <x:f>'Schedule'!E702</x:f>
        <x:v>500</x:v>
      </x:c>
      <x:c r="F159" s="4" t="n">
        <x:f>IF(COUNT('Schedule'!Q702:Q706)=5,SUM('Schedule'!Q702:Q706),"n.a.")</x:f>
        <x:v>0</x:v>
      </x:c>
      <x:c r="G159" s="4" t="n">
        <x:f>IF(COUNT('Schedule'!M702:M706)=5,SUM('Schedule'!M702:M706),"n.a.")</x:f>
        <x:v>0</x:v>
      </x:c>
      <x:c r="H159" s="4" t="n">
        <x:f>IF(COUNT('Schedule'!S702:S706)=5,SUM('Schedule'!S702:S706),"n.a.")</x:f>
        <x:v>0</x:v>
      </x:c>
      <x:c r="I159" s="4" t="str">
        <x:f>'Schedule'!T702</x:f>
        <x:v>Ready</x:v>
      </x:c>
      <x:c r="J159" s="4"/>
      <x:c r="K159" s="4"/>
      <x:c r="L159" s="4"/>
      <x:c r="M159" s="4"/>
      <x:c r="N159" s="4"/>
      <x:c r="O159" s="4"/>
      <x:c r="P159" s="4"/>
    </x:row>
    <x:row r="160" ht="22" customHeight="1">
      <x:c r="A160" s="2"/>
      <x:c r="B160" s="2"/>
      <x:c r="C160" s="23" t="n">
        <x:v>141</x:v>
      </x:c>
      <x:c r="D160" s="32" t="n">
        <x:f>'Schedule'!D707</x:f>
        <x:v>50587</x:v>
      </x:c>
      <x:c r="E160" s="4" t="n">
        <x:f>'Schedule'!E707</x:f>
        <x:v>500</x:v>
      </x:c>
      <x:c r="F160" s="4" t="n">
        <x:f>IF(COUNT('Schedule'!Q707:Q711)=5,SUM('Schedule'!Q707:Q711),"n.a.")</x:f>
        <x:v>0</x:v>
      </x:c>
      <x:c r="G160" s="4" t="n">
        <x:f>IF(COUNT('Schedule'!M707:M711)=5,SUM('Schedule'!M707:M711),"n.a.")</x:f>
        <x:v>0</x:v>
      </x:c>
      <x:c r="H160" s="4" t="n">
        <x:f>IF(COUNT('Schedule'!S707:S711)=5,SUM('Schedule'!S707:S711),"n.a.")</x:f>
        <x:v>0</x:v>
      </x:c>
      <x:c r="I160" s="4" t="str">
        <x:f>'Schedule'!T707</x:f>
        <x:v>Ready</x:v>
      </x:c>
      <x:c r="J160" s="4"/>
      <x:c r="K160" s="4"/>
      <x:c r="L160" s="4"/>
      <x:c r="M160" s="4"/>
      <x:c r="N160" s="4"/>
      <x:c r="O160" s="4"/>
      <x:c r="P160" s="4"/>
    </x:row>
    <x:row r="161" ht="22" customHeight="1">
      <x:c r="A161" s="2"/>
      <x:c r="B161" s="2"/>
      <x:c r="C161" s="23" t="n">
        <x:v>142</x:v>
      </x:c>
      <x:c r="D161" s="32" t="n">
        <x:f>'Schedule'!D712</x:f>
        <x:v>50618</x:v>
      </x:c>
      <x:c r="E161" s="4" t="n">
        <x:f>'Schedule'!E712</x:f>
        <x:v>500</x:v>
      </x:c>
      <x:c r="F161" s="4" t="n">
        <x:f>IF(COUNT('Schedule'!Q712:Q716)=5,SUM('Schedule'!Q712:Q716),"n.a.")</x:f>
        <x:v>0</x:v>
      </x:c>
      <x:c r="G161" s="4" t="n">
        <x:f>IF(COUNT('Schedule'!M712:M716)=5,SUM('Schedule'!M712:M716),"n.a.")</x:f>
        <x:v>0</x:v>
      </x:c>
      <x:c r="H161" s="4" t="n">
        <x:f>IF(COUNT('Schedule'!S712:S716)=5,SUM('Schedule'!S712:S716),"n.a.")</x:f>
        <x:v>0</x:v>
      </x:c>
      <x:c r="I161" s="4" t="str">
        <x:f>'Schedule'!T712</x:f>
        <x:v>Ready</x:v>
      </x:c>
      <x:c r="J161" s="4"/>
      <x:c r="K161" s="4"/>
      <x:c r="L161" s="4"/>
      <x:c r="M161" s="4"/>
      <x:c r="N161" s="4"/>
      <x:c r="O161" s="4"/>
      <x:c r="P161" s="4"/>
    </x:row>
    <x:row r="162" ht="22" customHeight="1">
      <x:c r="A162" s="2"/>
      <x:c r="B162" s="2"/>
      <x:c r="C162" s="23" t="n">
        <x:v>143</x:v>
      </x:c>
      <x:c r="D162" s="32" t="n">
        <x:f>'Schedule'!D717</x:f>
        <x:v>50649</x:v>
      </x:c>
      <x:c r="E162" s="4" t="n">
        <x:f>'Schedule'!E717</x:f>
        <x:v>500</x:v>
      </x:c>
      <x:c r="F162" s="4" t="n">
        <x:f>IF(COUNT('Schedule'!Q717:Q721)=5,SUM('Schedule'!Q717:Q721),"n.a.")</x:f>
        <x:v>0</x:v>
      </x:c>
      <x:c r="G162" s="4" t="n">
        <x:f>IF(COUNT('Schedule'!M717:M721)=5,SUM('Schedule'!M717:M721),"n.a.")</x:f>
        <x:v>0</x:v>
      </x:c>
      <x:c r="H162" s="4" t="n">
        <x:f>IF(COUNT('Schedule'!S717:S721)=5,SUM('Schedule'!S717:S721),"n.a.")</x:f>
        <x:v>0</x:v>
      </x:c>
      <x:c r="I162" s="4" t="str">
        <x:f>'Schedule'!T717</x:f>
        <x:v>Ready</x:v>
      </x:c>
      <x:c r="J162" s="4"/>
      <x:c r="K162" s="4"/>
      <x:c r="L162" s="4"/>
      <x:c r="M162" s="4"/>
      <x:c r="N162" s="4"/>
      <x:c r="O162" s="4"/>
      <x:c r="P162" s="4"/>
    </x:row>
    <x:row r="163" ht="22" customHeight="1">
      <x:c r="A163" s="2"/>
      <x:c r="B163" s="2"/>
      <x:c r="C163" s="23" t="n">
        <x:v>144</x:v>
      </x:c>
      <x:c r="D163" s="32" t="n">
        <x:f>'Schedule'!D722</x:f>
        <x:v>50679</x:v>
      </x:c>
      <x:c r="E163" s="4" t="n">
        <x:f>'Schedule'!E722</x:f>
        <x:v>500</x:v>
      </x:c>
      <x:c r="F163" s="4" t="n">
        <x:f>IF(COUNT('Schedule'!Q722:Q726)=5,SUM('Schedule'!Q722:Q726),"n.a.")</x:f>
        <x:v>0</x:v>
      </x:c>
      <x:c r="G163" s="4" t="n">
        <x:f>IF(COUNT('Schedule'!M722:M726)=5,SUM('Schedule'!M722:M726),"n.a.")</x:f>
        <x:v>0</x:v>
      </x:c>
      <x:c r="H163" s="4" t="n">
        <x:f>IF(COUNT('Schedule'!S722:S726)=5,SUM('Schedule'!S722:S726),"n.a.")</x:f>
        <x:v>0</x:v>
      </x:c>
      <x:c r="I163" s="4" t="str">
        <x:f>'Schedule'!T722</x:f>
        <x:v>Ready</x:v>
      </x:c>
      <x:c r="J163" s="4"/>
      <x:c r="K163" s="4"/>
      <x:c r="L163" s="4"/>
      <x:c r="M163" s="4"/>
      <x:c r="N163" s="4"/>
      <x:c r="O163" s="4"/>
      <x:c r="P163" s="4"/>
    </x:row>
    <x:row r="164" ht="22" customHeight="1">
      <x:c r="A164" s="2"/>
      <x:c r="B164" s="2"/>
      <x:c r="C164" s="23" t="n">
        <x:v>145</x:v>
      </x:c>
      <x:c r="D164" s="32" t="n">
        <x:f>'Schedule'!D727</x:f>
        <x:v>50710</x:v>
      </x:c>
      <x:c r="E164" s="4" t="n">
        <x:f>'Schedule'!E727</x:f>
        <x:v>500</x:v>
      </x:c>
      <x:c r="F164" s="4" t="n">
        <x:f>IF(COUNT('Schedule'!Q727:Q731)=5,SUM('Schedule'!Q727:Q731),"n.a.")</x:f>
        <x:v>0</x:v>
      </x:c>
      <x:c r="G164" s="4" t="n">
        <x:f>IF(COUNT('Schedule'!M727:M731)=5,SUM('Schedule'!M727:M731),"n.a.")</x:f>
        <x:v>0</x:v>
      </x:c>
      <x:c r="H164" s="4" t="n">
        <x:f>IF(COUNT('Schedule'!S727:S731)=5,SUM('Schedule'!S727:S731),"n.a.")</x:f>
        <x:v>0</x:v>
      </x:c>
      <x:c r="I164" s="4" t="str">
        <x:f>'Schedule'!T727</x:f>
        <x:v>Ready</x:v>
      </x:c>
      <x:c r="J164" s="4"/>
      <x:c r="K164" s="4"/>
      <x:c r="L164" s="4"/>
      <x:c r="M164" s="4"/>
      <x:c r="N164" s="4"/>
      <x:c r="O164" s="4"/>
      <x:c r="P164" s="4"/>
    </x:row>
    <x:row r="165" ht="22" customHeight="1">
      <x:c r="A165" s="2"/>
      <x:c r="B165" s="2"/>
      <x:c r="C165" s="23" t="n">
        <x:v>146</x:v>
      </x:c>
      <x:c r="D165" s="32" t="n">
        <x:f>'Schedule'!D732</x:f>
        <x:v>50740</x:v>
      </x:c>
      <x:c r="E165" s="4" t="n">
        <x:f>'Schedule'!E732</x:f>
        <x:v>500</x:v>
      </x:c>
      <x:c r="F165" s="4" t="n">
        <x:f>IF(COUNT('Schedule'!Q732:Q736)=5,SUM('Schedule'!Q732:Q736),"n.a.")</x:f>
        <x:v>0</x:v>
      </x:c>
      <x:c r="G165" s="4" t="n">
        <x:f>IF(COUNT('Schedule'!M732:M736)=5,SUM('Schedule'!M732:M736),"n.a.")</x:f>
        <x:v>0</x:v>
      </x:c>
      <x:c r="H165" s="4" t="n">
        <x:f>IF(COUNT('Schedule'!S732:S736)=5,SUM('Schedule'!S732:S736),"n.a.")</x:f>
        <x:v>0</x:v>
      </x:c>
      <x:c r="I165" s="4" t="str">
        <x:f>'Schedule'!T732</x:f>
        <x:v>Ready</x:v>
      </x:c>
      <x:c r="J165" s="4"/>
      <x:c r="K165" s="4"/>
      <x:c r="L165" s="4"/>
      <x:c r="M165" s="4"/>
      <x:c r="N165" s="4"/>
      <x:c r="O165" s="4"/>
      <x:c r="P165" s="4"/>
    </x:row>
    <x:row r="166" ht="22" customHeight="1">
      <x:c r="A166" s="2"/>
      <x:c r="B166" s="2"/>
      <x:c r="C166" s="23" t="n">
        <x:v>147</x:v>
      </x:c>
      <x:c r="D166" s="32" t="n">
        <x:f>'Schedule'!D737</x:f>
        <x:v>50771</x:v>
      </x:c>
      <x:c r="E166" s="4" t="n">
        <x:f>'Schedule'!E737</x:f>
        <x:v>500</x:v>
      </x:c>
      <x:c r="F166" s="4" t="n">
        <x:f>IF(COUNT('Schedule'!Q737:Q741)=5,SUM('Schedule'!Q737:Q741),"n.a.")</x:f>
        <x:v>0</x:v>
      </x:c>
      <x:c r="G166" s="4" t="n">
        <x:f>IF(COUNT('Schedule'!M737:M741)=5,SUM('Schedule'!M737:M741),"n.a.")</x:f>
        <x:v>0</x:v>
      </x:c>
      <x:c r="H166" s="4" t="n">
        <x:f>IF(COUNT('Schedule'!S737:S741)=5,SUM('Schedule'!S737:S741),"n.a.")</x:f>
        <x:v>0</x:v>
      </x:c>
      <x:c r="I166" s="4" t="str">
        <x:f>'Schedule'!T737</x:f>
        <x:v>Ready</x:v>
      </x:c>
      <x:c r="J166" s="4"/>
      <x:c r="K166" s="4"/>
      <x:c r="L166" s="4"/>
      <x:c r="M166" s="4"/>
      <x:c r="N166" s="4"/>
      <x:c r="O166" s="4"/>
      <x:c r="P166" s="4"/>
    </x:row>
    <x:row r="167" ht="22" customHeight="1">
      <x:c r="A167" s="2"/>
      <x:c r="B167" s="2"/>
      <x:c r="C167" s="23" t="n">
        <x:v>148</x:v>
      </x:c>
      <x:c r="D167" s="32" t="n">
        <x:f>'Schedule'!D742</x:f>
        <x:v>50802</x:v>
      </x:c>
      <x:c r="E167" s="4" t="n">
        <x:f>'Schedule'!E742</x:f>
        <x:v>500</x:v>
      </x:c>
      <x:c r="F167" s="4" t="n">
        <x:f>IF(COUNT('Schedule'!Q742:Q746)=5,SUM('Schedule'!Q742:Q746),"n.a.")</x:f>
        <x:v>0</x:v>
      </x:c>
      <x:c r="G167" s="4" t="n">
        <x:f>IF(COUNT('Schedule'!M742:M746)=5,SUM('Schedule'!M742:M746),"n.a.")</x:f>
        <x:v>0</x:v>
      </x:c>
      <x:c r="H167" s="4" t="n">
        <x:f>IF(COUNT('Schedule'!S742:S746)=5,SUM('Schedule'!S742:S746),"n.a.")</x:f>
        <x:v>0</x:v>
      </x:c>
      <x:c r="I167" s="4" t="str">
        <x:f>'Schedule'!T742</x:f>
        <x:v>Ready</x:v>
      </x:c>
      <x:c r="J167" s="4"/>
      <x:c r="K167" s="4"/>
      <x:c r="L167" s="4"/>
      <x:c r="M167" s="4"/>
      <x:c r="N167" s="4"/>
      <x:c r="O167" s="4"/>
      <x:c r="P167" s="4"/>
    </x:row>
    <x:row r="168" ht="22" customHeight="1">
      <x:c r="A168" s="2"/>
      <x:c r="B168" s="2"/>
      <x:c r="C168" s="23" t="n">
        <x:v>149</x:v>
      </x:c>
      <x:c r="D168" s="32" t="n">
        <x:f>'Schedule'!D747</x:f>
        <x:v>50830</x:v>
      </x:c>
      <x:c r="E168" s="4" t="n">
        <x:f>'Schedule'!E747</x:f>
        <x:v>500</x:v>
      </x:c>
      <x:c r="F168" s="4" t="n">
        <x:f>IF(COUNT('Schedule'!Q747:Q751)=5,SUM('Schedule'!Q747:Q751),"n.a.")</x:f>
        <x:v>0</x:v>
      </x:c>
      <x:c r="G168" s="4" t="n">
        <x:f>IF(COUNT('Schedule'!M747:M751)=5,SUM('Schedule'!M747:M751),"n.a.")</x:f>
        <x:v>0</x:v>
      </x:c>
      <x:c r="H168" s="4" t="n">
        <x:f>IF(COUNT('Schedule'!S747:S751)=5,SUM('Schedule'!S747:S751),"n.a.")</x:f>
        <x:v>0</x:v>
      </x:c>
      <x:c r="I168" s="4" t="str">
        <x:f>'Schedule'!T747</x:f>
        <x:v>Ready</x:v>
      </x:c>
      <x:c r="J168" s="4"/>
      <x:c r="K168" s="4"/>
      <x:c r="L168" s="4"/>
      <x:c r="M168" s="4"/>
      <x:c r="N168" s="4"/>
      <x:c r="O168" s="4"/>
      <x:c r="P168" s="4"/>
    </x:row>
    <x:row r="169" ht="22" customHeight="1">
      <x:c r="A169" s="2"/>
      <x:c r="B169" s="2"/>
      <x:c r="C169" s="23" t="n">
        <x:v>150</x:v>
      </x:c>
      <x:c r="D169" s="32" t="n">
        <x:f>'Schedule'!D752</x:f>
        <x:v>50861</x:v>
      </x:c>
      <x:c r="E169" s="4" t="n">
        <x:f>'Schedule'!E752</x:f>
        <x:v>500</x:v>
      </x:c>
      <x:c r="F169" s="4" t="n">
        <x:f>IF(COUNT('Schedule'!Q752:Q756)=5,SUM('Schedule'!Q752:Q756),"n.a.")</x:f>
        <x:v>0</x:v>
      </x:c>
      <x:c r="G169" s="4" t="n">
        <x:f>IF(COUNT('Schedule'!M752:M756)=5,SUM('Schedule'!M752:M756),"n.a.")</x:f>
        <x:v>0</x:v>
      </x:c>
      <x:c r="H169" s="4" t="n">
        <x:f>IF(COUNT('Schedule'!S752:S756)=5,SUM('Schedule'!S752:S756),"n.a.")</x:f>
        <x:v>0</x:v>
      </x:c>
      <x:c r="I169" s="4" t="str">
        <x:f>'Schedule'!T752</x:f>
        <x:v>Ready</x:v>
      </x:c>
      <x:c r="J169" s="4"/>
      <x:c r="K169" s="4"/>
      <x:c r="L169" s="4"/>
      <x:c r="M169" s="4"/>
      <x:c r="N169" s="4"/>
      <x:c r="O169" s="4"/>
      <x:c r="P169" s="4"/>
    </x:row>
    <x:row r="170" ht="22" customHeight="1">
      <x:c r="A170" s="2"/>
      <x:c r="B170" s="2"/>
      <x:c r="C170" s="23" t="n">
        <x:v>151</x:v>
      </x:c>
      <x:c r="D170" s="32" t="n">
        <x:f>'Schedule'!D757</x:f>
        <x:v>50891</x:v>
      </x:c>
      <x:c r="E170" s="4" t="n">
        <x:f>'Schedule'!E757</x:f>
        <x:v>500</x:v>
      </x:c>
      <x:c r="F170" s="4" t="n">
        <x:f>IF(COUNT('Schedule'!Q757:Q761)=5,SUM('Schedule'!Q757:Q761),"n.a.")</x:f>
        <x:v>0</x:v>
      </x:c>
      <x:c r="G170" s="4" t="n">
        <x:f>IF(COUNT('Schedule'!M757:M761)=5,SUM('Schedule'!M757:M761),"n.a.")</x:f>
        <x:v>0</x:v>
      </x:c>
      <x:c r="H170" s="4" t="n">
        <x:f>IF(COUNT('Schedule'!S757:S761)=5,SUM('Schedule'!S757:S761),"n.a.")</x:f>
        <x:v>0</x:v>
      </x:c>
      <x:c r="I170" s="4" t="str">
        <x:f>'Schedule'!T757</x:f>
        <x:v>Ready</x:v>
      </x:c>
      <x:c r="J170" s="4"/>
      <x:c r="K170" s="4"/>
      <x:c r="L170" s="4"/>
      <x:c r="M170" s="4"/>
      <x:c r="N170" s="4"/>
      <x:c r="O170" s="4"/>
      <x:c r="P170" s="4"/>
    </x:row>
    <x:row r="171" ht="22" customHeight="1">
      <x:c r="A171" s="2"/>
      <x:c r="B171" s="2"/>
      <x:c r="C171" s="23" t="n">
        <x:v>152</x:v>
      </x:c>
      <x:c r="D171" s="32" t="n">
        <x:f>'Schedule'!D762</x:f>
        <x:v>50922</x:v>
      </x:c>
      <x:c r="E171" s="4" t="n">
        <x:f>'Schedule'!E762</x:f>
        <x:v>500</x:v>
      </x:c>
      <x:c r="F171" s="4" t="n">
        <x:f>IF(COUNT('Schedule'!Q762:Q766)=5,SUM('Schedule'!Q762:Q766),"n.a.")</x:f>
        <x:v>0</x:v>
      </x:c>
      <x:c r="G171" s="4" t="n">
        <x:f>IF(COUNT('Schedule'!M762:M766)=5,SUM('Schedule'!M762:M766),"n.a.")</x:f>
        <x:v>0</x:v>
      </x:c>
      <x:c r="H171" s="4" t="n">
        <x:f>IF(COUNT('Schedule'!S762:S766)=5,SUM('Schedule'!S762:S766),"n.a.")</x:f>
        <x:v>0</x:v>
      </x:c>
      <x:c r="I171" s="4" t="str">
        <x:f>'Schedule'!T762</x:f>
        <x:v>Ready</x:v>
      </x:c>
      <x:c r="J171" s="4"/>
      <x:c r="K171" s="4"/>
      <x:c r="L171" s="4"/>
      <x:c r="M171" s="4"/>
      <x:c r="N171" s="4"/>
      <x:c r="O171" s="4"/>
      <x:c r="P171" s="4"/>
    </x:row>
    <x:row r="172" ht="22" customHeight="1">
      <x:c r="A172" s="2"/>
      <x:c r="B172" s="2"/>
      <x:c r="C172" s="23" t="n">
        <x:v>153</x:v>
      </x:c>
      <x:c r="D172" s="32" t="n">
        <x:f>'Schedule'!D767</x:f>
        <x:v>50952</x:v>
      </x:c>
      <x:c r="E172" s="4" t="n">
        <x:f>'Schedule'!E767</x:f>
        <x:v>500</x:v>
      </x:c>
      <x:c r="F172" s="4" t="n">
        <x:f>IF(COUNT('Schedule'!Q767:Q771)=5,SUM('Schedule'!Q767:Q771),"n.a.")</x:f>
        <x:v>0</x:v>
      </x:c>
      <x:c r="G172" s="4" t="n">
        <x:f>IF(COUNT('Schedule'!M767:M771)=5,SUM('Schedule'!M767:M771),"n.a.")</x:f>
        <x:v>0</x:v>
      </x:c>
      <x:c r="H172" s="4" t="n">
        <x:f>IF(COUNT('Schedule'!S767:S771)=5,SUM('Schedule'!S767:S771),"n.a.")</x:f>
        <x:v>0</x:v>
      </x:c>
      <x:c r="I172" s="4" t="str">
        <x:f>'Schedule'!T767</x:f>
        <x:v>Ready</x:v>
      </x:c>
      <x:c r="J172" s="4"/>
      <x:c r="K172" s="4"/>
      <x:c r="L172" s="4"/>
      <x:c r="M172" s="4"/>
      <x:c r="N172" s="4"/>
      <x:c r="O172" s="4"/>
      <x:c r="P172" s="4"/>
    </x:row>
    <x:row r="173" ht="22" customHeight="1">
      <x:c r="A173" s="2"/>
      <x:c r="B173" s="2"/>
      <x:c r="C173" s="23" t="n">
        <x:v>154</x:v>
      </x:c>
      <x:c r="D173" s="32" t="n">
        <x:f>'Schedule'!D772</x:f>
        <x:v>50983</x:v>
      </x:c>
      <x:c r="E173" s="4" t="n">
        <x:f>'Schedule'!E772</x:f>
        <x:v>500</x:v>
      </x:c>
      <x:c r="F173" s="4" t="n">
        <x:f>IF(COUNT('Schedule'!Q772:Q776)=5,SUM('Schedule'!Q772:Q776),"n.a.")</x:f>
        <x:v>0</x:v>
      </x:c>
      <x:c r="G173" s="4" t="n">
        <x:f>IF(COUNT('Schedule'!M772:M776)=5,SUM('Schedule'!M772:M776),"n.a.")</x:f>
        <x:v>0</x:v>
      </x:c>
      <x:c r="H173" s="4" t="n">
        <x:f>IF(COUNT('Schedule'!S772:S776)=5,SUM('Schedule'!S772:S776),"n.a.")</x:f>
        <x:v>0</x:v>
      </x:c>
      <x:c r="I173" s="4" t="str">
        <x:f>'Schedule'!T772</x:f>
        <x:v>Ready</x:v>
      </x:c>
      <x:c r="J173" s="4"/>
      <x:c r="K173" s="4"/>
      <x:c r="L173" s="4"/>
      <x:c r="M173" s="4"/>
      <x:c r="N173" s="4"/>
      <x:c r="O173" s="4"/>
      <x:c r="P173" s="4"/>
    </x:row>
    <x:row r="174" ht="22" customHeight="1">
      <x:c r="A174" s="2"/>
      <x:c r="B174" s="2"/>
      <x:c r="C174" s="23" t="n">
        <x:v>155</x:v>
      </x:c>
      <x:c r="D174" s="32" t="n">
        <x:f>'Schedule'!D777</x:f>
        <x:v>51014</x:v>
      </x:c>
      <x:c r="E174" s="4" t="n">
        <x:f>'Schedule'!E777</x:f>
        <x:v>500</x:v>
      </x:c>
      <x:c r="F174" s="4" t="n">
        <x:f>IF(COUNT('Schedule'!Q777:Q781)=5,SUM('Schedule'!Q777:Q781),"n.a.")</x:f>
        <x:v>0</x:v>
      </x:c>
      <x:c r="G174" s="4" t="n">
        <x:f>IF(COUNT('Schedule'!M777:M781)=5,SUM('Schedule'!M777:M781),"n.a.")</x:f>
        <x:v>0</x:v>
      </x:c>
      <x:c r="H174" s="4" t="n">
        <x:f>IF(COUNT('Schedule'!S777:S781)=5,SUM('Schedule'!S777:S781),"n.a.")</x:f>
        <x:v>0</x:v>
      </x:c>
      <x:c r="I174" s="4" t="str">
        <x:f>'Schedule'!T777</x:f>
        <x:v>Ready</x:v>
      </x:c>
      <x:c r="J174" s="4"/>
      <x:c r="K174" s="4"/>
      <x:c r="L174" s="4"/>
      <x:c r="M174" s="4"/>
      <x:c r="N174" s="4"/>
      <x:c r="O174" s="4"/>
      <x:c r="P174" s="4"/>
    </x:row>
    <x:row r="175" ht="22" customHeight="1">
      <x:c r="A175" s="2"/>
      <x:c r="B175" s="2"/>
      <x:c r="C175" s="23" t="n">
        <x:v>156</x:v>
      </x:c>
      <x:c r="D175" s="32" t="n">
        <x:f>'Schedule'!D782</x:f>
        <x:v>51044</x:v>
      </x:c>
      <x:c r="E175" s="4" t="n">
        <x:f>'Schedule'!E782</x:f>
        <x:v>500</x:v>
      </x:c>
      <x:c r="F175" s="4" t="n">
        <x:f>IF(COUNT('Schedule'!Q782:Q786)=5,SUM('Schedule'!Q782:Q786),"n.a.")</x:f>
        <x:v>0</x:v>
      </x:c>
      <x:c r="G175" s="4" t="n">
        <x:f>IF(COUNT('Schedule'!M782:M786)=5,SUM('Schedule'!M782:M786),"n.a.")</x:f>
        <x:v>0</x:v>
      </x:c>
      <x:c r="H175" s="4" t="n">
        <x:f>IF(COUNT('Schedule'!S782:S786)=5,SUM('Schedule'!S782:S786),"n.a.")</x:f>
        <x:v>0</x:v>
      </x:c>
      <x:c r="I175" s="4" t="str">
        <x:f>'Schedule'!T782</x:f>
        <x:v>Ready</x:v>
      </x:c>
      <x:c r="J175" s="4"/>
      <x:c r="K175" s="4"/>
      <x:c r="L175" s="4"/>
      <x:c r="M175" s="4"/>
      <x:c r="N175" s="4"/>
      <x:c r="O175" s="4"/>
      <x:c r="P175" s="4"/>
    </x:row>
    <x:row r="176" ht="22" customHeight="1">
      <x:c r="A176" s="2"/>
      <x:c r="B176" s="2"/>
      <x:c r="C176" s="23" t="n">
        <x:v>157</x:v>
      </x:c>
      <x:c r="D176" s="32" t="n">
        <x:f>'Schedule'!D787</x:f>
        <x:v>51075</x:v>
      </x:c>
      <x:c r="E176" s="4" t="n">
        <x:f>'Schedule'!E787</x:f>
        <x:v>500</x:v>
      </x:c>
      <x:c r="F176" s="4" t="n">
        <x:f>IF(COUNT('Schedule'!Q787:Q791)=5,SUM('Schedule'!Q787:Q791),"n.a.")</x:f>
        <x:v>0</x:v>
      </x:c>
      <x:c r="G176" s="4" t="n">
        <x:f>IF(COUNT('Schedule'!M787:M791)=5,SUM('Schedule'!M787:M791),"n.a.")</x:f>
        <x:v>0</x:v>
      </x:c>
      <x:c r="H176" s="4" t="n">
        <x:f>IF(COUNT('Schedule'!S787:S791)=5,SUM('Schedule'!S787:S791),"n.a.")</x:f>
        <x:v>0</x:v>
      </x:c>
      <x:c r="I176" s="4" t="str">
        <x:f>'Schedule'!T787</x:f>
        <x:v>Ready</x:v>
      </x:c>
      <x:c r="J176" s="4"/>
      <x:c r="K176" s="4"/>
      <x:c r="L176" s="4"/>
      <x:c r="M176" s="4"/>
      <x:c r="N176" s="4"/>
      <x:c r="O176" s="4"/>
      <x:c r="P176" s="4"/>
    </x:row>
    <x:row r="177" ht="22" customHeight="1">
      <x:c r="A177" s="2"/>
      <x:c r="B177" s="2"/>
      <x:c r="C177" s="23" t="n">
        <x:v>158</x:v>
      </x:c>
      <x:c r="D177" s="32" t="n">
        <x:f>'Schedule'!D792</x:f>
        <x:v>51105</x:v>
      </x:c>
      <x:c r="E177" s="4" t="n">
        <x:f>'Schedule'!E792</x:f>
        <x:v>500</x:v>
      </x:c>
      <x:c r="F177" s="4" t="n">
        <x:f>IF(COUNT('Schedule'!Q792:Q796)=5,SUM('Schedule'!Q792:Q796),"n.a.")</x:f>
        <x:v>0</x:v>
      </x:c>
      <x:c r="G177" s="4" t="n">
        <x:f>IF(COUNT('Schedule'!M792:M796)=5,SUM('Schedule'!M792:M796),"n.a.")</x:f>
        <x:v>0</x:v>
      </x:c>
      <x:c r="H177" s="4" t="n">
        <x:f>IF(COUNT('Schedule'!S792:S796)=5,SUM('Schedule'!S792:S796),"n.a.")</x:f>
        <x:v>0</x:v>
      </x:c>
      <x:c r="I177" s="4" t="str">
        <x:f>'Schedule'!T792</x:f>
        <x:v>Ready</x:v>
      </x:c>
      <x:c r="J177" s="4"/>
      <x:c r="K177" s="4"/>
      <x:c r="L177" s="4"/>
      <x:c r="M177" s="4"/>
      <x:c r="N177" s="4"/>
      <x:c r="O177" s="4"/>
      <x:c r="P177" s="4"/>
    </x:row>
    <x:row r="178" ht="22" customHeight="1">
      <x:c r="A178" s="2"/>
      <x:c r="B178" s="2"/>
      <x:c r="C178" s="23" t="n">
        <x:v>159</x:v>
      </x:c>
      <x:c r="D178" s="32" t="n">
        <x:f>'Schedule'!D797</x:f>
        <x:v>51136</x:v>
      </x:c>
      <x:c r="E178" s="4" t="n">
        <x:f>'Schedule'!E797</x:f>
        <x:v>500</x:v>
      </x:c>
      <x:c r="F178" s="4" t="n">
        <x:f>IF(COUNT('Schedule'!Q797:Q801)=5,SUM('Schedule'!Q797:Q801),"n.a.")</x:f>
        <x:v>0</x:v>
      </x:c>
      <x:c r="G178" s="4" t="n">
        <x:f>IF(COUNT('Schedule'!M797:M801)=5,SUM('Schedule'!M797:M801),"n.a.")</x:f>
        <x:v>0</x:v>
      </x:c>
      <x:c r="H178" s="4" t="n">
        <x:f>IF(COUNT('Schedule'!S797:S801)=5,SUM('Schedule'!S797:S801),"n.a.")</x:f>
        <x:v>0</x:v>
      </x:c>
      <x:c r="I178" s="4" t="str">
        <x:f>'Schedule'!T797</x:f>
        <x:v>Ready</x:v>
      </x:c>
      <x:c r="J178" s="4"/>
      <x:c r="K178" s="4"/>
      <x:c r="L178" s="4"/>
      <x:c r="M178" s="4"/>
      <x:c r="N178" s="4"/>
      <x:c r="O178" s="4"/>
      <x:c r="P178" s="4"/>
    </x:row>
    <x:row r="179" ht="22" customHeight="1">
      <x:c r="A179" s="2"/>
      <x:c r="B179" s="2"/>
      <x:c r="C179" s="23" t="n">
        <x:v>160</x:v>
      </x:c>
      <x:c r="D179" s="32" t="n">
        <x:f>'Schedule'!D802</x:f>
        <x:v>51167</x:v>
      </x:c>
      <x:c r="E179" s="4" t="n">
        <x:f>'Schedule'!E802</x:f>
        <x:v>500</x:v>
      </x:c>
      <x:c r="F179" s="4" t="n">
        <x:f>IF(COUNT('Schedule'!Q802:Q806)=5,SUM('Schedule'!Q802:Q806),"n.a.")</x:f>
        <x:v>0</x:v>
      </x:c>
      <x:c r="G179" s="4" t="n">
        <x:f>IF(COUNT('Schedule'!M802:M806)=5,SUM('Schedule'!M802:M806),"n.a.")</x:f>
        <x:v>0</x:v>
      </x:c>
      <x:c r="H179" s="4" t="n">
        <x:f>IF(COUNT('Schedule'!S802:S806)=5,SUM('Schedule'!S802:S806),"n.a.")</x:f>
        <x:v>0</x:v>
      </x:c>
      <x:c r="I179" s="4" t="str">
        <x:f>'Schedule'!T802</x:f>
        <x:v>Ready</x:v>
      </x:c>
      <x:c r="J179" s="4"/>
      <x:c r="K179" s="4"/>
      <x:c r="L179" s="4"/>
      <x:c r="M179" s="4"/>
      <x:c r="N179" s="4"/>
      <x:c r="O179" s="4"/>
      <x:c r="P179" s="4"/>
    </x:row>
    <x:row r="180" ht="22" customHeight="1">
      <x:c r="A180" s="2"/>
      <x:c r="B180" s="2"/>
      <x:c r="C180" s="23" t="n">
        <x:v>161</x:v>
      </x:c>
      <x:c r="D180" s="32" t="n">
        <x:f>'Schedule'!D807</x:f>
        <x:v>51196</x:v>
      </x:c>
      <x:c r="E180" s="4" t="n">
        <x:f>'Schedule'!E807</x:f>
        <x:v>500</x:v>
      </x:c>
      <x:c r="F180" s="4" t="n">
        <x:f>IF(COUNT('Schedule'!Q807:Q811)=5,SUM('Schedule'!Q807:Q811),"n.a.")</x:f>
        <x:v>0</x:v>
      </x:c>
      <x:c r="G180" s="4" t="n">
        <x:f>IF(COUNT('Schedule'!M807:M811)=5,SUM('Schedule'!M807:M811),"n.a.")</x:f>
        <x:v>0</x:v>
      </x:c>
      <x:c r="H180" s="4" t="n">
        <x:f>IF(COUNT('Schedule'!S807:S811)=5,SUM('Schedule'!S807:S811),"n.a.")</x:f>
        <x:v>0</x:v>
      </x:c>
      <x:c r="I180" s="4" t="str">
        <x:f>'Schedule'!T807</x:f>
        <x:v>Ready</x:v>
      </x:c>
      <x:c r="J180" s="4"/>
      <x:c r="K180" s="4"/>
      <x:c r="L180" s="4"/>
      <x:c r="M180" s="4"/>
      <x:c r="N180" s="4"/>
      <x:c r="O180" s="4"/>
      <x:c r="P180" s="4"/>
    </x:row>
    <x:row r="181" ht="22" customHeight="1">
      <x:c r="A181" s="2"/>
      <x:c r="B181" s="2"/>
      <x:c r="C181" s="23" t="n">
        <x:v>162</x:v>
      </x:c>
      <x:c r="D181" s="32" t="n">
        <x:f>'Schedule'!D812</x:f>
        <x:v>51227</x:v>
      </x:c>
      <x:c r="E181" s="4" t="n">
        <x:f>'Schedule'!E812</x:f>
        <x:v>500</x:v>
      </x:c>
      <x:c r="F181" s="4" t="n">
        <x:f>IF(COUNT('Schedule'!Q812:Q816)=5,SUM('Schedule'!Q812:Q816),"n.a.")</x:f>
        <x:v>0</x:v>
      </x:c>
      <x:c r="G181" s="4" t="n">
        <x:f>IF(COUNT('Schedule'!M812:M816)=5,SUM('Schedule'!M812:M816),"n.a.")</x:f>
        <x:v>0</x:v>
      </x:c>
      <x:c r="H181" s="4" t="n">
        <x:f>IF(COUNT('Schedule'!S812:S816)=5,SUM('Schedule'!S812:S816),"n.a.")</x:f>
        <x:v>0</x:v>
      </x:c>
      <x:c r="I181" s="4" t="str">
        <x:f>'Schedule'!T812</x:f>
        <x:v>Ready</x:v>
      </x:c>
      <x:c r="J181" s="4"/>
      <x:c r="K181" s="4"/>
      <x:c r="L181" s="4"/>
      <x:c r="M181" s="4"/>
      <x:c r="N181" s="4"/>
      <x:c r="O181" s="4"/>
      <x:c r="P181" s="4"/>
    </x:row>
    <x:row r="182" ht="22" customHeight="1">
      <x:c r="A182" s="2"/>
      <x:c r="B182" s="2"/>
      <x:c r="C182" s="23" t="n">
        <x:v>163</x:v>
      </x:c>
      <x:c r="D182" s="32" t="n">
        <x:f>'Schedule'!D817</x:f>
        <x:v>51257</x:v>
      </x:c>
      <x:c r="E182" s="4" t="n">
        <x:f>'Schedule'!E817</x:f>
        <x:v>500</x:v>
      </x:c>
      <x:c r="F182" s="4" t="n">
        <x:f>IF(COUNT('Schedule'!Q817:Q821)=5,SUM('Schedule'!Q817:Q821),"n.a.")</x:f>
        <x:v>0</x:v>
      </x:c>
      <x:c r="G182" s="4" t="n">
        <x:f>IF(COUNT('Schedule'!M817:M821)=5,SUM('Schedule'!M817:M821),"n.a.")</x:f>
        <x:v>0</x:v>
      </x:c>
      <x:c r="H182" s="4" t="n">
        <x:f>IF(COUNT('Schedule'!S817:S821)=5,SUM('Schedule'!S817:S821),"n.a.")</x:f>
        <x:v>0</x:v>
      </x:c>
      <x:c r="I182" s="4" t="str">
        <x:f>'Schedule'!T817</x:f>
        <x:v>Ready</x:v>
      </x:c>
      <x:c r="J182" s="4"/>
      <x:c r="K182" s="4"/>
      <x:c r="L182" s="4"/>
      <x:c r="M182" s="4"/>
      <x:c r="N182" s="4"/>
      <x:c r="O182" s="4"/>
      <x:c r="P182" s="4"/>
    </x:row>
    <x:row r="183" ht="22" customHeight="1">
      <x:c r="A183" s="2"/>
      <x:c r="B183" s="2"/>
      <x:c r="C183" s="23" t="n">
        <x:v>164</x:v>
      </x:c>
      <x:c r="D183" s="32" t="n">
        <x:f>'Schedule'!D822</x:f>
        <x:v>51288</x:v>
      </x:c>
      <x:c r="E183" s="4" t="n">
        <x:f>'Schedule'!E822</x:f>
        <x:v>500</x:v>
      </x:c>
      <x:c r="F183" s="4" t="n">
        <x:f>IF(COUNT('Schedule'!Q822:Q826)=5,SUM('Schedule'!Q822:Q826),"n.a.")</x:f>
        <x:v>0</x:v>
      </x:c>
      <x:c r="G183" s="4" t="n">
        <x:f>IF(COUNT('Schedule'!M822:M826)=5,SUM('Schedule'!M822:M826),"n.a.")</x:f>
        <x:v>0</x:v>
      </x:c>
      <x:c r="H183" s="4" t="n">
        <x:f>IF(COUNT('Schedule'!S822:S826)=5,SUM('Schedule'!S822:S826),"n.a.")</x:f>
        <x:v>0</x:v>
      </x:c>
      <x:c r="I183" s="4" t="str">
        <x:f>'Schedule'!T822</x:f>
        <x:v>Ready</x:v>
      </x:c>
      <x:c r="J183" s="4"/>
      <x:c r="K183" s="4"/>
      <x:c r="L183" s="4"/>
      <x:c r="M183" s="4"/>
      <x:c r="N183" s="4"/>
      <x:c r="O183" s="4"/>
      <x:c r="P183" s="4"/>
    </x:row>
    <x:row r="184" ht="22" customHeight="1">
      <x:c r="A184" s="2"/>
      <x:c r="B184" s="2"/>
      <x:c r="C184" s="23" t="n">
        <x:v>165</x:v>
      </x:c>
      <x:c r="D184" s="32" t="n">
        <x:f>'Schedule'!D827</x:f>
        <x:v>51318</x:v>
      </x:c>
      <x:c r="E184" s="4" t="n">
        <x:f>'Schedule'!E827</x:f>
        <x:v>500</x:v>
      </x:c>
      <x:c r="F184" s="4" t="n">
        <x:f>IF(COUNT('Schedule'!Q827:Q831)=5,SUM('Schedule'!Q827:Q831),"n.a.")</x:f>
        <x:v>0</x:v>
      </x:c>
      <x:c r="G184" s="4" t="n">
        <x:f>IF(COUNT('Schedule'!M827:M831)=5,SUM('Schedule'!M827:M831),"n.a.")</x:f>
        <x:v>0</x:v>
      </x:c>
      <x:c r="H184" s="4" t="n">
        <x:f>IF(COUNT('Schedule'!S827:S831)=5,SUM('Schedule'!S827:S831),"n.a.")</x:f>
        <x:v>0</x:v>
      </x:c>
      <x:c r="I184" s="4" t="str">
        <x:f>'Schedule'!T827</x:f>
        <x:v>Ready</x:v>
      </x:c>
      <x:c r="J184" s="4"/>
      <x:c r="K184" s="4"/>
      <x:c r="L184" s="4"/>
      <x:c r="M184" s="4"/>
      <x:c r="N184" s="4"/>
      <x:c r="O184" s="4"/>
      <x:c r="P184" s="4"/>
    </x:row>
    <x:row r="185" ht="22" customHeight="1">
      <x:c r="A185" s="2"/>
      <x:c r="B185" s="2"/>
      <x:c r="C185" s="23" t="n">
        <x:v>166</x:v>
      </x:c>
      <x:c r="D185" s="32" t="n">
        <x:f>'Schedule'!D832</x:f>
        <x:v>51349</x:v>
      </x:c>
      <x:c r="E185" s="4" t="n">
        <x:f>'Schedule'!E832</x:f>
        <x:v>500</x:v>
      </x:c>
      <x:c r="F185" s="4" t="n">
        <x:f>IF(COUNT('Schedule'!Q832:Q836)=5,SUM('Schedule'!Q832:Q836),"n.a.")</x:f>
        <x:v>0</x:v>
      </x:c>
      <x:c r="G185" s="4" t="n">
        <x:f>IF(COUNT('Schedule'!M832:M836)=5,SUM('Schedule'!M832:M836),"n.a.")</x:f>
        <x:v>0</x:v>
      </x:c>
      <x:c r="H185" s="4" t="n">
        <x:f>IF(COUNT('Schedule'!S832:S836)=5,SUM('Schedule'!S832:S836),"n.a.")</x:f>
        <x:v>0</x:v>
      </x:c>
      <x:c r="I185" s="4" t="str">
        <x:f>'Schedule'!T832</x:f>
        <x:v>Ready</x:v>
      </x:c>
      <x:c r="J185" s="4"/>
      <x:c r="K185" s="4"/>
      <x:c r="L185" s="4"/>
      <x:c r="M185" s="4"/>
      <x:c r="N185" s="4"/>
      <x:c r="O185" s="4"/>
      <x:c r="P185" s="4"/>
    </x:row>
    <x:row r="186" ht="22" customHeight="1">
      <x:c r="A186" s="2"/>
      <x:c r="B186" s="2"/>
      <x:c r="C186" s="23" t="n">
        <x:v>167</x:v>
      </x:c>
      <x:c r="D186" s="32" t="n">
        <x:f>'Schedule'!D837</x:f>
        <x:v>51380</x:v>
      </x:c>
      <x:c r="E186" s="4" t="n">
        <x:f>'Schedule'!E837</x:f>
        <x:v>500</x:v>
      </x:c>
      <x:c r="F186" s="4" t="n">
        <x:f>IF(COUNT('Schedule'!Q837:Q841)=5,SUM('Schedule'!Q837:Q841),"n.a.")</x:f>
        <x:v>0</x:v>
      </x:c>
      <x:c r="G186" s="4" t="n">
        <x:f>IF(COUNT('Schedule'!M837:M841)=5,SUM('Schedule'!M837:M841),"n.a.")</x:f>
        <x:v>0</x:v>
      </x:c>
      <x:c r="H186" s="4" t="n">
        <x:f>IF(COUNT('Schedule'!S837:S841)=5,SUM('Schedule'!S837:S841),"n.a.")</x:f>
        <x:v>0</x:v>
      </x:c>
      <x:c r="I186" s="4" t="str">
        <x:f>'Schedule'!T837</x:f>
        <x:v>Ready</x:v>
      </x:c>
      <x:c r="J186" s="4"/>
      <x:c r="K186" s="4"/>
      <x:c r="L186" s="4"/>
      <x:c r="M186" s="4"/>
      <x:c r="N186" s="4"/>
      <x:c r="O186" s="4"/>
      <x:c r="P186" s="4"/>
    </x:row>
    <x:row r="187" ht="22" customHeight="1">
      <x:c r="A187" s="2"/>
      <x:c r="B187" s="2"/>
      <x:c r="C187" s="23" t="n">
        <x:v>168</x:v>
      </x:c>
      <x:c r="D187" s="32" t="n">
        <x:f>'Schedule'!D842</x:f>
        <x:v>51410</x:v>
      </x:c>
      <x:c r="E187" s="4" t="n">
        <x:f>'Schedule'!E842</x:f>
        <x:v>500</x:v>
      </x:c>
      <x:c r="F187" s="4" t="n">
        <x:f>IF(COUNT('Schedule'!Q842:Q846)=5,SUM('Schedule'!Q842:Q846),"n.a.")</x:f>
        <x:v>0</x:v>
      </x:c>
      <x:c r="G187" s="4" t="n">
        <x:f>IF(COUNT('Schedule'!M842:M846)=5,SUM('Schedule'!M842:M846),"n.a.")</x:f>
        <x:v>0</x:v>
      </x:c>
      <x:c r="H187" s="4" t="n">
        <x:f>IF(COUNT('Schedule'!S842:S846)=5,SUM('Schedule'!S842:S846),"n.a.")</x:f>
        <x:v>0</x:v>
      </x:c>
      <x:c r="I187" s="4" t="str">
        <x:f>'Schedule'!T842</x:f>
        <x:v>Ready</x:v>
      </x:c>
      <x:c r="J187" s="4"/>
      <x:c r="K187" s="4"/>
      <x:c r="L187" s="4"/>
      <x:c r="M187" s="4"/>
      <x:c r="N187" s="4"/>
      <x:c r="O187" s="4"/>
      <x:c r="P187" s="4"/>
    </x:row>
    <x:row r="188" ht="22" customHeight="1">
      <x:c r="A188" s="2"/>
      <x:c r="B188" s="2"/>
      <x:c r="C188" s="23" t="n">
        <x:v>169</x:v>
      </x:c>
      <x:c r="D188" s="32" t="n">
        <x:f>'Schedule'!D847</x:f>
        <x:v>51441</x:v>
      </x:c>
      <x:c r="E188" s="4" t="n">
        <x:f>'Schedule'!E847</x:f>
        <x:v>500</x:v>
      </x:c>
      <x:c r="F188" s="4" t="n">
        <x:f>IF(COUNT('Schedule'!Q847:Q851)=5,SUM('Schedule'!Q847:Q851),"n.a.")</x:f>
        <x:v>0</x:v>
      </x:c>
      <x:c r="G188" s="4" t="n">
        <x:f>IF(COUNT('Schedule'!M847:M851)=5,SUM('Schedule'!M847:M851),"n.a.")</x:f>
        <x:v>0</x:v>
      </x:c>
      <x:c r="H188" s="4" t="n">
        <x:f>IF(COUNT('Schedule'!S847:S851)=5,SUM('Schedule'!S847:S851),"n.a.")</x:f>
        <x:v>0</x:v>
      </x:c>
      <x:c r="I188" s="4" t="str">
        <x:f>'Schedule'!T847</x:f>
        <x:v>Ready</x:v>
      </x:c>
      <x:c r="J188" s="4"/>
      <x:c r="K188" s="4"/>
      <x:c r="L188" s="4"/>
      <x:c r="M188" s="4"/>
      <x:c r="N188" s="4"/>
      <x:c r="O188" s="4"/>
      <x:c r="P188" s="4"/>
    </x:row>
    <x:row r="189" ht="22" customHeight="1">
      <x:c r="A189" s="2"/>
      <x:c r="B189" s="2"/>
      <x:c r="C189" s="23" t="n">
        <x:v>170</x:v>
      </x:c>
      <x:c r="D189" s="32" t="n">
        <x:f>'Schedule'!D852</x:f>
        <x:v>51471</x:v>
      </x:c>
      <x:c r="E189" s="4" t="n">
        <x:f>'Schedule'!E852</x:f>
        <x:v>500</x:v>
      </x:c>
      <x:c r="F189" s="4" t="n">
        <x:f>IF(COUNT('Schedule'!Q852:Q856)=5,SUM('Schedule'!Q852:Q856),"n.a.")</x:f>
        <x:v>0</x:v>
      </x:c>
      <x:c r="G189" s="4" t="n">
        <x:f>IF(COUNT('Schedule'!M852:M856)=5,SUM('Schedule'!M852:M856),"n.a.")</x:f>
        <x:v>0</x:v>
      </x:c>
      <x:c r="H189" s="4" t="n">
        <x:f>IF(COUNT('Schedule'!S852:S856)=5,SUM('Schedule'!S852:S856),"n.a.")</x:f>
        <x:v>0</x:v>
      </x:c>
      <x:c r="I189" s="4" t="str">
        <x:f>'Schedule'!T852</x:f>
        <x:v>Ready</x:v>
      </x:c>
      <x:c r="J189" s="4"/>
      <x:c r="K189" s="4"/>
      <x:c r="L189" s="4"/>
      <x:c r="M189" s="4"/>
      <x:c r="N189" s="4"/>
      <x:c r="O189" s="4"/>
      <x:c r="P189" s="4"/>
    </x:row>
    <x:row r="190" ht="22" customHeight="1">
      <x:c r="A190" s="2"/>
      <x:c r="B190" s="2"/>
      <x:c r="C190" s="23" t="n">
        <x:v>171</x:v>
      </x:c>
      <x:c r="D190" s="32" t="n">
        <x:f>'Schedule'!D857</x:f>
        <x:v>51502</x:v>
      </x:c>
      <x:c r="E190" s="4" t="n">
        <x:f>'Schedule'!E857</x:f>
        <x:v>500</x:v>
      </x:c>
      <x:c r="F190" s="4" t="n">
        <x:f>IF(COUNT('Schedule'!Q857:Q861)=5,SUM('Schedule'!Q857:Q861),"n.a.")</x:f>
        <x:v>0</x:v>
      </x:c>
      <x:c r="G190" s="4" t="n">
        <x:f>IF(COUNT('Schedule'!M857:M861)=5,SUM('Schedule'!M857:M861),"n.a.")</x:f>
        <x:v>0</x:v>
      </x:c>
      <x:c r="H190" s="4" t="n">
        <x:f>IF(COUNT('Schedule'!S857:S861)=5,SUM('Schedule'!S857:S861),"n.a.")</x:f>
        <x:v>0</x:v>
      </x:c>
      <x:c r="I190" s="4" t="str">
        <x:f>'Schedule'!T857</x:f>
        <x:v>Ready</x:v>
      </x:c>
      <x:c r="J190" s="4"/>
      <x:c r="K190" s="4"/>
      <x:c r="L190" s="4"/>
      <x:c r="M190" s="4"/>
      <x:c r="N190" s="4"/>
      <x:c r="O190" s="4"/>
      <x:c r="P190" s="4"/>
    </x:row>
    <x:row r="191" ht="22" customHeight="1">
      <x:c r="A191" s="2"/>
      <x:c r="B191" s="2"/>
      <x:c r="C191" s="23" t="n">
        <x:v>172</x:v>
      </x:c>
      <x:c r="D191" s="32" t="n">
        <x:f>'Schedule'!D862</x:f>
        <x:v>51533</x:v>
      </x:c>
      <x:c r="E191" s="4" t="n">
        <x:f>'Schedule'!E862</x:f>
        <x:v>500</x:v>
      </x:c>
      <x:c r="F191" s="4" t="n">
        <x:f>IF(COUNT('Schedule'!Q862:Q866)=5,SUM('Schedule'!Q862:Q866),"n.a.")</x:f>
        <x:v>0</x:v>
      </x:c>
      <x:c r="G191" s="4" t="n">
        <x:f>IF(COUNT('Schedule'!M862:M866)=5,SUM('Schedule'!M862:M866),"n.a.")</x:f>
        <x:v>0</x:v>
      </x:c>
      <x:c r="H191" s="4" t="n">
        <x:f>IF(COUNT('Schedule'!S862:S866)=5,SUM('Schedule'!S862:S866),"n.a.")</x:f>
        <x:v>0</x:v>
      </x:c>
      <x:c r="I191" s="4" t="str">
        <x:f>'Schedule'!T862</x:f>
        <x:v>Ready</x:v>
      </x:c>
      <x:c r="J191" s="4"/>
      <x:c r="K191" s="4"/>
      <x:c r="L191" s="4"/>
      <x:c r="M191" s="4"/>
      <x:c r="N191" s="4"/>
      <x:c r="O191" s="4"/>
      <x:c r="P191" s="4"/>
    </x:row>
    <x:row r="192" ht="22" customHeight="1">
      <x:c r="A192" s="2"/>
      <x:c r="B192" s="2"/>
      <x:c r="C192" s="23" t="n">
        <x:v>173</x:v>
      </x:c>
      <x:c r="D192" s="32" t="n">
        <x:f>'Schedule'!D867</x:f>
        <x:v>51561</x:v>
      </x:c>
      <x:c r="E192" s="4" t="n">
        <x:f>'Schedule'!E867</x:f>
        <x:v>500</x:v>
      </x:c>
      <x:c r="F192" s="4" t="n">
        <x:f>IF(COUNT('Schedule'!Q867:Q871)=5,SUM('Schedule'!Q867:Q871),"n.a.")</x:f>
        <x:v>0</x:v>
      </x:c>
      <x:c r="G192" s="4" t="n">
        <x:f>IF(COUNT('Schedule'!M867:M871)=5,SUM('Schedule'!M867:M871),"n.a.")</x:f>
        <x:v>0</x:v>
      </x:c>
      <x:c r="H192" s="4" t="n">
        <x:f>IF(COUNT('Schedule'!S867:S871)=5,SUM('Schedule'!S867:S871),"n.a.")</x:f>
        <x:v>0</x:v>
      </x:c>
      <x:c r="I192" s="4" t="str">
        <x:f>'Schedule'!T867</x:f>
        <x:v>Ready</x:v>
      </x:c>
      <x:c r="J192" s="4"/>
      <x:c r="K192" s="4"/>
      <x:c r="L192" s="4"/>
      <x:c r="M192" s="4"/>
      <x:c r="N192" s="4"/>
      <x:c r="O192" s="4"/>
      <x:c r="P192" s="4"/>
    </x:row>
    <x:row r="193" ht="22" customHeight="1">
      <x:c r="A193" s="2"/>
      <x:c r="B193" s="2"/>
      <x:c r="C193" s="23" t="n">
        <x:v>174</x:v>
      </x:c>
      <x:c r="D193" s="32" t="n">
        <x:f>'Schedule'!D872</x:f>
        <x:v>51592</x:v>
      </x:c>
      <x:c r="E193" s="4" t="n">
        <x:f>'Schedule'!E872</x:f>
        <x:v>500</x:v>
      </x:c>
      <x:c r="F193" s="4" t="n">
        <x:f>IF(COUNT('Schedule'!Q872:Q876)=5,SUM('Schedule'!Q872:Q876),"n.a.")</x:f>
        <x:v>0</x:v>
      </x:c>
      <x:c r="G193" s="4" t="n">
        <x:f>IF(COUNT('Schedule'!M872:M876)=5,SUM('Schedule'!M872:M876),"n.a.")</x:f>
        <x:v>0</x:v>
      </x:c>
      <x:c r="H193" s="4" t="n">
        <x:f>IF(COUNT('Schedule'!S872:S876)=5,SUM('Schedule'!S872:S876),"n.a.")</x:f>
        <x:v>0</x:v>
      </x:c>
      <x:c r="I193" s="4" t="str">
        <x:f>'Schedule'!T872</x:f>
        <x:v>Ready</x:v>
      </x:c>
      <x:c r="J193" s="4"/>
      <x:c r="K193" s="4"/>
      <x:c r="L193" s="4"/>
      <x:c r="M193" s="4"/>
      <x:c r="N193" s="4"/>
      <x:c r="O193" s="4"/>
      <x:c r="P193" s="4"/>
    </x:row>
    <x:row r="194" ht="22" customHeight="1">
      <x:c r="A194" s="2"/>
      <x:c r="B194" s="2"/>
      <x:c r="C194" s="23" t="n">
        <x:v>175</x:v>
      </x:c>
      <x:c r="D194" s="32" t="n">
        <x:f>'Schedule'!D877</x:f>
        <x:v>51622</x:v>
      </x:c>
      <x:c r="E194" s="4" t="n">
        <x:f>'Schedule'!E877</x:f>
        <x:v>500</x:v>
      </x:c>
      <x:c r="F194" s="4" t="n">
        <x:f>IF(COUNT('Schedule'!Q877:Q881)=5,SUM('Schedule'!Q877:Q881),"n.a.")</x:f>
        <x:v>0</x:v>
      </x:c>
      <x:c r="G194" s="4" t="n">
        <x:f>IF(COUNT('Schedule'!M877:M881)=5,SUM('Schedule'!M877:M881),"n.a.")</x:f>
        <x:v>0</x:v>
      </x:c>
      <x:c r="H194" s="4" t="n">
        <x:f>IF(COUNT('Schedule'!S877:S881)=5,SUM('Schedule'!S877:S881),"n.a.")</x:f>
        <x:v>0</x:v>
      </x:c>
      <x:c r="I194" s="4" t="str">
        <x:f>'Schedule'!T877</x:f>
        <x:v>Ready</x:v>
      </x:c>
      <x:c r="J194" s="4"/>
      <x:c r="K194" s="4"/>
      <x:c r="L194" s="4"/>
      <x:c r="M194" s="4"/>
      <x:c r="N194" s="4"/>
      <x:c r="O194" s="4"/>
      <x:c r="P194" s="4"/>
    </x:row>
    <x:row r="195" ht="22" customHeight="1">
      <x:c r="A195" s="2"/>
      <x:c r="B195" s="2"/>
      <x:c r="C195" s="23" t="n">
        <x:v>176</x:v>
      </x:c>
      <x:c r="D195" s="32" t="n">
        <x:f>'Schedule'!D882</x:f>
        <x:v>51653</x:v>
      </x:c>
      <x:c r="E195" s="4" t="n">
        <x:f>'Schedule'!E882</x:f>
        <x:v>500</x:v>
      </x:c>
      <x:c r="F195" s="4" t="n">
        <x:f>IF(COUNT('Schedule'!Q882:Q886)=5,SUM('Schedule'!Q882:Q886),"n.a.")</x:f>
        <x:v>0</x:v>
      </x:c>
      <x:c r="G195" s="4" t="n">
        <x:f>IF(COUNT('Schedule'!M882:M886)=5,SUM('Schedule'!M882:M886),"n.a.")</x:f>
        <x:v>0</x:v>
      </x:c>
      <x:c r="H195" s="4" t="n">
        <x:f>IF(COUNT('Schedule'!S882:S886)=5,SUM('Schedule'!S882:S886),"n.a.")</x:f>
        <x:v>0</x:v>
      </x:c>
      <x:c r="I195" s="4" t="str">
        <x:f>'Schedule'!T882</x:f>
        <x:v>Ready</x:v>
      </x:c>
      <x:c r="J195" s="4"/>
      <x:c r="K195" s="4"/>
      <x:c r="L195" s="4"/>
      <x:c r="M195" s="4"/>
      <x:c r="N195" s="4"/>
      <x:c r="O195" s="4"/>
      <x:c r="P195" s="4"/>
    </x:row>
    <x:row r="196" ht="22" customHeight="1">
      <x:c r="A196" s="2"/>
      <x:c r="B196" s="2"/>
      <x:c r="C196" s="23" t="n">
        <x:v>177</x:v>
      </x:c>
      <x:c r="D196" s="32" t="n">
        <x:f>'Schedule'!D887</x:f>
        <x:v>51683</x:v>
      </x:c>
      <x:c r="E196" s="4" t="n">
        <x:f>'Schedule'!E887</x:f>
        <x:v>500</x:v>
      </x:c>
      <x:c r="F196" s="4" t="n">
        <x:f>IF(COUNT('Schedule'!Q887:Q891)=5,SUM('Schedule'!Q887:Q891),"n.a.")</x:f>
        <x:v>0</x:v>
      </x:c>
      <x:c r="G196" s="4" t="n">
        <x:f>IF(COUNT('Schedule'!M887:M891)=5,SUM('Schedule'!M887:M891),"n.a.")</x:f>
        <x:v>0</x:v>
      </x:c>
      <x:c r="H196" s="4" t="n">
        <x:f>IF(COUNT('Schedule'!S887:S891)=5,SUM('Schedule'!S887:S891),"n.a.")</x:f>
        <x:v>0</x:v>
      </x:c>
      <x:c r="I196" s="4" t="str">
        <x:f>'Schedule'!T887</x:f>
        <x:v>Ready</x:v>
      </x:c>
      <x:c r="J196" s="4"/>
      <x:c r="K196" s="4"/>
      <x:c r="L196" s="4"/>
      <x:c r="M196" s="4"/>
      <x:c r="N196" s="4"/>
      <x:c r="O196" s="4"/>
      <x:c r="P196" s="4"/>
    </x:row>
    <x:row r="197" ht="22" customHeight="1">
      <x:c r="A197" s="2"/>
      <x:c r="B197" s="2"/>
      <x:c r="C197" s="23" t="n">
        <x:v>178</x:v>
      </x:c>
      <x:c r="D197" s="32" t="n">
        <x:f>'Schedule'!D892</x:f>
        <x:v>51714</x:v>
      </x:c>
      <x:c r="E197" s="4" t="n">
        <x:f>'Schedule'!E892</x:f>
        <x:v>500</x:v>
      </x:c>
      <x:c r="F197" s="4" t="n">
        <x:f>IF(COUNT('Schedule'!Q892:Q896)=5,SUM('Schedule'!Q892:Q896),"n.a.")</x:f>
        <x:v>0</x:v>
      </x:c>
      <x:c r="G197" s="4" t="n">
        <x:f>IF(COUNT('Schedule'!M892:M896)=5,SUM('Schedule'!M892:M896),"n.a.")</x:f>
        <x:v>0</x:v>
      </x:c>
      <x:c r="H197" s="4" t="n">
        <x:f>IF(COUNT('Schedule'!S892:S896)=5,SUM('Schedule'!S892:S896),"n.a.")</x:f>
        <x:v>0</x:v>
      </x:c>
      <x:c r="I197" s="4" t="str">
        <x:f>'Schedule'!T892</x:f>
        <x:v>Ready</x:v>
      </x:c>
      <x:c r="J197" s="4"/>
      <x:c r="K197" s="4"/>
      <x:c r="L197" s="4"/>
      <x:c r="M197" s="4"/>
      <x:c r="N197" s="4"/>
      <x:c r="O197" s="4"/>
      <x:c r="P197" s="4"/>
    </x:row>
    <x:row r="198" ht="22" customHeight="1">
      <x:c r="A198" s="2"/>
      <x:c r="B198" s="2"/>
      <x:c r="C198" s="23" t="n">
        <x:v>179</x:v>
      </x:c>
      <x:c r="D198" s="32" t="n">
        <x:f>'Schedule'!D897</x:f>
        <x:v>51745</x:v>
      </x:c>
      <x:c r="E198" s="4" t="n">
        <x:f>'Schedule'!E897</x:f>
        <x:v>500</x:v>
      </x:c>
      <x:c r="F198" s="4" t="n">
        <x:f>IF(COUNT('Schedule'!Q897:Q901)=5,SUM('Schedule'!Q897:Q901),"n.a.")</x:f>
        <x:v>0</x:v>
      </x:c>
      <x:c r="G198" s="4" t="n">
        <x:f>IF(COUNT('Schedule'!M897:M901)=5,SUM('Schedule'!M897:M901),"n.a.")</x:f>
        <x:v>0</x:v>
      </x:c>
      <x:c r="H198" s="4" t="n">
        <x:f>IF(COUNT('Schedule'!S897:S901)=5,SUM('Schedule'!S897:S901),"n.a.")</x:f>
        <x:v>0</x:v>
      </x:c>
      <x:c r="I198" s="4" t="str">
        <x:f>'Schedule'!T897</x:f>
        <x:v>Ready</x:v>
      </x:c>
      <x:c r="J198" s="4"/>
      <x:c r="K198" s="4"/>
      <x:c r="L198" s="4"/>
      <x:c r="M198" s="4"/>
      <x:c r="N198" s="4"/>
      <x:c r="O198" s="4"/>
      <x:c r="P198" s="4"/>
    </x:row>
    <x:row r="199" ht="22" customHeight="1">
      <x:c r="A199" s="2"/>
      <x:c r="B199" s="2"/>
      <x:c r="C199" s="23" t="n">
        <x:v>180</x:v>
      </x:c>
      <x:c r="D199" s="32" t="n">
        <x:f>'Schedule'!D902</x:f>
        <x:v>51775</x:v>
      </x:c>
      <x:c r="E199" s="4" t="n">
        <x:f>'Schedule'!E902</x:f>
        <x:v>500</x:v>
      </x:c>
      <x:c r="F199" s="4" t="n">
        <x:f>IF(COUNT('Schedule'!Q902:Q906)=5,SUM('Schedule'!Q902:Q906),"n.a.")</x:f>
        <x:v>0</x:v>
      </x:c>
      <x:c r="G199" s="4" t="n">
        <x:f>IF(COUNT('Schedule'!M902:M906)=5,SUM('Schedule'!M902:M906),"n.a.")</x:f>
        <x:v>0</x:v>
      </x:c>
      <x:c r="H199" s="4" t="n">
        <x:f>IF(COUNT('Schedule'!S902:S906)=5,SUM('Schedule'!S902:S906),"n.a.")</x:f>
        <x:v>0</x:v>
      </x:c>
      <x:c r="I199" s="4" t="str">
        <x:f>'Schedule'!T902</x:f>
        <x:v>Ready</x:v>
      </x:c>
      <x:c r="J199" s="4"/>
      <x:c r="K199" s="4"/>
      <x:c r="L199" s="4"/>
      <x:c r="M199" s="4"/>
      <x:c r="N199" s="4"/>
      <x:c r="O199" s="4"/>
      <x:c r="P199" s="4"/>
    </x:row>
    <x:row r="200" ht="22" customHeight="1">
      <x:c r="A200" s="2"/>
      <x:c r="B200" s="2"/>
      <x:c r="C200" s="23" t="n">
        <x:v>181</x:v>
      </x:c>
      <x:c r="D200" s="32" t="n">
        <x:f>'Schedule'!D907</x:f>
        <x:v>51806</x:v>
      </x:c>
      <x:c r="E200" s="4" t="n">
        <x:f>'Schedule'!E907</x:f>
        <x:v>500</x:v>
      </x:c>
      <x:c r="F200" s="4" t="n">
        <x:f>IF(COUNT('Schedule'!Q907:Q911)=5,SUM('Schedule'!Q907:Q911),"n.a.")</x:f>
        <x:v>0</x:v>
      </x:c>
      <x:c r="G200" s="4" t="n">
        <x:f>IF(COUNT('Schedule'!M907:M911)=5,SUM('Schedule'!M907:M911),"n.a.")</x:f>
        <x:v>0</x:v>
      </x:c>
      <x:c r="H200" s="4" t="n">
        <x:f>IF(COUNT('Schedule'!S907:S911)=5,SUM('Schedule'!S907:S911),"n.a.")</x:f>
        <x:v>0</x:v>
      </x:c>
      <x:c r="I200" s="4" t="str">
        <x:f>'Schedule'!T907</x:f>
        <x:v>Ready</x:v>
      </x:c>
      <x:c r="J200" s="4"/>
      <x:c r="K200" s="4"/>
      <x:c r="L200" s="4"/>
      <x:c r="M200" s="4"/>
      <x:c r="N200" s="4"/>
      <x:c r="O200" s="4"/>
      <x:c r="P200" s="4"/>
    </x:row>
    <x:row r="201" ht="22" customHeight="1">
      <x:c r="A201" s="2"/>
      <x:c r="B201" s="2"/>
      <x:c r="C201" s="23" t="n">
        <x:v>182</x:v>
      </x:c>
      <x:c r="D201" s="32" t="n">
        <x:f>'Schedule'!D912</x:f>
        <x:v>51836</x:v>
      </x:c>
      <x:c r="E201" s="4" t="n">
        <x:f>'Schedule'!E912</x:f>
        <x:v>500</x:v>
      </x:c>
      <x:c r="F201" s="4" t="n">
        <x:f>IF(COUNT('Schedule'!Q912:Q916)=5,SUM('Schedule'!Q912:Q916),"n.a.")</x:f>
        <x:v>0</x:v>
      </x:c>
      <x:c r="G201" s="4" t="n">
        <x:f>IF(COUNT('Schedule'!M912:M916)=5,SUM('Schedule'!M912:M916),"n.a.")</x:f>
        <x:v>0</x:v>
      </x:c>
      <x:c r="H201" s="4" t="n">
        <x:f>IF(COUNT('Schedule'!S912:S916)=5,SUM('Schedule'!S912:S916),"n.a.")</x:f>
        <x:v>0</x:v>
      </x:c>
      <x:c r="I201" s="4" t="str">
        <x:f>'Schedule'!T912</x:f>
        <x:v>Ready</x:v>
      </x:c>
      <x:c r="J201" s="4"/>
      <x:c r="K201" s="4"/>
      <x:c r="L201" s="4"/>
      <x:c r="M201" s="4"/>
      <x:c r="N201" s="4"/>
      <x:c r="O201" s="4"/>
      <x:c r="P201" s="4"/>
    </x:row>
    <x:row r="202" ht="22" customHeight="1">
      <x:c r="A202" s="2"/>
      <x:c r="B202" s="2"/>
      <x:c r="C202" s="23" t="n">
        <x:v>183</x:v>
      </x:c>
      <x:c r="D202" s="32" t="n">
        <x:f>'Schedule'!D917</x:f>
        <x:v>51867</x:v>
      </x:c>
      <x:c r="E202" s="4" t="n">
        <x:f>'Schedule'!E917</x:f>
        <x:v>500</x:v>
      </x:c>
      <x:c r="F202" s="4" t="n">
        <x:f>IF(COUNT('Schedule'!Q917:Q921)=5,SUM('Schedule'!Q917:Q921),"n.a.")</x:f>
        <x:v>0</x:v>
      </x:c>
      <x:c r="G202" s="4" t="n">
        <x:f>IF(COUNT('Schedule'!M917:M921)=5,SUM('Schedule'!M917:M921),"n.a.")</x:f>
        <x:v>0</x:v>
      </x:c>
      <x:c r="H202" s="4" t="n">
        <x:f>IF(COUNT('Schedule'!S917:S921)=5,SUM('Schedule'!S917:S921),"n.a.")</x:f>
        <x:v>0</x:v>
      </x:c>
      <x:c r="I202" s="4" t="str">
        <x:f>'Schedule'!T917</x:f>
        <x:v>Ready</x:v>
      </x:c>
      <x:c r="J202" s="4"/>
      <x:c r="K202" s="4"/>
      <x:c r="L202" s="4"/>
      <x:c r="M202" s="4"/>
      <x:c r="N202" s="4"/>
      <x:c r="O202" s="4"/>
      <x:c r="P202" s="4"/>
    </x:row>
    <x:row r="203" ht="22" customHeight="1">
      <x:c r="A203" s="2"/>
      <x:c r="B203" s="2"/>
      <x:c r="C203" s="23" t="n">
        <x:v>184</x:v>
      </x:c>
      <x:c r="D203" s="32" t="n">
        <x:f>'Schedule'!D922</x:f>
        <x:v>51898</x:v>
      </x:c>
      <x:c r="E203" s="4" t="n">
        <x:f>'Schedule'!E922</x:f>
        <x:v>500</x:v>
      </x:c>
      <x:c r="F203" s="4" t="n">
        <x:f>IF(COUNT('Schedule'!Q922:Q926)=5,SUM('Schedule'!Q922:Q926),"n.a.")</x:f>
        <x:v>0</x:v>
      </x:c>
      <x:c r="G203" s="4" t="n">
        <x:f>IF(COUNT('Schedule'!M922:M926)=5,SUM('Schedule'!M922:M926),"n.a.")</x:f>
        <x:v>0</x:v>
      </x:c>
      <x:c r="H203" s="4" t="n">
        <x:f>IF(COUNT('Schedule'!S922:S926)=5,SUM('Schedule'!S922:S926),"n.a.")</x:f>
        <x:v>0</x:v>
      </x:c>
      <x:c r="I203" s="4" t="str">
        <x:f>'Schedule'!T922</x:f>
        <x:v>Ready</x:v>
      </x:c>
      <x:c r="J203" s="4"/>
      <x:c r="K203" s="4"/>
      <x:c r="L203" s="4"/>
      <x:c r="M203" s="4"/>
      <x:c r="N203" s="4"/>
      <x:c r="O203" s="4"/>
      <x:c r="P203" s="4"/>
    </x:row>
    <x:row r="204" ht="22" customHeight="1">
      <x:c r="A204" s="2"/>
      <x:c r="B204" s="2"/>
      <x:c r="C204" s="23" t="n">
        <x:v>185</x:v>
      </x:c>
      <x:c r="D204" s="32" t="n">
        <x:f>'Schedule'!D927</x:f>
        <x:v>51926</x:v>
      </x:c>
      <x:c r="E204" s="4" t="n">
        <x:f>'Schedule'!E927</x:f>
        <x:v>500</x:v>
      </x:c>
      <x:c r="F204" s="4" t="n">
        <x:f>IF(COUNT('Schedule'!Q927:Q931)=5,SUM('Schedule'!Q927:Q931),"n.a.")</x:f>
        <x:v>0</x:v>
      </x:c>
      <x:c r="G204" s="4" t="n">
        <x:f>IF(COUNT('Schedule'!M927:M931)=5,SUM('Schedule'!M927:M931),"n.a.")</x:f>
        <x:v>0</x:v>
      </x:c>
      <x:c r="H204" s="4" t="n">
        <x:f>IF(COUNT('Schedule'!S927:S931)=5,SUM('Schedule'!S927:S931),"n.a.")</x:f>
        <x:v>0</x:v>
      </x:c>
      <x:c r="I204" s="4" t="str">
        <x:f>'Schedule'!T927</x:f>
        <x:v>Ready</x:v>
      </x:c>
      <x:c r="J204" s="4"/>
      <x:c r="K204" s="4"/>
      <x:c r="L204" s="4"/>
      <x:c r="M204" s="4"/>
      <x:c r="N204" s="4"/>
      <x:c r="O204" s="4"/>
      <x:c r="P204" s="4"/>
    </x:row>
    <x:row r="205" ht="22" customHeight="1">
      <x:c r="A205" s="2"/>
      <x:c r="B205" s="2"/>
      <x:c r="C205" s="23" t="n">
        <x:v>186</x:v>
      </x:c>
      <x:c r="D205" s="32" t="n">
        <x:f>'Schedule'!D932</x:f>
        <x:v>51957</x:v>
      </x:c>
      <x:c r="E205" s="4" t="n">
        <x:f>'Schedule'!E932</x:f>
        <x:v>500</x:v>
      </x:c>
      <x:c r="F205" s="4" t="n">
        <x:f>IF(COUNT('Schedule'!Q932:Q936)=5,SUM('Schedule'!Q932:Q936),"n.a.")</x:f>
        <x:v>0</x:v>
      </x:c>
      <x:c r="G205" s="4" t="n">
        <x:f>IF(COUNT('Schedule'!M932:M936)=5,SUM('Schedule'!M932:M936),"n.a.")</x:f>
        <x:v>0</x:v>
      </x:c>
      <x:c r="H205" s="4" t="n">
        <x:f>IF(COUNT('Schedule'!S932:S936)=5,SUM('Schedule'!S932:S936),"n.a.")</x:f>
        <x:v>0</x:v>
      </x:c>
      <x:c r="I205" s="4" t="str">
        <x:f>'Schedule'!T932</x:f>
        <x:v>Ready</x:v>
      </x:c>
      <x:c r="J205" s="4"/>
      <x:c r="K205" s="4"/>
      <x:c r="L205" s="4"/>
      <x:c r="M205" s="4"/>
      <x:c r="N205" s="4"/>
      <x:c r="O205" s="4"/>
      <x:c r="P205" s="4"/>
    </x:row>
    <x:row r="206" ht="22" customHeight="1">
      <x:c r="A206" s="2"/>
      <x:c r="B206" s="2"/>
      <x:c r="C206" s="23" t="n">
        <x:v>187</x:v>
      </x:c>
      <x:c r="D206" s="32" t="n">
        <x:f>'Schedule'!D937</x:f>
        <x:v>51987</x:v>
      </x:c>
      <x:c r="E206" s="4" t="n">
        <x:f>'Schedule'!E937</x:f>
        <x:v>500</x:v>
      </x:c>
      <x:c r="F206" s="4" t="n">
        <x:f>IF(COUNT('Schedule'!Q937:Q941)=5,SUM('Schedule'!Q937:Q941),"n.a.")</x:f>
        <x:v>0</x:v>
      </x:c>
      <x:c r="G206" s="4" t="n">
        <x:f>IF(COUNT('Schedule'!M937:M941)=5,SUM('Schedule'!M937:M941),"n.a.")</x:f>
        <x:v>0</x:v>
      </x:c>
      <x:c r="H206" s="4" t="n">
        <x:f>IF(COUNT('Schedule'!S937:S941)=5,SUM('Schedule'!S937:S941),"n.a.")</x:f>
        <x:v>0</x:v>
      </x:c>
      <x:c r="I206" s="4" t="str">
        <x:f>'Schedule'!T937</x:f>
        <x:v>Ready</x:v>
      </x:c>
      <x:c r="J206" s="4"/>
      <x:c r="K206" s="4"/>
      <x:c r="L206" s="4"/>
      <x:c r="M206" s="4"/>
      <x:c r="N206" s="4"/>
      <x:c r="O206" s="4"/>
      <x:c r="P206" s="4"/>
    </x:row>
    <x:row r="207" ht="22" customHeight="1">
      <x:c r="A207" s="2"/>
      <x:c r="B207" s="2"/>
      <x:c r="C207" s="23" t="n">
        <x:v>188</x:v>
      </x:c>
      <x:c r="D207" s="32" t="n">
        <x:f>'Schedule'!D942</x:f>
        <x:v>52018</x:v>
      </x:c>
      <x:c r="E207" s="4" t="n">
        <x:f>'Schedule'!E942</x:f>
        <x:v>500</x:v>
      </x:c>
      <x:c r="F207" s="4" t="n">
        <x:f>IF(COUNT('Schedule'!Q942:Q946)=5,SUM('Schedule'!Q942:Q946),"n.a.")</x:f>
        <x:v>0</x:v>
      </x:c>
      <x:c r="G207" s="4" t="n">
        <x:f>IF(COUNT('Schedule'!M942:M946)=5,SUM('Schedule'!M942:M946),"n.a.")</x:f>
        <x:v>0</x:v>
      </x:c>
      <x:c r="H207" s="4" t="n">
        <x:f>IF(COUNT('Schedule'!S942:S946)=5,SUM('Schedule'!S942:S946),"n.a.")</x:f>
        <x:v>0</x:v>
      </x:c>
      <x:c r="I207" s="4" t="str">
        <x:f>'Schedule'!T942</x:f>
        <x:v>Ready</x:v>
      </x:c>
      <x:c r="J207" s="4"/>
      <x:c r="K207" s="4"/>
      <x:c r="L207" s="4"/>
      <x:c r="M207" s="4"/>
      <x:c r="N207" s="4"/>
      <x:c r="O207" s="4"/>
      <x:c r="P207" s="4"/>
    </x:row>
    <x:row r="208" ht="22" customHeight="1">
      <x:c r="A208" s="2"/>
      <x:c r="B208" s="2"/>
      <x:c r="C208" s="23" t="n">
        <x:v>189</x:v>
      </x:c>
      <x:c r="D208" s="32" t="n">
        <x:f>'Schedule'!D947</x:f>
        <x:v>52048</x:v>
      </x:c>
      <x:c r="E208" s="4" t="n">
        <x:f>'Schedule'!E947</x:f>
        <x:v>500</x:v>
      </x:c>
      <x:c r="F208" s="4" t="n">
        <x:f>IF(COUNT('Schedule'!Q947:Q951)=5,SUM('Schedule'!Q947:Q951),"n.a.")</x:f>
        <x:v>0</x:v>
      </x:c>
      <x:c r="G208" s="4" t="n">
        <x:f>IF(COUNT('Schedule'!M947:M951)=5,SUM('Schedule'!M947:M951),"n.a.")</x:f>
        <x:v>0</x:v>
      </x:c>
      <x:c r="H208" s="4" t="n">
        <x:f>IF(COUNT('Schedule'!S947:S951)=5,SUM('Schedule'!S947:S951),"n.a.")</x:f>
        <x:v>0</x:v>
      </x:c>
      <x:c r="I208" s="4" t="str">
        <x:f>'Schedule'!T947</x:f>
        <x:v>Ready</x:v>
      </x:c>
      <x:c r="J208" s="4"/>
      <x:c r="K208" s="4"/>
      <x:c r="L208" s="4"/>
      <x:c r="M208" s="4"/>
      <x:c r="N208" s="4"/>
      <x:c r="O208" s="4"/>
      <x:c r="P208" s="4"/>
    </x:row>
    <x:row r="209" ht="22" customHeight="1">
      <x:c r="A209" s="2"/>
      <x:c r="B209" s="2"/>
      <x:c r="C209" s="23" t="n">
        <x:v>190</x:v>
      </x:c>
      <x:c r="D209" s="32" t="n">
        <x:f>'Schedule'!D952</x:f>
        <x:v>52079</x:v>
      </x:c>
      <x:c r="E209" s="4" t="n">
        <x:f>'Schedule'!E952</x:f>
        <x:v>500</x:v>
      </x:c>
      <x:c r="F209" s="4" t="n">
        <x:f>IF(COUNT('Schedule'!Q952:Q956)=5,SUM('Schedule'!Q952:Q956),"n.a.")</x:f>
        <x:v>0</x:v>
      </x:c>
      <x:c r="G209" s="4" t="n">
        <x:f>IF(COUNT('Schedule'!M952:M956)=5,SUM('Schedule'!M952:M956),"n.a.")</x:f>
        <x:v>0</x:v>
      </x:c>
      <x:c r="H209" s="4" t="n">
        <x:f>IF(COUNT('Schedule'!S952:S956)=5,SUM('Schedule'!S952:S956),"n.a.")</x:f>
        <x:v>0</x:v>
      </x:c>
      <x:c r="I209" s="4" t="str">
        <x:f>'Schedule'!T952</x:f>
        <x:v>Ready</x:v>
      </x:c>
      <x:c r="J209" s="4"/>
      <x:c r="K209" s="4"/>
      <x:c r="L209" s="4"/>
      <x:c r="M209" s="4"/>
      <x:c r="N209" s="4"/>
      <x:c r="O209" s="4"/>
      <x:c r="P209" s="4"/>
    </x:row>
    <x:row r="210" ht="22" customHeight="1">
      <x:c r="A210" s="2"/>
      <x:c r="B210" s="2"/>
      <x:c r="C210" s="23" t="n">
        <x:v>191</x:v>
      </x:c>
      <x:c r="D210" s="32" t="n">
        <x:f>'Schedule'!D957</x:f>
        <x:v>52110</x:v>
      </x:c>
      <x:c r="E210" s="4" t="n">
        <x:f>'Schedule'!E957</x:f>
        <x:v>500</x:v>
      </x:c>
      <x:c r="F210" s="4" t="n">
        <x:f>IF(COUNT('Schedule'!Q957:Q961)=5,SUM('Schedule'!Q957:Q961),"n.a.")</x:f>
        <x:v>0</x:v>
      </x:c>
      <x:c r="G210" s="4" t="n">
        <x:f>IF(COUNT('Schedule'!M957:M961)=5,SUM('Schedule'!M957:M961),"n.a.")</x:f>
        <x:v>0</x:v>
      </x:c>
      <x:c r="H210" s="4" t="n">
        <x:f>IF(COUNT('Schedule'!S957:S961)=5,SUM('Schedule'!S957:S961),"n.a.")</x:f>
        <x:v>0</x:v>
      </x:c>
      <x:c r="I210" s="4" t="str">
        <x:f>'Schedule'!T957</x:f>
        <x:v>Ready</x:v>
      </x:c>
      <x:c r="J210" s="4"/>
      <x:c r="K210" s="4"/>
      <x:c r="L210" s="4"/>
      <x:c r="M210" s="4"/>
      <x:c r="N210" s="4"/>
      <x:c r="O210" s="4"/>
      <x:c r="P210" s="4"/>
    </x:row>
    <x:row r="211" ht="22" customHeight="1">
      <x:c r="A211" s="2"/>
      <x:c r="B211" s="2"/>
      <x:c r="C211" s="23" t="n">
        <x:v>192</x:v>
      </x:c>
      <x:c r="D211" s="32" t="n">
        <x:f>'Schedule'!D962</x:f>
        <x:v>52140</x:v>
      </x:c>
      <x:c r="E211" s="4" t="n">
        <x:f>'Schedule'!E962</x:f>
        <x:v>500</x:v>
      </x:c>
      <x:c r="F211" s="4" t="n">
        <x:f>IF(COUNT('Schedule'!Q962:Q966)=5,SUM('Schedule'!Q962:Q966),"n.a.")</x:f>
        <x:v>0</x:v>
      </x:c>
      <x:c r="G211" s="4" t="n">
        <x:f>IF(COUNT('Schedule'!M962:M966)=5,SUM('Schedule'!M962:M966),"n.a.")</x:f>
        <x:v>0</x:v>
      </x:c>
      <x:c r="H211" s="4" t="n">
        <x:f>IF(COUNT('Schedule'!S962:S966)=5,SUM('Schedule'!S962:S966),"n.a.")</x:f>
        <x:v>0</x:v>
      </x:c>
      <x:c r="I211" s="4" t="str">
        <x:f>'Schedule'!T962</x:f>
        <x:v>Ready</x:v>
      </x:c>
      <x:c r="J211" s="4"/>
      <x:c r="K211" s="4"/>
      <x:c r="L211" s="4"/>
      <x:c r="M211" s="4"/>
      <x:c r="N211" s="4"/>
      <x:c r="O211" s="4"/>
      <x:c r="P211" s="4"/>
    </x:row>
    <x:row r="212" ht="22" customHeight="1">
      <x:c r="A212" s="2"/>
      <x:c r="B212" s="2"/>
      <x:c r="C212" s="23" t="n">
        <x:v>193</x:v>
      </x:c>
      <x:c r="D212" s="32" t="n">
        <x:f>'Schedule'!D967</x:f>
        <x:v>52171</x:v>
      </x:c>
      <x:c r="E212" s="4" t="n">
        <x:f>'Schedule'!E967</x:f>
        <x:v>500</x:v>
      </x:c>
      <x:c r="F212" s="4" t="n">
        <x:f>IF(COUNT('Schedule'!Q967:Q971)=5,SUM('Schedule'!Q967:Q971),"n.a.")</x:f>
        <x:v>0</x:v>
      </x:c>
      <x:c r="G212" s="4" t="n">
        <x:f>IF(COUNT('Schedule'!M967:M971)=5,SUM('Schedule'!M967:M971),"n.a.")</x:f>
        <x:v>0</x:v>
      </x:c>
      <x:c r="H212" s="4" t="n">
        <x:f>IF(COUNT('Schedule'!S967:S971)=5,SUM('Schedule'!S967:S971),"n.a.")</x:f>
        <x:v>0</x:v>
      </x:c>
      <x:c r="I212" s="4" t="str">
        <x:f>'Schedule'!T967</x:f>
        <x:v>Ready</x:v>
      </x:c>
      <x:c r="J212" s="4"/>
      <x:c r="K212" s="4"/>
      <x:c r="L212" s="4"/>
      <x:c r="M212" s="4"/>
      <x:c r="N212" s="4"/>
      <x:c r="O212" s="4"/>
      <x:c r="P212" s="4"/>
    </x:row>
    <x:row r="213" ht="22" customHeight="1">
      <x:c r="A213" s="2"/>
      <x:c r="B213" s="2"/>
      <x:c r="C213" s="23" t="n">
        <x:v>194</x:v>
      </x:c>
      <x:c r="D213" s="32" t="n">
        <x:f>'Schedule'!D972</x:f>
        <x:v>52201</x:v>
      </x:c>
      <x:c r="E213" s="4" t="n">
        <x:f>'Schedule'!E972</x:f>
        <x:v>500</x:v>
      </x:c>
      <x:c r="F213" s="4" t="n">
        <x:f>IF(COUNT('Schedule'!Q972:Q976)=5,SUM('Schedule'!Q972:Q976),"n.a.")</x:f>
        <x:v>0</x:v>
      </x:c>
      <x:c r="G213" s="4" t="n">
        <x:f>IF(COUNT('Schedule'!M972:M976)=5,SUM('Schedule'!M972:M976),"n.a.")</x:f>
        <x:v>0</x:v>
      </x:c>
      <x:c r="H213" s="4" t="n">
        <x:f>IF(COUNT('Schedule'!S972:S976)=5,SUM('Schedule'!S972:S976),"n.a.")</x:f>
        <x:v>0</x:v>
      </x:c>
      <x:c r="I213" s="4" t="str">
        <x:f>'Schedule'!T972</x:f>
        <x:v>Ready</x:v>
      </x:c>
      <x:c r="J213" s="4"/>
      <x:c r="K213" s="4"/>
      <x:c r="L213" s="4"/>
      <x:c r="M213" s="4"/>
      <x:c r="N213" s="4"/>
      <x:c r="O213" s="4"/>
      <x:c r="P213" s="4"/>
    </x:row>
    <x:row r="214" ht="22" customHeight="1">
      <x:c r="A214" s="2"/>
      <x:c r="B214" s="2"/>
      <x:c r="C214" s="23" t="n">
        <x:v>195</x:v>
      </x:c>
      <x:c r="D214" s="32" t="n">
        <x:f>'Schedule'!D977</x:f>
        <x:v>52232</x:v>
      </x:c>
      <x:c r="E214" s="4" t="n">
        <x:f>'Schedule'!E977</x:f>
        <x:v>500</x:v>
      </x:c>
      <x:c r="F214" s="4" t="n">
        <x:f>IF(COUNT('Schedule'!Q977:Q981)=5,SUM('Schedule'!Q977:Q981),"n.a.")</x:f>
        <x:v>0</x:v>
      </x:c>
      <x:c r="G214" s="4" t="n">
        <x:f>IF(COUNT('Schedule'!M977:M981)=5,SUM('Schedule'!M977:M981),"n.a.")</x:f>
        <x:v>0</x:v>
      </x:c>
      <x:c r="H214" s="4" t="n">
        <x:f>IF(COUNT('Schedule'!S977:S981)=5,SUM('Schedule'!S977:S981),"n.a.")</x:f>
        <x:v>0</x:v>
      </x:c>
      <x:c r="I214" s="4" t="str">
        <x:f>'Schedule'!T977</x:f>
        <x:v>Ready</x:v>
      </x:c>
      <x:c r="J214" s="4"/>
      <x:c r="K214" s="4"/>
      <x:c r="L214" s="4"/>
      <x:c r="M214" s="4"/>
      <x:c r="N214" s="4"/>
      <x:c r="O214" s="4"/>
      <x:c r="P214" s="4"/>
    </x:row>
    <x:row r="215" ht="22" customHeight="1">
      <x:c r="A215" s="2"/>
      <x:c r="B215" s="2"/>
      <x:c r="C215" s="23" t="n">
        <x:v>196</x:v>
      </x:c>
      <x:c r="D215" s="32" t="n">
        <x:f>'Schedule'!D982</x:f>
        <x:v>52263</x:v>
      </x:c>
      <x:c r="E215" s="4" t="n">
        <x:f>'Schedule'!E982</x:f>
        <x:v>500</x:v>
      </x:c>
      <x:c r="F215" s="4" t="n">
        <x:f>IF(COUNT('Schedule'!Q982:Q986)=5,SUM('Schedule'!Q982:Q986),"n.a.")</x:f>
        <x:v>0</x:v>
      </x:c>
      <x:c r="G215" s="4" t="n">
        <x:f>IF(COUNT('Schedule'!M982:M986)=5,SUM('Schedule'!M982:M986),"n.a.")</x:f>
        <x:v>0</x:v>
      </x:c>
      <x:c r="H215" s="4" t="n">
        <x:f>IF(COUNT('Schedule'!S982:S986)=5,SUM('Schedule'!S982:S986),"n.a.")</x:f>
        <x:v>0</x:v>
      </x:c>
      <x:c r="I215" s="4" t="str">
        <x:f>'Schedule'!T982</x:f>
        <x:v>Ready</x:v>
      </x:c>
      <x:c r="J215" s="4"/>
      <x:c r="K215" s="4"/>
      <x:c r="L215" s="4"/>
      <x:c r="M215" s="4"/>
      <x:c r="N215" s="4"/>
      <x:c r="O215" s="4"/>
      <x:c r="P215" s="4"/>
    </x:row>
    <x:row r="216" ht="22" customHeight="1">
      <x:c r="A216" s="2"/>
      <x:c r="B216" s="2"/>
      <x:c r="C216" s="23" t="n">
        <x:v>197</x:v>
      </x:c>
      <x:c r="D216" s="32" t="n">
        <x:f>'Schedule'!D987</x:f>
        <x:v>52291</x:v>
      </x:c>
      <x:c r="E216" s="4" t="n">
        <x:f>'Schedule'!E987</x:f>
        <x:v>500</x:v>
      </x:c>
      <x:c r="F216" s="4" t="n">
        <x:f>IF(COUNT('Schedule'!Q987:Q991)=5,SUM('Schedule'!Q987:Q991),"n.a.")</x:f>
        <x:v>0</x:v>
      </x:c>
      <x:c r="G216" s="4" t="n">
        <x:f>IF(COUNT('Schedule'!M987:M991)=5,SUM('Schedule'!M987:M991),"n.a.")</x:f>
        <x:v>0</x:v>
      </x:c>
      <x:c r="H216" s="4" t="n">
        <x:f>IF(COUNT('Schedule'!S987:S991)=5,SUM('Schedule'!S987:S991),"n.a.")</x:f>
        <x:v>0</x:v>
      </x:c>
      <x:c r="I216" s="4" t="str">
        <x:f>'Schedule'!T987</x:f>
        <x:v>Ready</x:v>
      </x:c>
      <x:c r="J216" s="4"/>
      <x:c r="K216" s="4"/>
      <x:c r="L216" s="4"/>
      <x:c r="M216" s="4"/>
      <x:c r="N216" s="4"/>
      <x:c r="O216" s="4"/>
      <x:c r="P216" s="4"/>
    </x:row>
    <x:row r="217" ht="22" customHeight="1">
      <x:c r="A217" s="2"/>
      <x:c r="B217" s="2"/>
      <x:c r="C217" s="23" t="n">
        <x:v>198</x:v>
      </x:c>
      <x:c r="D217" s="32" t="n">
        <x:f>'Schedule'!D992</x:f>
        <x:v>52322</x:v>
      </x:c>
      <x:c r="E217" s="4" t="n">
        <x:f>'Schedule'!E992</x:f>
        <x:v>500</x:v>
      </x:c>
      <x:c r="F217" s="4" t="n">
        <x:f>IF(COUNT('Schedule'!Q992:Q996)=5,SUM('Schedule'!Q992:Q996),"n.a.")</x:f>
        <x:v>0</x:v>
      </x:c>
      <x:c r="G217" s="4" t="n">
        <x:f>IF(COUNT('Schedule'!M992:M996)=5,SUM('Schedule'!M992:M996),"n.a.")</x:f>
        <x:v>0</x:v>
      </x:c>
      <x:c r="H217" s="4" t="n">
        <x:f>IF(COUNT('Schedule'!S992:S996)=5,SUM('Schedule'!S992:S996),"n.a.")</x:f>
        <x:v>0</x:v>
      </x:c>
      <x:c r="I217" s="4" t="str">
        <x:f>'Schedule'!T992</x:f>
        <x:v>Ready</x:v>
      </x:c>
      <x:c r="J217" s="4"/>
      <x:c r="K217" s="4"/>
      <x:c r="L217" s="4"/>
      <x:c r="M217" s="4"/>
      <x:c r="N217" s="4"/>
      <x:c r="O217" s="4"/>
      <x:c r="P217" s="4"/>
    </x:row>
    <x:row r="218" ht="22" customHeight="1">
      <x:c r="A218" s="2"/>
      <x:c r="B218" s="2"/>
      <x:c r="C218" s="23" t="n">
        <x:v>199</x:v>
      </x:c>
      <x:c r="D218" s="32" t="n">
        <x:f>'Schedule'!D997</x:f>
        <x:v>52352</x:v>
      </x:c>
      <x:c r="E218" s="4" t="n">
        <x:f>'Schedule'!E997</x:f>
        <x:v>500</x:v>
      </x:c>
      <x:c r="F218" s="4" t="n">
        <x:f>IF(COUNT('Schedule'!Q997:Q1001)=5,SUM('Schedule'!Q997:Q1001),"n.a.")</x:f>
        <x:v>0</x:v>
      </x:c>
      <x:c r="G218" s="4" t="n">
        <x:f>IF(COUNT('Schedule'!M997:M1001)=5,SUM('Schedule'!M997:M1001),"n.a.")</x:f>
        <x:v>0</x:v>
      </x:c>
      <x:c r="H218" s="4" t="n">
        <x:f>IF(COUNT('Schedule'!S997:S1001)=5,SUM('Schedule'!S997:S1001),"n.a.")</x:f>
        <x:v>0</x:v>
      </x:c>
      <x:c r="I218" s="4" t="str">
        <x:f>'Schedule'!T997</x:f>
        <x:v>Ready</x:v>
      </x:c>
      <x:c r="J218" s="4"/>
      <x:c r="K218" s="4"/>
      <x:c r="L218" s="4"/>
      <x:c r="M218" s="4"/>
      <x:c r="N218" s="4"/>
      <x:c r="O218" s="4"/>
      <x:c r="P218" s="4"/>
    </x:row>
    <x:row r="219" ht="22" customHeight="1">
      <x:c r="A219" s="2"/>
      <x:c r="B219" s="2"/>
      <x:c r="C219" s="23" t="n">
        <x:v>200</x:v>
      </x:c>
      <x:c r="D219" s="32" t="n">
        <x:f>'Schedule'!D1002</x:f>
        <x:v>52383</x:v>
      </x:c>
      <x:c r="E219" s="4" t="n">
        <x:f>'Schedule'!E1002</x:f>
        <x:v>500</x:v>
      </x:c>
      <x:c r="F219" s="4" t="n">
        <x:f>IF(COUNT('Schedule'!Q1002:Q1006)=5,SUM('Schedule'!Q1002:Q1006),"n.a.")</x:f>
        <x:v>0</x:v>
      </x:c>
      <x:c r="G219" s="4" t="n">
        <x:f>IF(COUNT('Schedule'!M1002:M1006)=5,SUM('Schedule'!M1002:M1006),"n.a.")</x:f>
        <x:v>0</x:v>
      </x:c>
      <x:c r="H219" s="4" t="n">
        <x:f>IF(COUNT('Schedule'!S1002:S1006)=5,SUM('Schedule'!S1002:S1006),"n.a.")</x:f>
        <x:v>0</x:v>
      </x:c>
      <x:c r="I219" s="4" t="str">
        <x:f>'Schedule'!T1002</x:f>
        <x:v>Ready</x:v>
      </x:c>
      <x:c r="J219" s="4"/>
      <x:c r="K219" s="4"/>
      <x:c r="L219" s="4"/>
      <x:c r="M219" s="4"/>
      <x:c r="N219" s="4"/>
      <x:c r="O219" s="4"/>
      <x:c r="P219" s="4"/>
    </x:row>
    <x:row r="220" ht="22" customHeight="1">
      <x:c r="A220" s="2"/>
      <x:c r="B220" s="2"/>
      <x:c r="C220" s="23" t="n">
        <x:v>201</x:v>
      </x:c>
      <x:c r="D220" s="32" t="n">
        <x:f>'Schedule'!D1007</x:f>
        <x:v>52413</x:v>
      </x:c>
      <x:c r="E220" s="4" t="n">
        <x:f>'Schedule'!E1007</x:f>
        <x:v>500</x:v>
      </x:c>
      <x:c r="F220" s="4" t="n">
        <x:f>IF(COUNT('Schedule'!Q1007:Q1011)=5,SUM('Schedule'!Q1007:Q1011),"n.a.")</x:f>
        <x:v>0</x:v>
      </x:c>
      <x:c r="G220" s="4" t="n">
        <x:f>IF(COUNT('Schedule'!M1007:M1011)=5,SUM('Schedule'!M1007:M1011),"n.a.")</x:f>
        <x:v>0</x:v>
      </x:c>
      <x:c r="H220" s="4" t="n">
        <x:f>IF(COUNT('Schedule'!S1007:S1011)=5,SUM('Schedule'!S1007:S1011),"n.a.")</x:f>
        <x:v>0</x:v>
      </x:c>
      <x:c r="I220" s="4" t="str">
        <x:f>'Schedule'!T1007</x:f>
        <x:v>Ready</x:v>
      </x:c>
      <x:c r="J220" s="4"/>
      <x:c r="K220" s="4"/>
      <x:c r="L220" s="4"/>
      <x:c r="M220" s="4"/>
      <x:c r="N220" s="4"/>
      <x:c r="O220" s="4"/>
      <x:c r="P220" s="4"/>
    </x:row>
    <x:row r="221" ht="22" customHeight="1">
      <x:c r="A221" s="2"/>
      <x:c r="B221" s="2"/>
      <x:c r="C221" s="23" t="n">
        <x:v>202</x:v>
      </x:c>
      <x:c r="D221" s="32" t="n">
        <x:f>'Schedule'!D1012</x:f>
        <x:v>52444</x:v>
      </x:c>
      <x:c r="E221" s="4" t="n">
        <x:f>'Schedule'!E1012</x:f>
        <x:v>500</x:v>
      </x:c>
      <x:c r="F221" s="4" t="n">
        <x:f>IF(COUNT('Schedule'!Q1012:Q1016)=5,SUM('Schedule'!Q1012:Q1016),"n.a.")</x:f>
        <x:v>0</x:v>
      </x:c>
      <x:c r="G221" s="4" t="n">
        <x:f>IF(COUNT('Schedule'!M1012:M1016)=5,SUM('Schedule'!M1012:M1016),"n.a.")</x:f>
        <x:v>0</x:v>
      </x:c>
      <x:c r="H221" s="4" t="n">
        <x:f>IF(COUNT('Schedule'!S1012:S1016)=5,SUM('Schedule'!S1012:S1016),"n.a.")</x:f>
        <x:v>0</x:v>
      </x:c>
      <x:c r="I221" s="4" t="str">
        <x:f>'Schedule'!T1012</x:f>
        <x:v>Ready</x:v>
      </x:c>
      <x:c r="J221" s="4"/>
      <x:c r="K221" s="4"/>
      <x:c r="L221" s="4"/>
      <x:c r="M221" s="4"/>
      <x:c r="N221" s="4"/>
      <x:c r="O221" s="4"/>
      <x:c r="P221" s="4"/>
    </x:row>
    <x:row r="222" ht="22" customHeight="1">
      <x:c r="A222" s="2"/>
      <x:c r="B222" s="2"/>
      <x:c r="C222" s="23" t="n">
        <x:v>203</x:v>
      </x:c>
      <x:c r="D222" s="32" t="n">
        <x:f>'Schedule'!D1017</x:f>
        <x:v>52475</x:v>
      </x:c>
      <x:c r="E222" s="4" t="n">
        <x:f>'Schedule'!E1017</x:f>
        <x:v>500</x:v>
      </x:c>
      <x:c r="F222" s="4" t="n">
        <x:f>IF(COUNT('Schedule'!Q1017:Q1021)=5,SUM('Schedule'!Q1017:Q1021),"n.a.")</x:f>
        <x:v>0</x:v>
      </x:c>
      <x:c r="G222" s="4" t="n">
        <x:f>IF(COUNT('Schedule'!M1017:M1021)=5,SUM('Schedule'!M1017:M1021),"n.a.")</x:f>
        <x:v>0</x:v>
      </x:c>
      <x:c r="H222" s="4" t="n">
        <x:f>IF(COUNT('Schedule'!S1017:S1021)=5,SUM('Schedule'!S1017:S1021),"n.a.")</x:f>
        <x:v>0</x:v>
      </x:c>
      <x:c r="I222" s="4" t="str">
        <x:f>'Schedule'!T1017</x:f>
        <x:v>Ready</x:v>
      </x:c>
      <x:c r="J222" s="4"/>
      <x:c r="K222" s="4"/>
      <x:c r="L222" s="4"/>
      <x:c r="M222" s="4"/>
      <x:c r="N222" s="4"/>
      <x:c r="O222" s="4"/>
      <x:c r="P222" s="4"/>
    </x:row>
    <x:row r="223" ht="22" customHeight="1">
      <x:c r="A223" s="2"/>
      <x:c r="B223" s="2"/>
      <x:c r="C223" s="23" t="n">
        <x:v>204</x:v>
      </x:c>
      <x:c r="D223" s="32" t="n">
        <x:f>'Schedule'!D1022</x:f>
        <x:v>52505</x:v>
      </x:c>
      <x:c r="E223" s="4" t="n">
        <x:f>'Schedule'!E1022</x:f>
        <x:v>500</x:v>
      </x:c>
      <x:c r="F223" s="4" t="n">
        <x:f>IF(COUNT('Schedule'!Q1022:Q1026)=5,SUM('Schedule'!Q1022:Q1026),"n.a.")</x:f>
        <x:v>0</x:v>
      </x:c>
      <x:c r="G223" s="4" t="n">
        <x:f>IF(COUNT('Schedule'!M1022:M1026)=5,SUM('Schedule'!M1022:M1026),"n.a.")</x:f>
        <x:v>0</x:v>
      </x:c>
      <x:c r="H223" s="4" t="n">
        <x:f>IF(COUNT('Schedule'!S1022:S1026)=5,SUM('Schedule'!S1022:S1026),"n.a.")</x:f>
        <x:v>0</x:v>
      </x:c>
      <x:c r="I223" s="4" t="str">
        <x:f>'Schedule'!T1022</x:f>
        <x:v>Ready</x:v>
      </x:c>
      <x:c r="J223" s="4"/>
      <x:c r="K223" s="4"/>
      <x:c r="L223" s="4"/>
      <x:c r="M223" s="4"/>
      <x:c r="N223" s="4"/>
      <x:c r="O223" s="4"/>
      <x:c r="P223" s="4"/>
    </x:row>
    <x:row r="224" ht="22" customHeight="1">
      <x:c r="A224" s="2"/>
      <x:c r="B224" s="2"/>
      <x:c r="C224" s="23" t="n">
        <x:v>205</x:v>
      </x:c>
      <x:c r="D224" s="32" t="n">
        <x:f>'Schedule'!D1027</x:f>
        <x:v>52536</x:v>
      </x:c>
      <x:c r="E224" s="4" t="n">
        <x:f>'Schedule'!E1027</x:f>
        <x:v>500</x:v>
      </x:c>
      <x:c r="F224" s="4" t="n">
        <x:f>IF(COUNT('Schedule'!Q1027:Q1031)=5,SUM('Schedule'!Q1027:Q1031),"n.a.")</x:f>
        <x:v>0</x:v>
      </x:c>
      <x:c r="G224" s="4" t="n">
        <x:f>IF(COUNT('Schedule'!M1027:M1031)=5,SUM('Schedule'!M1027:M1031),"n.a.")</x:f>
        <x:v>0</x:v>
      </x:c>
      <x:c r="H224" s="4" t="n">
        <x:f>IF(COUNT('Schedule'!S1027:S1031)=5,SUM('Schedule'!S1027:S1031),"n.a.")</x:f>
        <x:v>0</x:v>
      </x:c>
      <x:c r="I224" s="4" t="str">
        <x:f>'Schedule'!T1027</x:f>
        <x:v>Ready</x:v>
      </x:c>
      <x:c r="J224" s="4"/>
      <x:c r="K224" s="4"/>
      <x:c r="L224" s="4"/>
      <x:c r="M224" s="4"/>
      <x:c r="N224" s="4"/>
      <x:c r="O224" s="4"/>
      <x:c r="P224" s="4"/>
    </x:row>
    <x:row r="225" ht="22" customHeight="1">
      <x:c r="A225" s="2"/>
      <x:c r="B225" s="2"/>
      <x:c r="C225" s="23" t="n">
        <x:v>206</x:v>
      </x:c>
      <x:c r="D225" s="32" t="n">
        <x:f>'Schedule'!D1032</x:f>
        <x:v>52566</x:v>
      </x:c>
      <x:c r="E225" s="4" t="n">
        <x:f>'Schedule'!E1032</x:f>
        <x:v>500</x:v>
      </x:c>
      <x:c r="F225" s="4" t="n">
        <x:f>IF(COUNT('Schedule'!Q1032:Q1036)=5,SUM('Schedule'!Q1032:Q1036),"n.a.")</x:f>
        <x:v>0</x:v>
      </x:c>
      <x:c r="G225" s="4" t="n">
        <x:f>IF(COUNT('Schedule'!M1032:M1036)=5,SUM('Schedule'!M1032:M1036),"n.a.")</x:f>
        <x:v>0</x:v>
      </x:c>
      <x:c r="H225" s="4" t="n">
        <x:f>IF(COUNT('Schedule'!S1032:S1036)=5,SUM('Schedule'!S1032:S1036),"n.a.")</x:f>
        <x:v>0</x:v>
      </x:c>
      <x:c r="I225" s="4" t="str">
        <x:f>'Schedule'!T1032</x:f>
        <x:v>Ready</x:v>
      </x:c>
      <x:c r="J225" s="4"/>
      <x:c r="K225" s="4"/>
      <x:c r="L225" s="4"/>
      <x:c r="M225" s="4"/>
      <x:c r="N225" s="4"/>
      <x:c r="O225" s="4"/>
      <x:c r="P225" s="4"/>
    </x:row>
    <x:row r="226" ht="22" customHeight="1">
      <x:c r="A226" s="2"/>
      <x:c r="B226" s="2"/>
      <x:c r="C226" s="23" t="n">
        <x:v>207</x:v>
      </x:c>
      <x:c r="D226" s="32" t="n">
        <x:f>'Schedule'!D1037</x:f>
        <x:v>52597</x:v>
      </x:c>
      <x:c r="E226" s="4" t="n">
        <x:f>'Schedule'!E1037</x:f>
        <x:v>500</x:v>
      </x:c>
      <x:c r="F226" s="4" t="n">
        <x:f>IF(COUNT('Schedule'!Q1037:Q1041)=5,SUM('Schedule'!Q1037:Q1041),"n.a.")</x:f>
        <x:v>0</x:v>
      </x:c>
      <x:c r="G226" s="4" t="n">
        <x:f>IF(COUNT('Schedule'!M1037:M1041)=5,SUM('Schedule'!M1037:M1041),"n.a.")</x:f>
        <x:v>0</x:v>
      </x:c>
      <x:c r="H226" s="4" t="n">
        <x:f>IF(COUNT('Schedule'!S1037:S1041)=5,SUM('Schedule'!S1037:S1041),"n.a.")</x:f>
        <x:v>0</x:v>
      </x:c>
      <x:c r="I226" s="4" t="str">
        <x:f>'Schedule'!T1037</x:f>
        <x:v>Ready</x:v>
      </x:c>
      <x:c r="J226" s="4"/>
      <x:c r="K226" s="4"/>
      <x:c r="L226" s="4"/>
      <x:c r="M226" s="4"/>
      <x:c r="N226" s="4"/>
      <x:c r="O226" s="4"/>
      <x:c r="P226" s="4"/>
    </x:row>
    <x:row r="227" ht="22" customHeight="1">
      <x:c r="A227" s="2"/>
      <x:c r="B227" s="2"/>
      <x:c r="C227" s="23" t="n">
        <x:v>208</x:v>
      </x:c>
      <x:c r="D227" s="32" t="n">
        <x:f>'Schedule'!D1042</x:f>
        <x:v>52628</x:v>
      </x:c>
      <x:c r="E227" s="4" t="n">
        <x:f>'Schedule'!E1042</x:f>
        <x:v>500</x:v>
      </x:c>
      <x:c r="F227" s="4" t="n">
        <x:f>IF(COUNT('Schedule'!Q1042:Q1046)=5,SUM('Schedule'!Q1042:Q1046),"n.a.")</x:f>
        <x:v>0</x:v>
      </x:c>
      <x:c r="G227" s="4" t="n">
        <x:f>IF(COUNT('Schedule'!M1042:M1046)=5,SUM('Schedule'!M1042:M1046),"n.a.")</x:f>
        <x:v>0</x:v>
      </x:c>
      <x:c r="H227" s="4" t="n">
        <x:f>IF(COUNT('Schedule'!S1042:S1046)=5,SUM('Schedule'!S1042:S1046),"n.a.")</x:f>
        <x:v>0</x:v>
      </x:c>
      <x:c r="I227" s="4" t="str">
        <x:f>'Schedule'!T1042</x:f>
        <x:v>Ready</x:v>
      </x:c>
      <x:c r="J227" s="4"/>
      <x:c r="K227" s="4"/>
      <x:c r="L227" s="4"/>
      <x:c r="M227" s="4"/>
      <x:c r="N227" s="4"/>
      <x:c r="O227" s="4"/>
      <x:c r="P227" s="4"/>
    </x:row>
    <x:row r="228" ht="22" customHeight="1">
      <x:c r="A228" s="2"/>
      <x:c r="B228" s="2"/>
      <x:c r="C228" s="23" t="n">
        <x:v>209</x:v>
      </x:c>
      <x:c r="D228" s="32" t="n">
        <x:f>'Schedule'!D1047</x:f>
        <x:v>52657</x:v>
      </x:c>
      <x:c r="E228" s="4" t="n">
        <x:f>'Schedule'!E1047</x:f>
        <x:v>500</x:v>
      </x:c>
      <x:c r="F228" s="4" t="n">
        <x:f>IF(COUNT('Schedule'!Q1047:Q1051)=5,SUM('Schedule'!Q1047:Q1051),"n.a.")</x:f>
        <x:v>0</x:v>
      </x:c>
      <x:c r="G228" s="4" t="n">
        <x:f>IF(COUNT('Schedule'!M1047:M1051)=5,SUM('Schedule'!M1047:M1051),"n.a.")</x:f>
        <x:v>0</x:v>
      </x:c>
      <x:c r="H228" s="4" t="n">
        <x:f>IF(COUNT('Schedule'!S1047:S1051)=5,SUM('Schedule'!S1047:S1051),"n.a.")</x:f>
        <x:v>0</x:v>
      </x:c>
      <x:c r="I228" s="4" t="str">
        <x:f>'Schedule'!T1047</x:f>
        <x:v>Ready</x:v>
      </x:c>
      <x:c r="J228" s="4"/>
      <x:c r="K228" s="4"/>
      <x:c r="L228" s="4"/>
      <x:c r="M228" s="4"/>
      <x:c r="N228" s="4"/>
      <x:c r="O228" s="4"/>
      <x:c r="P228" s="4"/>
    </x:row>
    <x:row r="229" ht="22" customHeight="1">
      <x:c r="A229" s="2"/>
      <x:c r="B229" s="2"/>
      <x:c r="C229" s="23" t="n">
        <x:v>210</x:v>
      </x:c>
      <x:c r="D229" s="32" t="n">
        <x:f>'Schedule'!D1052</x:f>
        <x:v>52688</x:v>
      </x:c>
      <x:c r="E229" s="4" t="n">
        <x:f>'Schedule'!E1052</x:f>
        <x:v>500</x:v>
      </x:c>
      <x:c r="F229" s="4" t="n">
        <x:f>IF(COUNT('Schedule'!Q1052:Q1056)=5,SUM('Schedule'!Q1052:Q1056),"n.a.")</x:f>
        <x:v>0</x:v>
      </x:c>
      <x:c r="G229" s="4" t="n">
        <x:f>IF(COUNT('Schedule'!M1052:M1056)=5,SUM('Schedule'!M1052:M1056),"n.a.")</x:f>
        <x:v>0</x:v>
      </x:c>
      <x:c r="H229" s="4" t="n">
        <x:f>IF(COUNT('Schedule'!S1052:S1056)=5,SUM('Schedule'!S1052:S1056),"n.a.")</x:f>
        <x:v>0</x:v>
      </x:c>
      <x:c r="I229" s="4" t="str">
        <x:f>'Schedule'!T1052</x:f>
        <x:v>Ready</x:v>
      </x:c>
      <x:c r="J229" s="4"/>
      <x:c r="K229" s="4"/>
      <x:c r="L229" s="4"/>
      <x:c r="M229" s="4"/>
      <x:c r="N229" s="4"/>
      <x:c r="O229" s="4"/>
      <x:c r="P229" s="4"/>
    </x:row>
    <x:row r="230" ht="22" customHeight="1">
      <x:c r="A230" s="2"/>
      <x:c r="B230" s="2"/>
      <x:c r="C230" s="23" t="n">
        <x:v>211</x:v>
      </x:c>
      <x:c r="D230" s="32" t="n">
        <x:f>'Schedule'!D1057</x:f>
        <x:v>52718</x:v>
      </x:c>
      <x:c r="E230" s="4" t="n">
        <x:f>'Schedule'!E1057</x:f>
        <x:v>500</x:v>
      </x:c>
      <x:c r="F230" s="4" t="n">
        <x:f>IF(COUNT('Schedule'!Q1057:Q1061)=5,SUM('Schedule'!Q1057:Q1061),"n.a.")</x:f>
        <x:v>0</x:v>
      </x:c>
      <x:c r="G230" s="4" t="n">
        <x:f>IF(COUNT('Schedule'!M1057:M1061)=5,SUM('Schedule'!M1057:M1061),"n.a.")</x:f>
        <x:v>0</x:v>
      </x:c>
      <x:c r="H230" s="4" t="n">
        <x:f>IF(COUNT('Schedule'!S1057:S1061)=5,SUM('Schedule'!S1057:S1061),"n.a.")</x:f>
        <x:v>0</x:v>
      </x:c>
      <x:c r="I230" s="4" t="str">
        <x:f>'Schedule'!T1057</x:f>
        <x:v>Ready</x:v>
      </x:c>
      <x:c r="J230" s="4"/>
      <x:c r="K230" s="4"/>
      <x:c r="L230" s="4"/>
      <x:c r="M230" s="4"/>
      <x:c r="N230" s="4"/>
      <x:c r="O230" s="4"/>
      <x:c r="P230" s="4"/>
    </x:row>
    <x:row r="231" ht="22" customHeight="1">
      <x:c r="A231" s="2"/>
      <x:c r="B231" s="2"/>
      <x:c r="C231" s="23" t="n">
        <x:v>212</x:v>
      </x:c>
      <x:c r="D231" s="32" t="n">
        <x:f>'Schedule'!D1062</x:f>
        <x:v>52749</x:v>
      </x:c>
      <x:c r="E231" s="4" t="n">
        <x:f>'Schedule'!E1062</x:f>
        <x:v>500</x:v>
      </x:c>
      <x:c r="F231" s="4" t="n">
        <x:f>IF(COUNT('Schedule'!Q1062:Q1066)=5,SUM('Schedule'!Q1062:Q1066),"n.a.")</x:f>
        <x:v>0</x:v>
      </x:c>
      <x:c r="G231" s="4" t="n">
        <x:f>IF(COUNT('Schedule'!M1062:M1066)=5,SUM('Schedule'!M1062:M1066),"n.a.")</x:f>
        <x:v>0</x:v>
      </x:c>
      <x:c r="H231" s="4" t="n">
        <x:f>IF(COUNT('Schedule'!S1062:S1066)=5,SUM('Schedule'!S1062:S1066),"n.a.")</x:f>
        <x:v>0</x:v>
      </x:c>
      <x:c r="I231" s="4" t="str">
        <x:f>'Schedule'!T1062</x:f>
        <x:v>Ready</x:v>
      </x:c>
      <x:c r="J231" s="4"/>
      <x:c r="K231" s="4"/>
      <x:c r="L231" s="4"/>
      <x:c r="M231" s="4"/>
      <x:c r="N231" s="4"/>
      <x:c r="O231" s="4"/>
      <x:c r="P231" s="4"/>
    </x:row>
    <x:row r="232" ht="22" customHeight="1">
      <x:c r="A232" s="2"/>
      <x:c r="B232" s="2"/>
      <x:c r="C232" s="23" t="n">
        <x:v>213</x:v>
      </x:c>
      <x:c r="D232" s="32" t="n">
        <x:f>'Schedule'!D1067</x:f>
        <x:v>52779</x:v>
      </x:c>
      <x:c r="E232" s="4" t="n">
        <x:f>'Schedule'!E1067</x:f>
        <x:v>500</x:v>
      </x:c>
      <x:c r="F232" s="4" t="n">
        <x:f>IF(COUNT('Schedule'!Q1067:Q1071)=5,SUM('Schedule'!Q1067:Q1071),"n.a.")</x:f>
        <x:v>0</x:v>
      </x:c>
      <x:c r="G232" s="4" t="n">
        <x:f>IF(COUNT('Schedule'!M1067:M1071)=5,SUM('Schedule'!M1067:M1071),"n.a.")</x:f>
        <x:v>0</x:v>
      </x:c>
      <x:c r="H232" s="4" t="n">
        <x:f>IF(COUNT('Schedule'!S1067:S1071)=5,SUM('Schedule'!S1067:S1071),"n.a.")</x:f>
        <x:v>0</x:v>
      </x:c>
      <x:c r="I232" s="4" t="str">
        <x:f>'Schedule'!T1067</x:f>
        <x:v>Ready</x:v>
      </x:c>
      <x:c r="J232" s="4"/>
      <x:c r="K232" s="4"/>
      <x:c r="L232" s="4"/>
      <x:c r="M232" s="4"/>
      <x:c r="N232" s="4"/>
      <x:c r="O232" s="4"/>
      <x:c r="P232" s="4"/>
    </x:row>
    <x:row r="233" ht="22" customHeight="1">
      <x:c r="A233" s="2"/>
      <x:c r="B233" s="2"/>
      <x:c r="C233" s="23" t="n">
        <x:v>214</x:v>
      </x:c>
      <x:c r="D233" s="32" t="n">
        <x:f>'Schedule'!D1072</x:f>
        <x:v>52810</x:v>
      </x:c>
      <x:c r="E233" s="4" t="n">
        <x:f>'Schedule'!E1072</x:f>
        <x:v>500</x:v>
      </x:c>
      <x:c r="F233" s="4" t="n">
        <x:f>IF(COUNT('Schedule'!Q1072:Q1076)=5,SUM('Schedule'!Q1072:Q1076),"n.a.")</x:f>
        <x:v>0</x:v>
      </x:c>
      <x:c r="G233" s="4" t="n">
        <x:f>IF(COUNT('Schedule'!M1072:M1076)=5,SUM('Schedule'!M1072:M1076),"n.a.")</x:f>
        <x:v>0</x:v>
      </x:c>
      <x:c r="H233" s="4" t="n">
        <x:f>IF(COUNT('Schedule'!S1072:S1076)=5,SUM('Schedule'!S1072:S1076),"n.a.")</x:f>
        <x:v>0</x:v>
      </x:c>
      <x:c r="I233" s="4" t="str">
        <x:f>'Schedule'!T1072</x:f>
        <x:v>Ready</x:v>
      </x:c>
      <x:c r="J233" s="4"/>
      <x:c r="K233" s="4"/>
      <x:c r="L233" s="4"/>
      <x:c r="M233" s="4"/>
      <x:c r="N233" s="4"/>
      <x:c r="O233" s="4"/>
      <x:c r="P233" s="4"/>
    </x:row>
    <x:row r="234" ht="22" customHeight="1">
      <x:c r="A234" s="2"/>
      <x:c r="B234" s="2"/>
      <x:c r="C234" s="23" t="n">
        <x:v>215</x:v>
      </x:c>
      <x:c r="D234" s="32" t="n">
        <x:f>'Schedule'!D1077</x:f>
        <x:v>52841</x:v>
      </x:c>
      <x:c r="E234" s="4" t="n">
        <x:f>'Schedule'!E1077</x:f>
        <x:v>500</x:v>
      </x:c>
      <x:c r="F234" s="4" t="n">
        <x:f>IF(COUNT('Schedule'!Q1077:Q1081)=5,SUM('Schedule'!Q1077:Q1081),"n.a.")</x:f>
        <x:v>0</x:v>
      </x:c>
      <x:c r="G234" s="4" t="n">
        <x:f>IF(COUNT('Schedule'!M1077:M1081)=5,SUM('Schedule'!M1077:M1081),"n.a.")</x:f>
        <x:v>0</x:v>
      </x:c>
      <x:c r="H234" s="4" t="n">
        <x:f>IF(COUNT('Schedule'!S1077:S1081)=5,SUM('Schedule'!S1077:S1081),"n.a.")</x:f>
        <x:v>0</x:v>
      </x:c>
      <x:c r="I234" s="4" t="str">
        <x:f>'Schedule'!T1077</x:f>
        <x:v>Ready</x:v>
      </x:c>
      <x:c r="J234" s="4"/>
      <x:c r="K234" s="4"/>
      <x:c r="L234" s="4"/>
      <x:c r="M234" s="4"/>
      <x:c r="N234" s="4"/>
      <x:c r="O234" s="4"/>
      <x:c r="P234" s="4"/>
    </x:row>
    <x:row r="235" ht="22" customHeight="1">
      <x:c r="A235" s="2"/>
      <x:c r="B235" s="2"/>
      <x:c r="C235" s="23" t="n">
        <x:v>216</x:v>
      </x:c>
      <x:c r="D235" s="32" t="n">
        <x:f>'Schedule'!D1082</x:f>
        <x:v>52871</x:v>
      </x:c>
      <x:c r="E235" s="4" t="n">
        <x:f>'Schedule'!E1082</x:f>
        <x:v>500</x:v>
      </x:c>
      <x:c r="F235" s="4" t="n">
        <x:f>IF(COUNT('Schedule'!Q1082:Q1086)=5,SUM('Schedule'!Q1082:Q1086),"n.a.")</x:f>
        <x:v>0</x:v>
      </x:c>
      <x:c r="G235" s="4" t="n">
        <x:f>IF(COUNT('Schedule'!M1082:M1086)=5,SUM('Schedule'!M1082:M1086),"n.a.")</x:f>
        <x:v>0</x:v>
      </x:c>
      <x:c r="H235" s="4" t="n">
        <x:f>IF(COUNT('Schedule'!S1082:S1086)=5,SUM('Schedule'!S1082:S1086),"n.a.")</x:f>
        <x:v>0</x:v>
      </x:c>
      <x:c r="I235" s="4" t="str">
        <x:f>'Schedule'!T1082</x:f>
        <x:v>Ready</x:v>
      </x:c>
      <x:c r="J235" s="4"/>
      <x:c r="K235" s="4"/>
      <x:c r="L235" s="4"/>
      <x:c r="M235" s="4"/>
      <x:c r="N235" s="4"/>
      <x:c r="O235" s="4"/>
      <x:c r="P235" s="4"/>
    </x:row>
    <x:row r="236" ht="22" customHeight="1">
      <x:c r="A236" s="2"/>
      <x:c r="B236" s="2"/>
      <x:c r="C236" s="23" t="n">
        <x:v>217</x:v>
      </x:c>
      <x:c r="D236" s="32" t="n">
        <x:f>'Schedule'!D1087</x:f>
        <x:v>52902</x:v>
      </x:c>
      <x:c r="E236" s="4" t="n">
        <x:f>'Schedule'!E1087</x:f>
        <x:v>500</x:v>
      </x:c>
      <x:c r="F236" s="4" t="n">
        <x:f>IF(COUNT('Schedule'!Q1087:Q1091)=5,SUM('Schedule'!Q1087:Q1091),"n.a.")</x:f>
        <x:v>0</x:v>
      </x:c>
      <x:c r="G236" s="4" t="n">
        <x:f>IF(COUNT('Schedule'!M1087:M1091)=5,SUM('Schedule'!M1087:M1091),"n.a.")</x:f>
        <x:v>0</x:v>
      </x:c>
      <x:c r="H236" s="4" t="n">
        <x:f>IF(COUNT('Schedule'!S1087:S1091)=5,SUM('Schedule'!S1087:S1091),"n.a.")</x:f>
        <x:v>0</x:v>
      </x:c>
      <x:c r="I236" s="4" t="str">
        <x:f>'Schedule'!T1087</x:f>
        <x:v>Ready</x:v>
      </x:c>
      <x:c r="J236" s="4"/>
      <x:c r="K236" s="4"/>
      <x:c r="L236" s="4"/>
      <x:c r="M236" s="4"/>
      <x:c r="N236" s="4"/>
      <x:c r="O236" s="4"/>
      <x:c r="P236" s="4"/>
    </x:row>
    <x:row r="237" ht="22" customHeight="1">
      <x:c r="A237" s="2"/>
      <x:c r="B237" s="2"/>
      <x:c r="C237" s="23" t="n">
        <x:v>218</x:v>
      </x:c>
      <x:c r="D237" s="32" t="n">
        <x:f>'Schedule'!D1092</x:f>
        <x:v>52932</x:v>
      </x:c>
      <x:c r="E237" s="4" t="n">
        <x:f>'Schedule'!E1092</x:f>
        <x:v>500</x:v>
      </x:c>
      <x:c r="F237" s="4" t="n">
        <x:f>IF(COUNT('Schedule'!Q1092:Q1096)=5,SUM('Schedule'!Q1092:Q1096),"n.a.")</x:f>
        <x:v>0</x:v>
      </x:c>
      <x:c r="G237" s="4" t="n">
        <x:f>IF(COUNT('Schedule'!M1092:M1096)=5,SUM('Schedule'!M1092:M1096),"n.a.")</x:f>
        <x:v>0</x:v>
      </x:c>
      <x:c r="H237" s="4" t="n">
        <x:f>IF(COUNT('Schedule'!S1092:S1096)=5,SUM('Schedule'!S1092:S1096),"n.a.")</x:f>
        <x:v>0</x:v>
      </x:c>
      <x:c r="I237" s="4" t="str">
        <x:f>'Schedule'!T1092</x:f>
        <x:v>Ready</x:v>
      </x:c>
      <x:c r="J237" s="4"/>
      <x:c r="K237" s="4"/>
      <x:c r="L237" s="4"/>
      <x:c r="M237" s="4"/>
      <x:c r="N237" s="4"/>
      <x:c r="O237" s="4"/>
      <x:c r="P237" s="4"/>
    </x:row>
    <x:row r="238" ht="22" customHeight="1">
      <x:c r="A238" s="2"/>
      <x:c r="B238" s="2"/>
      <x:c r="C238" s="23" t="n">
        <x:v>219</x:v>
      </x:c>
      <x:c r="D238" s="32" t="n">
        <x:f>'Schedule'!D1097</x:f>
        <x:v>52963</x:v>
      </x:c>
      <x:c r="E238" s="4" t="n">
        <x:f>'Schedule'!E1097</x:f>
        <x:v>500</x:v>
      </x:c>
      <x:c r="F238" s="4" t="n">
        <x:f>IF(COUNT('Schedule'!Q1097:Q1101)=5,SUM('Schedule'!Q1097:Q1101),"n.a.")</x:f>
        <x:v>0</x:v>
      </x:c>
      <x:c r="G238" s="4" t="n">
        <x:f>IF(COUNT('Schedule'!M1097:M1101)=5,SUM('Schedule'!M1097:M1101),"n.a.")</x:f>
        <x:v>0</x:v>
      </x:c>
      <x:c r="H238" s="4" t="n">
        <x:f>IF(COUNT('Schedule'!S1097:S1101)=5,SUM('Schedule'!S1097:S1101),"n.a.")</x:f>
        <x:v>0</x:v>
      </x:c>
      <x:c r="I238" s="4" t="str">
        <x:f>'Schedule'!T1097</x:f>
        <x:v>Ready</x:v>
      </x:c>
      <x:c r="J238" s="4"/>
      <x:c r="K238" s="4"/>
      <x:c r="L238" s="4"/>
      <x:c r="M238" s="4"/>
      <x:c r="N238" s="4"/>
      <x:c r="O238" s="4"/>
      <x:c r="P238" s="4"/>
    </x:row>
    <x:row r="239" ht="22" customHeight="1">
      <x:c r="A239" s="2"/>
      <x:c r="B239" s="2"/>
      <x:c r="C239" s="23" t="n">
        <x:v>220</x:v>
      </x:c>
      <x:c r="D239" s="32" t="n">
        <x:f>'Schedule'!D1102</x:f>
        <x:v>52994</x:v>
      </x:c>
      <x:c r="E239" s="4" t="n">
        <x:f>'Schedule'!E1102</x:f>
        <x:v>500</x:v>
      </x:c>
      <x:c r="F239" s="4" t="n">
        <x:f>IF(COUNT('Schedule'!Q1102:Q1106)=5,SUM('Schedule'!Q1102:Q1106),"n.a.")</x:f>
        <x:v>0</x:v>
      </x:c>
      <x:c r="G239" s="4" t="n">
        <x:f>IF(COUNT('Schedule'!M1102:M1106)=5,SUM('Schedule'!M1102:M1106),"n.a.")</x:f>
        <x:v>0</x:v>
      </x:c>
      <x:c r="H239" s="4" t="n">
        <x:f>IF(COUNT('Schedule'!S1102:S1106)=5,SUM('Schedule'!S1102:S1106),"n.a.")</x:f>
        <x:v>0</x:v>
      </x:c>
      <x:c r="I239" s="4" t="str">
        <x:f>'Schedule'!T1102</x:f>
        <x:v>Ready</x:v>
      </x:c>
      <x:c r="J239" s="4"/>
      <x:c r="K239" s="4"/>
      <x:c r="L239" s="4"/>
      <x:c r="M239" s="4"/>
      <x:c r="N239" s="4"/>
      <x:c r="O239" s="4"/>
      <x:c r="P239" s="4"/>
    </x:row>
    <x:row r="240" ht="22" customHeight="1">
      <x:c r="A240" s="2"/>
      <x:c r="B240" s="2"/>
      <x:c r="C240" s="23" t="n">
        <x:v>221</x:v>
      </x:c>
      <x:c r="D240" s="32" t="n">
        <x:f>'Schedule'!D1107</x:f>
        <x:v>53022</x:v>
      </x:c>
      <x:c r="E240" s="4" t="n">
        <x:f>'Schedule'!E1107</x:f>
        <x:v>500</x:v>
      </x:c>
      <x:c r="F240" s="4" t="n">
        <x:f>IF(COUNT('Schedule'!Q1107:Q1111)=5,SUM('Schedule'!Q1107:Q1111),"n.a.")</x:f>
        <x:v>0</x:v>
      </x:c>
      <x:c r="G240" s="4" t="n">
        <x:f>IF(COUNT('Schedule'!M1107:M1111)=5,SUM('Schedule'!M1107:M1111),"n.a.")</x:f>
        <x:v>0</x:v>
      </x:c>
      <x:c r="H240" s="4" t="n">
        <x:f>IF(COUNT('Schedule'!S1107:S1111)=5,SUM('Schedule'!S1107:S1111),"n.a.")</x:f>
        <x:v>0</x:v>
      </x:c>
      <x:c r="I240" s="4" t="str">
        <x:f>'Schedule'!T1107</x:f>
        <x:v>Ready</x:v>
      </x:c>
      <x:c r="J240" s="4"/>
      <x:c r="K240" s="4"/>
      <x:c r="L240" s="4"/>
      <x:c r="M240" s="4"/>
      <x:c r="N240" s="4"/>
      <x:c r="O240" s="4"/>
      <x:c r="P240" s="4"/>
    </x:row>
    <x:row r="241" ht="22" customHeight="1">
      <x:c r="A241" s="2"/>
      <x:c r="B241" s="2"/>
      <x:c r="C241" s="23" t="n">
        <x:v>222</x:v>
      </x:c>
      <x:c r="D241" s="32" t="n">
        <x:f>'Schedule'!D1112</x:f>
        <x:v>53053</x:v>
      </x:c>
      <x:c r="E241" s="4" t="n">
        <x:f>'Schedule'!E1112</x:f>
        <x:v>500</x:v>
      </x:c>
      <x:c r="F241" s="4" t="n">
        <x:f>IF(COUNT('Schedule'!Q1112:Q1116)=5,SUM('Schedule'!Q1112:Q1116),"n.a.")</x:f>
        <x:v>0</x:v>
      </x:c>
      <x:c r="G241" s="4" t="n">
        <x:f>IF(COUNT('Schedule'!M1112:M1116)=5,SUM('Schedule'!M1112:M1116),"n.a.")</x:f>
        <x:v>0</x:v>
      </x:c>
      <x:c r="H241" s="4" t="n">
        <x:f>IF(COUNT('Schedule'!S1112:S1116)=5,SUM('Schedule'!S1112:S1116),"n.a.")</x:f>
        <x:v>0</x:v>
      </x:c>
      <x:c r="I241" s="4" t="str">
        <x:f>'Schedule'!T1112</x:f>
        <x:v>Ready</x:v>
      </x:c>
      <x:c r="J241" s="4"/>
      <x:c r="K241" s="4"/>
      <x:c r="L241" s="4"/>
      <x:c r="M241" s="4"/>
      <x:c r="N241" s="4"/>
      <x:c r="O241" s="4"/>
      <x:c r="P241" s="4"/>
    </x:row>
    <x:row r="242" ht="22" customHeight="1">
      <x:c r="A242" s="2"/>
      <x:c r="B242" s="2"/>
      <x:c r="C242" s="23" t="n">
        <x:v>223</x:v>
      </x:c>
      <x:c r="D242" s="32" t="n">
        <x:f>'Schedule'!D1117</x:f>
        <x:v>53083</x:v>
      </x:c>
      <x:c r="E242" s="4" t="n">
        <x:f>'Schedule'!E1117</x:f>
        <x:v>500</x:v>
      </x:c>
      <x:c r="F242" s="4" t="n">
        <x:f>IF(COUNT('Schedule'!Q1117:Q1121)=5,SUM('Schedule'!Q1117:Q1121),"n.a.")</x:f>
        <x:v>0</x:v>
      </x:c>
      <x:c r="G242" s="4" t="n">
        <x:f>IF(COUNT('Schedule'!M1117:M1121)=5,SUM('Schedule'!M1117:M1121),"n.a.")</x:f>
        <x:v>0</x:v>
      </x:c>
      <x:c r="H242" s="4" t="n">
        <x:f>IF(COUNT('Schedule'!S1117:S1121)=5,SUM('Schedule'!S1117:S1121),"n.a.")</x:f>
        <x:v>0</x:v>
      </x:c>
      <x:c r="I242" s="4" t="str">
        <x:f>'Schedule'!T1117</x:f>
        <x:v>Ready</x:v>
      </x:c>
      <x:c r="J242" s="4"/>
      <x:c r="K242" s="4"/>
      <x:c r="L242" s="4"/>
      <x:c r="M242" s="4"/>
      <x:c r="N242" s="4"/>
      <x:c r="O242" s="4"/>
      <x:c r="P242" s="4"/>
    </x:row>
    <x:row r="243" ht="22" customHeight="1">
      <x:c r="A243" s="2"/>
      <x:c r="B243" s="2"/>
      <x:c r="C243" s="23" t="n">
        <x:v>224</x:v>
      </x:c>
      <x:c r="D243" s="32" t="n">
        <x:f>'Schedule'!D1122</x:f>
        <x:v>53114</x:v>
      </x:c>
      <x:c r="E243" s="4" t="n">
        <x:f>'Schedule'!E1122</x:f>
        <x:v>500</x:v>
      </x:c>
      <x:c r="F243" s="4" t="n">
        <x:f>IF(COUNT('Schedule'!Q1122:Q1126)=5,SUM('Schedule'!Q1122:Q1126),"n.a.")</x:f>
        <x:v>0</x:v>
      </x:c>
      <x:c r="G243" s="4" t="n">
        <x:f>IF(COUNT('Schedule'!M1122:M1126)=5,SUM('Schedule'!M1122:M1126),"n.a.")</x:f>
        <x:v>0</x:v>
      </x:c>
      <x:c r="H243" s="4" t="n">
        <x:f>IF(COUNT('Schedule'!S1122:S1126)=5,SUM('Schedule'!S1122:S1126),"n.a.")</x:f>
        <x:v>0</x:v>
      </x:c>
      <x:c r="I243" s="4" t="str">
        <x:f>'Schedule'!T1122</x:f>
        <x:v>Ready</x:v>
      </x:c>
      <x:c r="J243" s="4"/>
      <x:c r="K243" s="4"/>
      <x:c r="L243" s="4"/>
      <x:c r="M243" s="4"/>
      <x:c r="N243" s="4"/>
      <x:c r="O243" s="4"/>
      <x:c r="P243" s="4"/>
    </x:row>
    <x:row r="244" ht="22" customHeight="1">
      <x:c r="A244" s="2"/>
      <x:c r="B244" s="2"/>
      <x:c r="C244" s="23" t="n">
        <x:v>225</x:v>
      </x:c>
      <x:c r="D244" s="32" t="n">
        <x:f>'Schedule'!D1127</x:f>
        <x:v>53144</x:v>
      </x:c>
      <x:c r="E244" s="4" t="n">
        <x:f>'Schedule'!E1127</x:f>
        <x:v>500</x:v>
      </x:c>
      <x:c r="F244" s="4" t="n">
        <x:f>IF(COUNT('Schedule'!Q1127:Q1131)=5,SUM('Schedule'!Q1127:Q1131),"n.a.")</x:f>
        <x:v>0</x:v>
      </x:c>
      <x:c r="G244" s="4" t="n">
        <x:f>IF(COUNT('Schedule'!M1127:M1131)=5,SUM('Schedule'!M1127:M1131),"n.a.")</x:f>
        <x:v>0</x:v>
      </x:c>
      <x:c r="H244" s="4" t="n">
        <x:f>IF(COUNT('Schedule'!S1127:S1131)=5,SUM('Schedule'!S1127:S1131),"n.a.")</x:f>
        <x:v>0</x:v>
      </x:c>
      <x:c r="I244" s="4" t="str">
        <x:f>'Schedule'!T1127</x:f>
        <x:v>Ready</x:v>
      </x:c>
      <x:c r="J244" s="4"/>
      <x:c r="K244" s="4"/>
      <x:c r="L244" s="4"/>
      <x:c r="M244" s="4"/>
      <x:c r="N244" s="4"/>
      <x:c r="O244" s="4"/>
      <x:c r="P244" s="4"/>
    </x:row>
    <x:row r="245" ht="22" customHeight="1">
      <x:c r="A245" s="2"/>
      <x:c r="B245" s="2"/>
      <x:c r="C245" s="23" t="n">
        <x:v>226</x:v>
      </x:c>
      <x:c r="D245" s="32" t="n">
        <x:f>'Schedule'!D1132</x:f>
        <x:v>53175</x:v>
      </x:c>
      <x:c r="E245" s="4" t="n">
        <x:f>'Schedule'!E1132</x:f>
        <x:v>500</x:v>
      </x:c>
      <x:c r="F245" s="4" t="n">
        <x:f>IF(COUNT('Schedule'!Q1132:Q1136)=5,SUM('Schedule'!Q1132:Q1136),"n.a.")</x:f>
        <x:v>0</x:v>
      </x:c>
      <x:c r="G245" s="4" t="n">
        <x:f>IF(COUNT('Schedule'!M1132:M1136)=5,SUM('Schedule'!M1132:M1136),"n.a.")</x:f>
        <x:v>0</x:v>
      </x:c>
      <x:c r="H245" s="4" t="n">
        <x:f>IF(COUNT('Schedule'!S1132:S1136)=5,SUM('Schedule'!S1132:S1136),"n.a.")</x:f>
        <x:v>0</x:v>
      </x:c>
      <x:c r="I245" s="4" t="str">
        <x:f>'Schedule'!T1132</x:f>
        <x:v>Ready</x:v>
      </x:c>
      <x:c r="J245" s="4"/>
      <x:c r="K245" s="4"/>
      <x:c r="L245" s="4"/>
      <x:c r="M245" s="4"/>
      <x:c r="N245" s="4"/>
      <x:c r="O245" s="4"/>
      <x:c r="P245" s="4"/>
    </x:row>
    <x:row r="246" ht="22" customHeight="1">
      <x:c r="A246" s="2"/>
      <x:c r="B246" s="2"/>
      <x:c r="C246" s="23" t="n">
        <x:v>227</x:v>
      </x:c>
      <x:c r="D246" s="32" t="n">
        <x:f>'Schedule'!D1137</x:f>
        <x:v>53206</x:v>
      </x:c>
      <x:c r="E246" s="4" t="n">
        <x:f>'Schedule'!E1137</x:f>
        <x:v>500</x:v>
      </x:c>
      <x:c r="F246" s="4" t="n">
        <x:f>IF(COUNT('Schedule'!Q1137:Q1141)=5,SUM('Schedule'!Q1137:Q1141),"n.a.")</x:f>
        <x:v>0</x:v>
      </x:c>
      <x:c r="G246" s="4" t="n">
        <x:f>IF(COUNT('Schedule'!M1137:M1141)=5,SUM('Schedule'!M1137:M1141),"n.a.")</x:f>
        <x:v>0</x:v>
      </x:c>
      <x:c r="H246" s="4" t="n">
        <x:f>IF(COUNT('Schedule'!S1137:S1141)=5,SUM('Schedule'!S1137:S1141),"n.a.")</x:f>
        <x:v>0</x:v>
      </x:c>
      <x:c r="I246" s="4" t="str">
        <x:f>'Schedule'!T1137</x:f>
        <x:v>Ready</x:v>
      </x:c>
      <x:c r="J246" s="4"/>
      <x:c r="K246" s="4"/>
      <x:c r="L246" s="4"/>
      <x:c r="M246" s="4"/>
      <x:c r="N246" s="4"/>
      <x:c r="O246" s="4"/>
      <x:c r="P246" s="4"/>
    </x:row>
    <x:row r="247" ht="22" customHeight="1">
      <x:c r="A247" s="2"/>
      <x:c r="B247" s="2"/>
      <x:c r="C247" s="23" t="n">
        <x:v>228</x:v>
      </x:c>
      <x:c r="D247" s="32" t="n">
        <x:f>'Schedule'!D1142</x:f>
        <x:v>53236</x:v>
      </x:c>
      <x:c r="E247" s="4" t="n">
        <x:f>'Schedule'!E1142</x:f>
        <x:v>500</x:v>
      </x:c>
      <x:c r="F247" s="4" t="n">
        <x:f>IF(COUNT('Schedule'!Q1142:Q1146)=5,SUM('Schedule'!Q1142:Q1146),"n.a.")</x:f>
        <x:v>0</x:v>
      </x:c>
      <x:c r="G247" s="4" t="n">
        <x:f>IF(COUNT('Schedule'!M1142:M1146)=5,SUM('Schedule'!M1142:M1146),"n.a.")</x:f>
        <x:v>0</x:v>
      </x:c>
      <x:c r="H247" s="4" t="n">
        <x:f>IF(COUNT('Schedule'!S1142:S1146)=5,SUM('Schedule'!S1142:S1146),"n.a.")</x:f>
        <x:v>0</x:v>
      </x:c>
      <x:c r="I247" s="4" t="str">
        <x:f>'Schedule'!T1142</x:f>
        <x:v>Ready</x:v>
      </x:c>
      <x:c r="J247" s="4"/>
      <x:c r="K247" s="4"/>
      <x:c r="L247" s="4"/>
      <x:c r="M247" s="4"/>
      <x:c r="N247" s="4"/>
      <x:c r="O247" s="4"/>
      <x:c r="P247" s="4"/>
    </x:row>
    <x:row r="248" ht="22" customHeight="1">
      <x:c r="A248" s="2"/>
      <x:c r="B248" s="2"/>
      <x:c r="C248" s="23" t="n">
        <x:v>229</x:v>
      </x:c>
      <x:c r="D248" s="32" t="n">
        <x:f>'Schedule'!D1147</x:f>
        <x:v>53267</x:v>
      </x:c>
      <x:c r="E248" s="4" t="n">
        <x:f>'Schedule'!E1147</x:f>
        <x:v>500</x:v>
      </x:c>
      <x:c r="F248" s="4" t="n">
        <x:f>IF(COUNT('Schedule'!Q1147:Q1151)=5,SUM('Schedule'!Q1147:Q1151),"n.a.")</x:f>
        <x:v>0</x:v>
      </x:c>
      <x:c r="G248" s="4" t="n">
        <x:f>IF(COUNT('Schedule'!M1147:M1151)=5,SUM('Schedule'!M1147:M1151),"n.a.")</x:f>
        <x:v>0</x:v>
      </x:c>
      <x:c r="H248" s="4" t="n">
        <x:f>IF(COUNT('Schedule'!S1147:S1151)=5,SUM('Schedule'!S1147:S1151),"n.a.")</x:f>
        <x:v>0</x:v>
      </x:c>
      <x:c r="I248" s="4" t="str">
        <x:f>'Schedule'!T1147</x:f>
        <x:v>Ready</x:v>
      </x:c>
      <x:c r="J248" s="4"/>
      <x:c r="K248" s="4"/>
      <x:c r="L248" s="4"/>
      <x:c r="M248" s="4"/>
      <x:c r="N248" s="4"/>
      <x:c r="O248" s="4"/>
      <x:c r="P248" s="4"/>
    </x:row>
    <x:row r="249" ht="22" customHeight="1">
      <x:c r="A249" s="2"/>
      <x:c r="B249" s="2"/>
      <x:c r="C249" s="23" t="n">
        <x:v>230</x:v>
      </x:c>
      <x:c r="D249" s="32" t="n">
        <x:f>'Schedule'!D1152</x:f>
        <x:v>53297</x:v>
      </x:c>
      <x:c r="E249" s="4" t="n">
        <x:f>'Schedule'!E1152</x:f>
        <x:v>500</x:v>
      </x:c>
      <x:c r="F249" s="4" t="n">
        <x:f>IF(COUNT('Schedule'!Q1152:Q1156)=5,SUM('Schedule'!Q1152:Q1156),"n.a.")</x:f>
        <x:v>0</x:v>
      </x:c>
      <x:c r="G249" s="4" t="n">
        <x:f>IF(COUNT('Schedule'!M1152:M1156)=5,SUM('Schedule'!M1152:M1156),"n.a.")</x:f>
        <x:v>0</x:v>
      </x:c>
      <x:c r="H249" s="4" t="n">
        <x:f>IF(COUNT('Schedule'!S1152:S1156)=5,SUM('Schedule'!S1152:S1156),"n.a.")</x:f>
        <x:v>0</x:v>
      </x:c>
      <x:c r="I249" s="4" t="str">
        <x:f>'Schedule'!T1152</x:f>
        <x:v>Ready</x:v>
      </x:c>
      <x:c r="J249" s="4"/>
      <x:c r="K249" s="4"/>
      <x:c r="L249" s="4"/>
      <x:c r="M249" s="4"/>
      <x:c r="N249" s="4"/>
      <x:c r="O249" s="4"/>
      <x:c r="P249" s="4"/>
    </x:row>
    <x:row r="250" ht="22" customHeight="1">
      <x:c r="A250" s="2"/>
      <x:c r="B250" s="2"/>
      <x:c r="C250" s="23" t="n">
        <x:v>231</x:v>
      </x:c>
      <x:c r="D250" s="32" t="n">
        <x:f>'Schedule'!D1157</x:f>
        <x:v>53328</x:v>
      </x:c>
      <x:c r="E250" s="4" t="n">
        <x:f>'Schedule'!E1157</x:f>
        <x:v>500</x:v>
      </x:c>
      <x:c r="F250" s="4" t="n">
        <x:f>IF(COUNT('Schedule'!Q1157:Q1161)=5,SUM('Schedule'!Q1157:Q1161),"n.a.")</x:f>
        <x:v>0</x:v>
      </x:c>
      <x:c r="G250" s="4" t="n">
        <x:f>IF(COUNT('Schedule'!M1157:M1161)=5,SUM('Schedule'!M1157:M1161),"n.a.")</x:f>
        <x:v>0</x:v>
      </x:c>
      <x:c r="H250" s="4" t="n">
        <x:f>IF(COUNT('Schedule'!S1157:S1161)=5,SUM('Schedule'!S1157:S1161),"n.a.")</x:f>
        <x:v>0</x:v>
      </x:c>
      <x:c r="I250" s="4" t="str">
        <x:f>'Schedule'!T1157</x:f>
        <x:v>Ready</x:v>
      </x:c>
      <x:c r="J250" s="4"/>
      <x:c r="K250" s="4"/>
      <x:c r="L250" s="4"/>
      <x:c r="M250" s="4"/>
      <x:c r="N250" s="4"/>
      <x:c r="O250" s="4"/>
      <x:c r="P250" s="4"/>
    </x:row>
    <x:row r="251" ht="22" customHeight="1">
      <x:c r="A251" s="2"/>
      <x:c r="B251" s="2"/>
      <x:c r="C251" s="23" t="n">
        <x:v>232</x:v>
      </x:c>
      <x:c r="D251" s="32" t="n">
        <x:f>'Schedule'!D1162</x:f>
        <x:v>53359</x:v>
      </x:c>
      <x:c r="E251" s="4" t="n">
        <x:f>'Schedule'!E1162</x:f>
        <x:v>500</x:v>
      </x:c>
      <x:c r="F251" s="4" t="n">
        <x:f>IF(COUNT('Schedule'!Q1162:Q1166)=5,SUM('Schedule'!Q1162:Q1166),"n.a.")</x:f>
        <x:v>0</x:v>
      </x:c>
      <x:c r="G251" s="4" t="n">
        <x:f>IF(COUNT('Schedule'!M1162:M1166)=5,SUM('Schedule'!M1162:M1166),"n.a.")</x:f>
        <x:v>0</x:v>
      </x:c>
      <x:c r="H251" s="4" t="n">
        <x:f>IF(COUNT('Schedule'!S1162:S1166)=5,SUM('Schedule'!S1162:S1166),"n.a.")</x:f>
        <x:v>0</x:v>
      </x:c>
      <x:c r="I251" s="4" t="str">
        <x:f>'Schedule'!T1162</x:f>
        <x:v>Ready</x:v>
      </x:c>
      <x:c r="J251" s="4"/>
      <x:c r="K251" s="4"/>
      <x:c r="L251" s="4"/>
      <x:c r="M251" s="4"/>
      <x:c r="N251" s="4"/>
      <x:c r="O251" s="4"/>
      <x:c r="P251" s="4"/>
    </x:row>
    <x:row r="252" ht="22" customHeight="1">
      <x:c r="A252" s="2"/>
      <x:c r="B252" s="2"/>
      <x:c r="C252" s="23" t="n">
        <x:v>233</x:v>
      </x:c>
      <x:c r="D252" s="32" t="n">
        <x:f>'Schedule'!D1167</x:f>
        <x:v>53387</x:v>
      </x:c>
      <x:c r="E252" s="4" t="n">
        <x:f>'Schedule'!E1167</x:f>
        <x:v>500</x:v>
      </x:c>
      <x:c r="F252" s="4" t="n">
        <x:f>IF(COUNT('Schedule'!Q1167:Q1171)=5,SUM('Schedule'!Q1167:Q1171),"n.a.")</x:f>
        <x:v>0</x:v>
      </x:c>
      <x:c r="G252" s="4" t="n">
        <x:f>IF(COUNT('Schedule'!M1167:M1171)=5,SUM('Schedule'!M1167:M1171),"n.a.")</x:f>
        <x:v>0</x:v>
      </x:c>
      <x:c r="H252" s="4" t="n">
        <x:f>IF(COUNT('Schedule'!S1167:S1171)=5,SUM('Schedule'!S1167:S1171),"n.a.")</x:f>
        <x:v>0</x:v>
      </x:c>
      <x:c r="I252" s="4" t="str">
        <x:f>'Schedule'!T1167</x:f>
        <x:v>Ready</x:v>
      </x:c>
      <x:c r="J252" s="4"/>
      <x:c r="K252" s="4"/>
      <x:c r="L252" s="4"/>
      <x:c r="M252" s="4"/>
      <x:c r="N252" s="4"/>
      <x:c r="O252" s="4"/>
      <x:c r="P252" s="4"/>
    </x:row>
    <x:row r="253" ht="22" customHeight="1">
      <x:c r="A253" s="2"/>
      <x:c r="B253" s="2"/>
      <x:c r="C253" s="23" t="n">
        <x:v>234</x:v>
      </x:c>
      <x:c r="D253" s="32" t="n">
        <x:f>'Schedule'!D1172</x:f>
        <x:v>53418</x:v>
      </x:c>
      <x:c r="E253" s="4" t="n">
        <x:f>'Schedule'!E1172</x:f>
        <x:v>500</x:v>
      </x:c>
      <x:c r="F253" s="4" t="n">
        <x:f>IF(COUNT('Schedule'!Q1172:Q1176)=5,SUM('Schedule'!Q1172:Q1176),"n.a.")</x:f>
        <x:v>0</x:v>
      </x:c>
      <x:c r="G253" s="4" t="n">
        <x:f>IF(COUNT('Schedule'!M1172:M1176)=5,SUM('Schedule'!M1172:M1176),"n.a.")</x:f>
        <x:v>0</x:v>
      </x:c>
      <x:c r="H253" s="4" t="n">
        <x:f>IF(COUNT('Schedule'!S1172:S1176)=5,SUM('Schedule'!S1172:S1176),"n.a.")</x:f>
        <x:v>0</x:v>
      </x:c>
      <x:c r="I253" s="4" t="str">
        <x:f>'Schedule'!T1172</x:f>
        <x:v>Ready</x:v>
      </x:c>
      <x:c r="J253" s="4"/>
      <x:c r="K253" s="4"/>
      <x:c r="L253" s="4"/>
      <x:c r="M253" s="4"/>
      <x:c r="N253" s="4"/>
      <x:c r="O253" s="4"/>
      <x:c r="P253" s="4"/>
    </x:row>
    <x:row r="254" ht="22" customHeight="1">
      <x:c r="A254" s="2"/>
      <x:c r="B254" s="2"/>
      <x:c r="C254" s="23" t="n">
        <x:v>235</x:v>
      </x:c>
      <x:c r="D254" s="32" t="n">
        <x:f>'Schedule'!D1177</x:f>
        <x:v>53448</x:v>
      </x:c>
      <x:c r="E254" s="4" t="n">
        <x:f>'Schedule'!E1177</x:f>
        <x:v>500</x:v>
      </x:c>
      <x:c r="F254" s="4" t="n">
        <x:f>IF(COUNT('Schedule'!Q1177:Q1181)=5,SUM('Schedule'!Q1177:Q1181),"n.a.")</x:f>
        <x:v>0</x:v>
      </x:c>
      <x:c r="G254" s="4" t="n">
        <x:f>IF(COUNT('Schedule'!M1177:M1181)=5,SUM('Schedule'!M1177:M1181),"n.a.")</x:f>
        <x:v>0</x:v>
      </x:c>
      <x:c r="H254" s="4" t="n">
        <x:f>IF(COUNT('Schedule'!S1177:S1181)=5,SUM('Schedule'!S1177:S1181),"n.a.")</x:f>
        <x:v>0</x:v>
      </x:c>
      <x:c r="I254" s="4" t="str">
        <x:f>'Schedule'!T1177</x:f>
        <x:v>Ready</x:v>
      </x:c>
      <x:c r="J254" s="4"/>
      <x:c r="K254" s="4"/>
      <x:c r="L254" s="4"/>
      <x:c r="M254" s="4"/>
      <x:c r="N254" s="4"/>
      <x:c r="O254" s="4"/>
      <x:c r="P254" s="4"/>
    </x:row>
    <x:row r="255" ht="22" customHeight="1">
      <x:c r="A255" s="2"/>
      <x:c r="B255" s="2"/>
      <x:c r="C255" s="23" t="n">
        <x:v>236</x:v>
      </x:c>
      <x:c r="D255" s="32" t="n">
        <x:f>'Schedule'!D1182</x:f>
        <x:v>53479</x:v>
      </x:c>
      <x:c r="E255" s="4" t="n">
        <x:f>'Schedule'!E1182</x:f>
        <x:v>500</x:v>
      </x:c>
      <x:c r="F255" s="4" t="n">
        <x:f>IF(COUNT('Schedule'!Q1182:Q1186)=5,SUM('Schedule'!Q1182:Q1186),"n.a.")</x:f>
        <x:v>0</x:v>
      </x:c>
      <x:c r="G255" s="4" t="n">
        <x:f>IF(COUNT('Schedule'!M1182:M1186)=5,SUM('Schedule'!M1182:M1186),"n.a.")</x:f>
        <x:v>0</x:v>
      </x:c>
      <x:c r="H255" s="4" t="n">
        <x:f>IF(COUNT('Schedule'!S1182:S1186)=5,SUM('Schedule'!S1182:S1186),"n.a.")</x:f>
        <x:v>0</x:v>
      </x:c>
      <x:c r="I255" s="4" t="str">
        <x:f>'Schedule'!T1182</x:f>
        <x:v>Ready</x:v>
      </x:c>
      <x:c r="J255" s="4"/>
      <x:c r="K255" s="4"/>
      <x:c r="L255" s="4"/>
      <x:c r="M255" s="4"/>
      <x:c r="N255" s="4"/>
      <x:c r="O255" s="4"/>
      <x:c r="P255" s="4"/>
    </x:row>
    <x:row r="256" ht="22" customHeight="1">
      <x:c r="A256" s="2"/>
      <x:c r="B256" s="2"/>
      <x:c r="C256" s="23" t="n">
        <x:v>237</x:v>
      </x:c>
      <x:c r="D256" s="32" t="n">
        <x:f>'Schedule'!D1187</x:f>
        <x:v>53509</x:v>
      </x:c>
      <x:c r="E256" s="4" t="n">
        <x:f>'Schedule'!E1187</x:f>
        <x:v>500</x:v>
      </x:c>
      <x:c r="F256" s="4" t="n">
        <x:f>IF(COUNT('Schedule'!Q1187:Q1191)=5,SUM('Schedule'!Q1187:Q1191),"n.a.")</x:f>
        <x:v>0</x:v>
      </x:c>
      <x:c r="G256" s="4" t="n">
        <x:f>IF(COUNT('Schedule'!M1187:M1191)=5,SUM('Schedule'!M1187:M1191),"n.a.")</x:f>
        <x:v>0</x:v>
      </x:c>
      <x:c r="H256" s="4" t="n">
        <x:f>IF(COUNT('Schedule'!S1187:S1191)=5,SUM('Schedule'!S1187:S1191),"n.a.")</x:f>
        <x:v>0</x:v>
      </x:c>
      <x:c r="I256" s="4" t="str">
        <x:f>'Schedule'!T1187</x:f>
        <x:v>Ready</x:v>
      </x:c>
      <x:c r="J256" s="4"/>
      <x:c r="K256" s="4"/>
      <x:c r="L256" s="4"/>
      <x:c r="M256" s="4"/>
      <x:c r="N256" s="4"/>
      <x:c r="O256" s="4"/>
      <x:c r="P256" s="4"/>
    </x:row>
    <x:row r="257" ht="22" customHeight="1">
      <x:c r="A257" s="2"/>
      <x:c r="B257" s="2"/>
      <x:c r="C257" s="23" t="n">
        <x:v>238</x:v>
      </x:c>
      <x:c r="D257" s="32" t="n">
        <x:f>'Schedule'!D1192</x:f>
        <x:v>53540</x:v>
      </x:c>
      <x:c r="E257" s="4" t="n">
        <x:f>'Schedule'!E1192</x:f>
        <x:v>500</x:v>
      </x:c>
      <x:c r="F257" s="4" t="n">
        <x:f>IF(COUNT('Schedule'!Q1192:Q1196)=5,SUM('Schedule'!Q1192:Q1196),"n.a.")</x:f>
        <x:v>0</x:v>
      </x:c>
      <x:c r="G257" s="4" t="n">
        <x:f>IF(COUNT('Schedule'!M1192:M1196)=5,SUM('Schedule'!M1192:M1196),"n.a.")</x:f>
        <x:v>0</x:v>
      </x:c>
      <x:c r="H257" s="4" t="n">
        <x:f>IF(COUNT('Schedule'!S1192:S1196)=5,SUM('Schedule'!S1192:S1196),"n.a.")</x:f>
        <x:v>0</x:v>
      </x:c>
      <x:c r="I257" s="4" t="str">
        <x:f>'Schedule'!T1192</x:f>
        <x:v>Ready</x:v>
      </x:c>
      <x:c r="J257" s="4"/>
      <x:c r="K257" s="4"/>
      <x:c r="L257" s="4"/>
      <x:c r="M257" s="4"/>
      <x:c r="N257" s="4"/>
      <x:c r="O257" s="4"/>
      <x:c r="P257" s="4"/>
    </x:row>
    <x:row r="258" ht="22" customHeight="1">
      <x:c r="A258" s="2"/>
      <x:c r="B258" s="2"/>
      <x:c r="C258" s="23" t="n">
        <x:v>239</x:v>
      </x:c>
      <x:c r="D258" s="32" t="n">
        <x:f>'Schedule'!D1197</x:f>
        <x:v>53571</x:v>
      </x:c>
      <x:c r="E258" s="4" t="n">
        <x:f>'Schedule'!E1197</x:f>
        <x:v>500</x:v>
      </x:c>
      <x:c r="F258" s="4" t="n">
        <x:f>IF(COUNT('Schedule'!Q1197:Q1201)=5,SUM('Schedule'!Q1197:Q1201),"n.a.")</x:f>
        <x:v>0</x:v>
      </x:c>
      <x:c r="G258" s="4" t="n">
        <x:f>IF(COUNT('Schedule'!M1197:M1201)=5,SUM('Schedule'!M1197:M1201),"n.a.")</x:f>
        <x:v>0</x:v>
      </x:c>
      <x:c r="H258" s="4" t="n">
        <x:f>IF(COUNT('Schedule'!S1197:S1201)=5,SUM('Schedule'!S1197:S1201),"n.a.")</x:f>
        <x:v>0</x:v>
      </x:c>
      <x:c r="I258" s="4" t="str">
        <x:f>'Schedule'!T1197</x:f>
        <x:v>Ready</x:v>
      </x:c>
      <x:c r="J258" s="4"/>
      <x:c r="K258" s="4"/>
      <x:c r="L258" s="4"/>
      <x:c r="M258" s="4"/>
      <x:c r="N258" s="4"/>
      <x:c r="O258" s="4"/>
      <x:c r="P258" s="4"/>
    </x:row>
    <x:row r="259" ht="22" customHeight="1">
      <x:c r="A259" s="2"/>
      <x:c r="B259" s="2"/>
      <x:c r="C259" s="23" t="n">
        <x:v>240</x:v>
      </x:c>
      <x:c r="D259" s="32" t="n">
        <x:f>'Schedule'!D1202</x:f>
        <x:v>53601</x:v>
      </x:c>
      <x:c r="E259" s="4" t="n">
        <x:f>'Schedule'!E1202</x:f>
        <x:v>500</x:v>
      </x:c>
      <x:c r="F259" s="4" t="n">
        <x:f>IF(COUNT('Schedule'!Q1202:Q1206)=5,SUM('Schedule'!Q1202:Q1206),"n.a.")</x:f>
        <x:v>0</x:v>
      </x:c>
      <x:c r="G259" s="4" t="n">
        <x:f>IF(COUNT('Schedule'!M1202:M1206)=5,SUM('Schedule'!M1202:M1206),"n.a.")</x:f>
        <x:v>0</x:v>
      </x:c>
      <x:c r="H259" s="4" t="n">
        <x:f>IF(COUNT('Schedule'!S1202:S1206)=5,SUM('Schedule'!S1202:S1206),"n.a.")</x:f>
        <x:v>0</x:v>
      </x:c>
      <x:c r="I259" s="4" t="str">
        <x:f>'Schedule'!T1202</x:f>
        <x:v>Ready</x:v>
      </x:c>
      <x:c r="J259" s="4"/>
      <x:c r="K259" s="4"/>
      <x:c r="L259" s="4"/>
      <x:c r="M259" s="4"/>
      <x:c r="N259" s="4"/>
      <x:c r="O259" s="4"/>
      <x:c r="P259" s="4"/>
    </x:row>
    <x:row r="260" ht="22" customHeight="1">
      <x:c r="A260" s="2"/>
      <x:c r="B260" s="2"/>
      <x:c r="C260" s="23" t="n">
        <x:v>241</x:v>
      </x:c>
      <x:c r="D260" s="32" t="n">
        <x:f>'Schedule'!D1207</x:f>
        <x:v>53632</x:v>
      </x:c>
      <x:c r="E260" s="4" t="n">
        <x:f>'Schedule'!E1207</x:f>
        <x:v>500</x:v>
      </x:c>
      <x:c r="F260" s="4" t="n">
        <x:f>IF(COUNT('Schedule'!Q1207:Q1211)=5,SUM('Schedule'!Q1207:Q1211),"n.a.")</x:f>
        <x:v>0</x:v>
      </x:c>
      <x:c r="G260" s="4" t="n">
        <x:f>IF(COUNT('Schedule'!M1207:M1211)=5,SUM('Schedule'!M1207:M1211),"n.a.")</x:f>
        <x:v>0</x:v>
      </x:c>
      <x:c r="H260" s="4" t="n">
        <x:f>IF(COUNT('Schedule'!S1207:S1211)=5,SUM('Schedule'!S1207:S1211),"n.a.")</x:f>
        <x:v>0</x:v>
      </x:c>
      <x:c r="I260" s="4" t="str">
        <x:f>'Schedule'!T1207</x:f>
        <x:v>Ready</x:v>
      </x:c>
      <x:c r="J260" s="4"/>
      <x:c r="K260" s="4"/>
      <x:c r="L260" s="4"/>
      <x:c r="M260" s="4"/>
      <x:c r="N260" s="4"/>
      <x:c r="O260" s="4"/>
      <x:c r="P260" s="4"/>
    </x:row>
    <x:row r="261" ht="22" customHeight="1">
      <x:c r="A261" s="2"/>
      <x:c r="B261" s="2"/>
      <x:c r="C261" s="23" t="n">
        <x:v>242</x:v>
      </x:c>
      <x:c r="D261" s="32" t="n">
        <x:f>'Schedule'!D1212</x:f>
        <x:v>53662</x:v>
      </x:c>
      <x:c r="E261" s="4" t="n">
        <x:f>'Schedule'!E1212</x:f>
        <x:v>500</x:v>
      </x:c>
      <x:c r="F261" s="4" t="n">
        <x:f>IF(COUNT('Schedule'!Q1212:Q1216)=5,SUM('Schedule'!Q1212:Q1216),"n.a.")</x:f>
        <x:v>0</x:v>
      </x:c>
      <x:c r="G261" s="4" t="n">
        <x:f>IF(COUNT('Schedule'!M1212:M1216)=5,SUM('Schedule'!M1212:M1216),"n.a.")</x:f>
        <x:v>0</x:v>
      </x:c>
      <x:c r="H261" s="4" t="n">
        <x:f>IF(COUNT('Schedule'!S1212:S1216)=5,SUM('Schedule'!S1212:S1216),"n.a.")</x:f>
        <x:v>0</x:v>
      </x:c>
      <x:c r="I261" s="4" t="str">
        <x:f>'Schedule'!T1212</x:f>
        <x:v>Ready</x:v>
      </x:c>
      <x:c r="J261" s="4"/>
      <x:c r="K261" s="4"/>
      <x:c r="L261" s="4"/>
      <x:c r="M261" s="4"/>
      <x:c r="N261" s="4"/>
      <x:c r="O261" s="4"/>
      <x:c r="P261" s="4"/>
    </x:row>
    <x:row r="262" ht="22" customHeight="1">
      <x:c r="A262" s="2"/>
      <x:c r="B262" s="2"/>
      <x:c r="C262" s="23" t="n">
        <x:v>243</x:v>
      </x:c>
      <x:c r="D262" s="32" t="n">
        <x:f>'Schedule'!D1217</x:f>
        <x:v>53693</x:v>
      </x:c>
      <x:c r="E262" s="4" t="n">
        <x:f>'Schedule'!E1217</x:f>
        <x:v>500</x:v>
      </x:c>
      <x:c r="F262" s="4" t="n">
        <x:f>IF(COUNT('Schedule'!Q1217:Q1221)=5,SUM('Schedule'!Q1217:Q1221),"n.a.")</x:f>
        <x:v>0</x:v>
      </x:c>
      <x:c r="G262" s="4" t="n">
        <x:f>IF(COUNT('Schedule'!M1217:M1221)=5,SUM('Schedule'!M1217:M1221),"n.a.")</x:f>
        <x:v>0</x:v>
      </x:c>
      <x:c r="H262" s="4" t="n">
        <x:f>IF(COUNT('Schedule'!S1217:S1221)=5,SUM('Schedule'!S1217:S1221),"n.a.")</x:f>
        <x:v>0</x:v>
      </x:c>
      <x:c r="I262" s="4" t="str">
        <x:f>'Schedule'!T1217</x:f>
        <x:v>Ready</x:v>
      </x:c>
      <x:c r="J262" s="4"/>
      <x:c r="K262" s="4"/>
      <x:c r="L262" s="4"/>
      <x:c r="M262" s="4"/>
      <x:c r="N262" s="4"/>
      <x:c r="O262" s="4"/>
      <x:c r="P262" s="4"/>
    </x:row>
    <x:row r="263" ht="22" customHeight="1">
      <x:c r="A263" s="2"/>
      <x:c r="B263" s="2"/>
      <x:c r="C263" s="23" t="n">
        <x:v>244</x:v>
      </x:c>
      <x:c r="D263" s="32" t="n">
        <x:f>'Schedule'!D1222</x:f>
        <x:v>53724</x:v>
      </x:c>
      <x:c r="E263" s="4" t="n">
        <x:f>'Schedule'!E1222</x:f>
        <x:v>500</x:v>
      </x:c>
      <x:c r="F263" s="4" t="n">
        <x:f>IF(COUNT('Schedule'!Q1222:Q1226)=5,SUM('Schedule'!Q1222:Q1226),"n.a.")</x:f>
        <x:v>0</x:v>
      </x:c>
      <x:c r="G263" s="4" t="n">
        <x:f>IF(COUNT('Schedule'!M1222:M1226)=5,SUM('Schedule'!M1222:M1226),"n.a.")</x:f>
        <x:v>0</x:v>
      </x:c>
      <x:c r="H263" s="4" t="n">
        <x:f>IF(COUNT('Schedule'!S1222:S1226)=5,SUM('Schedule'!S1222:S1226),"n.a.")</x:f>
        <x:v>0</x:v>
      </x:c>
      <x:c r="I263" s="4" t="str">
        <x:f>'Schedule'!T1222</x:f>
        <x:v>Ready</x:v>
      </x:c>
      <x:c r="J263" s="4"/>
      <x:c r="K263" s="4"/>
      <x:c r="L263" s="4"/>
      <x:c r="M263" s="4"/>
      <x:c r="N263" s="4"/>
      <x:c r="O263" s="4"/>
      <x:c r="P263" s="4"/>
    </x:row>
    <x:row r="264" ht="22" customHeight="1">
      <x:c r="A264" s="2"/>
      <x:c r="B264" s="2"/>
      <x:c r="C264" s="23" t="n">
        <x:v>245</x:v>
      </x:c>
      <x:c r="D264" s="32" t="n">
        <x:f>'Schedule'!D1227</x:f>
        <x:v>53752</x:v>
      </x:c>
      <x:c r="E264" s="4" t="n">
        <x:f>'Schedule'!E1227</x:f>
        <x:v>500</x:v>
      </x:c>
      <x:c r="F264" s="4" t="n">
        <x:f>IF(COUNT('Schedule'!Q1227:Q1231)=5,SUM('Schedule'!Q1227:Q1231),"n.a.")</x:f>
        <x:v>0</x:v>
      </x:c>
      <x:c r="G264" s="4" t="n">
        <x:f>IF(COUNT('Schedule'!M1227:M1231)=5,SUM('Schedule'!M1227:M1231),"n.a.")</x:f>
        <x:v>0</x:v>
      </x:c>
      <x:c r="H264" s="4" t="n">
        <x:f>IF(COUNT('Schedule'!S1227:S1231)=5,SUM('Schedule'!S1227:S1231),"n.a.")</x:f>
        <x:v>0</x:v>
      </x:c>
      <x:c r="I264" s="4" t="str">
        <x:f>'Schedule'!T1227</x:f>
        <x:v>Ready</x:v>
      </x:c>
      <x:c r="J264" s="4"/>
      <x:c r="K264" s="4"/>
      <x:c r="L264" s="4"/>
      <x:c r="M264" s="4"/>
      <x:c r="N264" s="4"/>
      <x:c r="O264" s="4"/>
      <x:c r="P264" s="4"/>
    </x:row>
    <x:row r="265" ht="22" customHeight="1">
      <x:c r="A265" s="2"/>
      <x:c r="B265" s="2"/>
      <x:c r="C265" s="23" t="n">
        <x:v>246</x:v>
      </x:c>
      <x:c r="D265" s="32" t="n">
        <x:f>'Schedule'!D1232</x:f>
        <x:v>53783</x:v>
      </x:c>
      <x:c r="E265" s="4" t="n">
        <x:f>'Schedule'!E1232</x:f>
        <x:v>500</x:v>
      </x:c>
      <x:c r="F265" s="4" t="n">
        <x:f>IF(COUNT('Schedule'!Q1232:Q1236)=5,SUM('Schedule'!Q1232:Q1236),"n.a.")</x:f>
        <x:v>0</x:v>
      </x:c>
      <x:c r="G265" s="4" t="n">
        <x:f>IF(COUNT('Schedule'!M1232:M1236)=5,SUM('Schedule'!M1232:M1236),"n.a.")</x:f>
        <x:v>0</x:v>
      </x:c>
      <x:c r="H265" s="4" t="n">
        <x:f>IF(COUNT('Schedule'!S1232:S1236)=5,SUM('Schedule'!S1232:S1236),"n.a.")</x:f>
        <x:v>0</x:v>
      </x:c>
      <x:c r="I265" s="4" t="str">
        <x:f>'Schedule'!T1232</x:f>
        <x:v>Ready</x:v>
      </x:c>
      <x:c r="J265" s="4"/>
      <x:c r="K265" s="4"/>
      <x:c r="L265" s="4"/>
      <x:c r="M265" s="4"/>
      <x:c r="N265" s="4"/>
      <x:c r="O265" s="4"/>
      <x:c r="P265" s="4"/>
    </x:row>
    <x:row r="266" ht="22" customHeight="1">
      <x:c r="A266" s="2"/>
      <x:c r="B266" s="2"/>
      <x:c r="C266" s="23" t="n">
        <x:v>247</x:v>
      </x:c>
      <x:c r="D266" s="32" t="n">
        <x:f>'Schedule'!D1237</x:f>
        <x:v>53813</x:v>
      </x:c>
      <x:c r="E266" s="4" t="n">
        <x:f>'Schedule'!E1237</x:f>
        <x:v>500</x:v>
      </x:c>
      <x:c r="F266" s="4" t="n">
        <x:f>IF(COUNT('Schedule'!Q1237:Q1241)=5,SUM('Schedule'!Q1237:Q1241),"n.a.")</x:f>
        <x:v>0</x:v>
      </x:c>
      <x:c r="G266" s="4" t="n">
        <x:f>IF(COUNT('Schedule'!M1237:M1241)=5,SUM('Schedule'!M1237:M1241),"n.a.")</x:f>
        <x:v>0</x:v>
      </x:c>
      <x:c r="H266" s="4" t="n">
        <x:f>IF(COUNT('Schedule'!S1237:S1241)=5,SUM('Schedule'!S1237:S1241),"n.a.")</x:f>
        <x:v>0</x:v>
      </x:c>
      <x:c r="I266" s="4" t="str">
        <x:f>'Schedule'!T1237</x:f>
        <x:v>Ready</x:v>
      </x:c>
      <x:c r="J266" s="4"/>
      <x:c r="K266" s="4"/>
      <x:c r="L266" s="4"/>
      <x:c r="M266" s="4"/>
      <x:c r="N266" s="4"/>
      <x:c r="O266" s="4"/>
      <x:c r="P266" s="4"/>
    </x:row>
    <x:row r="267" ht="22" customHeight="1">
      <x:c r="A267" s="2"/>
      <x:c r="B267" s="2"/>
      <x:c r="C267" s="23" t="n">
        <x:v>248</x:v>
      </x:c>
      <x:c r="D267" s="32" t="n">
        <x:f>'Schedule'!D1242</x:f>
        <x:v>53844</x:v>
      </x:c>
      <x:c r="E267" s="4" t="n">
        <x:f>'Schedule'!E1242</x:f>
        <x:v>500</x:v>
      </x:c>
      <x:c r="F267" s="4" t="n">
        <x:f>IF(COUNT('Schedule'!Q1242:Q1246)=5,SUM('Schedule'!Q1242:Q1246),"n.a.")</x:f>
        <x:v>0</x:v>
      </x:c>
      <x:c r="G267" s="4" t="n">
        <x:f>IF(COUNT('Schedule'!M1242:M1246)=5,SUM('Schedule'!M1242:M1246),"n.a.")</x:f>
        <x:v>0</x:v>
      </x:c>
      <x:c r="H267" s="4" t="n">
        <x:f>IF(COUNT('Schedule'!S1242:S1246)=5,SUM('Schedule'!S1242:S1246),"n.a.")</x:f>
        <x:v>0</x:v>
      </x:c>
      <x:c r="I267" s="4" t="str">
        <x:f>'Schedule'!T1242</x:f>
        <x:v>Ready</x:v>
      </x:c>
      <x:c r="J267" s="4"/>
      <x:c r="K267" s="4"/>
      <x:c r="L267" s="4"/>
      <x:c r="M267" s="4"/>
      <x:c r="N267" s="4"/>
      <x:c r="O267" s="4"/>
      <x:c r="P267" s="4"/>
    </x:row>
    <x:row r="268" ht="22" customHeight="1">
      <x:c r="A268" s="2"/>
      <x:c r="B268" s="2"/>
      <x:c r="C268" s="23" t="n">
        <x:v>249</x:v>
      </x:c>
      <x:c r="D268" s="32" t="n">
        <x:f>'Schedule'!D1247</x:f>
        <x:v>53874</x:v>
      </x:c>
      <x:c r="E268" s="4" t="n">
        <x:f>'Schedule'!E1247</x:f>
        <x:v>500</x:v>
      </x:c>
      <x:c r="F268" s="4" t="n">
        <x:f>IF(COUNT('Schedule'!Q1247:Q1251)=5,SUM('Schedule'!Q1247:Q1251),"n.a.")</x:f>
        <x:v>0</x:v>
      </x:c>
      <x:c r="G268" s="4" t="n">
        <x:f>IF(COUNT('Schedule'!M1247:M1251)=5,SUM('Schedule'!M1247:M1251),"n.a.")</x:f>
        <x:v>0</x:v>
      </x:c>
      <x:c r="H268" s="4" t="n">
        <x:f>IF(COUNT('Schedule'!S1247:S1251)=5,SUM('Schedule'!S1247:S1251),"n.a.")</x:f>
        <x:v>0</x:v>
      </x:c>
      <x:c r="I268" s="4" t="str">
        <x:f>'Schedule'!T1247</x:f>
        <x:v>Ready</x:v>
      </x:c>
      <x:c r="J268" s="4"/>
      <x:c r="K268" s="4"/>
      <x:c r="L268" s="4"/>
      <x:c r="M268" s="4"/>
      <x:c r="N268" s="4"/>
      <x:c r="O268" s="4"/>
      <x:c r="P268" s="4"/>
    </x:row>
    <x:row r="269" ht="22" customHeight="1">
      <x:c r="A269" s="2"/>
      <x:c r="B269" s="2"/>
      <x:c r="C269" s="23" t="n">
        <x:v>250</x:v>
      </x:c>
      <x:c r="D269" s="32" t="n">
        <x:f>'Schedule'!D1252</x:f>
        <x:v>53905</x:v>
      </x:c>
      <x:c r="E269" s="4" t="n">
        <x:f>'Schedule'!E1252</x:f>
        <x:v>500</x:v>
      </x:c>
      <x:c r="F269" s="4" t="n">
        <x:f>IF(COUNT('Schedule'!Q1252:Q1256)=5,SUM('Schedule'!Q1252:Q1256),"n.a.")</x:f>
        <x:v>0</x:v>
      </x:c>
      <x:c r="G269" s="4" t="n">
        <x:f>IF(COUNT('Schedule'!M1252:M1256)=5,SUM('Schedule'!M1252:M1256),"n.a.")</x:f>
        <x:v>0</x:v>
      </x:c>
      <x:c r="H269" s="4" t="n">
        <x:f>IF(COUNT('Schedule'!S1252:S1256)=5,SUM('Schedule'!S1252:S1256),"n.a.")</x:f>
        <x:v>0</x:v>
      </x:c>
      <x:c r="I269" s="4" t="str">
        <x:f>'Schedule'!T1252</x:f>
        <x:v>Ready</x:v>
      </x:c>
      <x:c r="J269" s="4"/>
      <x:c r="K269" s="4"/>
      <x:c r="L269" s="4"/>
      <x:c r="M269" s="4"/>
      <x:c r="N269" s="4"/>
      <x:c r="O269" s="4"/>
      <x:c r="P269" s="4"/>
    </x:row>
    <x:row r="270" ht="22" customHeight="1">
      <x:c r="A270" s="2"/>
      <x:c r="B270" s="2"/>
      <x:c r="C270" s="23" t="n">
        <x:v>251</x:v>
      </x:c>
      <x:c r="D270" s="32" t="n">
        <x:f>'Schedule'!D1257</x:f>
        <x:v>53936</x:v>
      </x:c>
      <x:c r="E270" s="4" t="n">
        <x:f>'Schedule'!E1257</x:f>
        <x:v>500</x:v>
      </x:c>
      <x:c r="F270" s="4" t="n">
        <x:f>IF(COUNT('Schedule'!Q1257:Q1261)=5,SUM('Schedule'!Q1257:Q1261),"n.a.")</x:f>
        <x:v>0</x:v>
      </x:c>
      <x:c r="G270" s="4" t="n">
        <x:f>IF(COUNT('Schedule'!M1257:M1261)=5,SUM('Schedule'!M1257:M1261),"n.a.")</x:f>
        <x:v>0</x:v>
      </x:c>
      <x:c r="H270" s="4" t="n">
        <x:f>IF(COUNT('Schedule'!S1257:S1261)=5,SUM('Schedule'!S1257:S1261),"n.a.")</x:f>
        <x:v>0</x:v>
      </x:c>
      <x:c r="I270" s="4" t="str">
        <x:f>'Schedule'!T1257</x:f>
        <x:v>Ready</x:v>
      </x:c>
      <x:c r="J270" s="4"/>
      <x:c r="K270" s="4"/>
      <x:c r="L270" s="4"/>
      <x:c r="M270" s="4"/>
      <x:c r="N270" s="4"/>
      <x:c r="O270" s="4"/>
      <x:c r="P270" s="4"/>
    </x:row>
    <x:row r="271" ht="22" customHeight="1">
      <x:c r="A271" s="2"/>
      <x:c r="B271" s="2"/>
      <x:c r="C271" s="23" t="n">
        <x:v>252</x:v>
      </x:c>
      <x:c r="D271" s="32" t="n">
        <x:f>'Schedule'!D1262</x:f>
        <x:v>53966</x:v>
      </x:c>
      <x:c r="E271" s="4" t="n">
        <x:f>'Schedule'!E1262</x:f>
        <x:v>500</x:v>
      </x:c>
      <x:c r="F271" s="4" t="n">
        <x:f>IF(COUNT('Schedule'!Q1262:Q1266)=5,SUM('Schedule'!Q1262:Q1266),"n.a.")</x:f>
        <x:v>0</x:v>
      </x:c>
      <x:c r="G271" s="4" t="n">
        <x:f>IF(COUNT('Schedule'!M1262:M1266)=5,SUM('Schedule'!M1262:M1266),"n.a.")</x:f>
        <x:v>0</x:v>
      </x:c>
      <x:c r="H271" s="4" t="n">
        <x:f>IF(COUNT('Schedule'!S1262:S1266)=5,SUM('Schedule'!S1262:S1266),"n.a.")</x:f>
        <x:v>0</x:v>
      </x:c>
      <x:c r="I271" s="4" t="str">
        <x:f>'Schedule'!T1262</x:f>
        <x:v>Ready</x:v>
      </x:c>
      <x:c r="J271" s="4"/>
      <x:c r="K271" s="4"/>
      <x:c r="L271" s="4"/>
      <x:c r="M271" s="4"/>
      <x:c r="N271" s="4"/>
      <x:c r="O271" s="4"/>
      <x:c r="P271" s="4"/>
    </x:row>
    <x:row r="272" ht="22" customHeight="1">
      <x:c r="A272" s="2"/>
      <x:c r="B272" s="2"/>
      <x:c r="C272" s="23" t="n">
        <x:v>253</x:v>
      </x:c>
      <x:c r="D272" s="32" t="n">
        <x:f>'Schedule'!D1267</x:f>
        <x:v>53997</x:v>
      </x:c>
      <x:c r="E272" s="4" t="n">
        <x:f>'Schedule'!E1267</x:f>
        <x:v>500</x:v>
      </x:c>
      <x:c r="F272" s="4" t="n">
        <x:f>IF(COUNT('Schedule'!Q1267:Q1271)=5,SUM('Schedule'!Q1267:Q1271),"n.a.")</x:f>
        <x:v>0</x:v>
      </x:c>
      <x:c r="G272" s="4" t="n">
        <x:f>IF(COUNT('Schedule'!M1267:M1271)=5,SUM('Schedule'!M1267:M1271),"n.a.")</x:f>
        <x:v>0</x:v>
      </x:c>
      <x:c r="H272" s="4" t="n">
        <x:f>IF(COUNT('Schedule'!S1267:S1271)=5,SUM('Schedule'!S1267:S1271),"n.a.")</x:f>
        <x:v>0</x:v>
      </x:c>
      <x:c r="I272" s="4" t="str">
        <x:f>'Schedule'!T1267</x:f>
        <x:v>Ready</x:v>
      </x:c>
      <x:c r="J272" s="4"/>
      <x:c r="K272" s="4"/>
      <x:c r="L272" s="4"/>
      <x:c r="M272" s="4"/>
      <x:c r="N272" s="4"/>
      <x:c r="O272" s="4"/>
      <x:c r="P272" s="4"/>
    </x:row>
    <x:row r="273" ht="22" customHeight="1">
      <x:c r="A273" s="2"/>
      <x:c r="B273" s="2"/>
      <x:c r="C273" s="23" t="n">
        <x:v>254</x:v>
      </x:c>
      <x:c r="D273" s="32" t="n">
        <x:f>'Schedule'!D1272</x:f>
        <x:v>54027</x:v>
      </x:c>
      <x:c r="E273" s="4" t="n">
        <x:f>'Schedule'!E1272</x:f>
        <x:v>500</x:v>
      </x:c>
      <x:c r="F273" s="4" t="n">
        <x:f>IF(COUNT('Schedule'!Q1272:Q1276)=5,SUM('Schedule'!Q1272:Q1276),"n.a.")</x:f>
        <x:v>0</x:v>
      </x:c>
      <x:c r="G273" s="4" t="n">
        <x:f>IF(COUNT('Schedule'!M1272:M1276)=5,SUM('Schedule'!M1272:M1276),"n.a.")</x:f>
        <x:v>0</x:v>
      </x:c>
      <x:c r="H273" s="4" t="n">
        <x:f>IF(COUNT('Schedule'!S1272:S1276)=5,SUM('Schedule'!S1272:S1276),"n.a.")</x:f>
        <x:v>0</x:v>
      </x:c>
      <x:c r="I273" s="4" t="str">
        <x:f>'Schedule'!T1272</x:f>
        <x:v>Ready</x:v>
      </x:c>
      <x:c r="J273" s="4"/>
      <x:c r="K273" s="4"/>
      <x:c r="L273" s="4"/>
      <x:c r="M273" s="4"/>
      <x:c r="N273" s="4"/>
      <x:c r="O273" s="4"/>
      <x:c r="P273" s="4"/>
    </x:row>
    <x:row r="274" ht="22" customHeight="1">
      <x:c r="A274" s="2"/>
      <x:c r="B274" s="2"/>
      <x:c r="C274" s="23" t="n">
        <x:v>255</x:v>
      </x:c>
      <x:c r="D274" s="32" t="n">
        <x:f>'Schedule'!D1277</x:f>
        <x:v>54058</x:v>
      </x:c>
      <x:c r="E274" s="4" t="n">
        <x:f>'Schedule'!E1277</x:f>
        <x:v>500</x:v>
      </x:c>
      <x:c r="F274" s="4" t="n">
        <x:f>IF(COUNT('Schedule'!Q1277:Q1281)=5,SUM('Schedule'!Q1277:Q1281),"n.a.")</x:f>
        <x:v>0</x:v>
      </x:c>
      <x:c r="G274" s="4" t="n">
        <x:f>IF(COUNT('Schedule'!M1277:M1281)=5,SUM('Schedule'!M1277:M1281),"n.a.")</x:f>
        <x:v>0</x:v>
      </x:c>
      <x:c r="H274" s="4" t="n">
        <x:f>IF(COUNT('Schedule'!S1277:S1281)=5,SUM('Schedule'!S1277:S1281),"n.a.")</x:f>
        <x:v>0</x:v>
      </x:c>
      <x:c r="I274" s="4" t="str">
        <x:f>'Schedule'!T1277</x:f>
        <x:v>Ready</x:v>
      </x:c>
      <x:c r="J274" s="4"/>
      <x:c r="K274" s="4"/>
      <x:c r="L274" s="4"/>
      <x:c r="M274" s="4"/>
      <x:c r="N274" s="4"/>
      <x:c r="O274" s="4"/>
      <x:c r="P274" s="4"/>
    </x:row>
    <x:row r="275" ht="22" customHeight="1">
      <x:c r="A275" s="2"/>
      <x:c r="B275" s="2"/>
      <x:c r="C275" s="23" t="n">
        <x:v>256</x:v>
      </x:c>
      <x:c r="D275" s="32" t="n">
        <x:f>'Schedule'!D1282</x:f>
        <x:v>54089</x:v>
      </x:c>
      <x:c r="E275" s="4" t="n">
        <x:f>'Schedule'!E1282</x:f>
        <x:v>500</x:v>
      </x:c>
      <x:c r="F275" s="4" t="n">
        <x:f>IF(COUNT('Schedule'!Q1282:Q1286)=5,SUM('Schedule'!Q1282:Q1286),"n.a.")</x:f>
        <x:v>0</x:v>
      </x:c>
      <x:c r="G275" s="4" t="n">
        <x:f>IF(COUNT('Schedule'!M1282:M1286)=5,SUM('Schedule'!M1282:M1286),"n.a.")</x:f>
        <x:v>0</x:v>
      </x:c>
      <x:c r="H275" s="4" t="n">
        <x:f>IF(COUNT('Schedule'!S1282:S1286)=5,SUM('Schedule'!S1282:S1286),"n.a.")</x:f>
        <x:v>0</x:v>
      </x:c>
      <x:c r="I275" s="4" t="str">
        <x:f>'Schedule'!T1282</x:f>
        <x:v>Ready</x:v>
      </x:c>
      <x:c r="J275" s="4"/>
      <x:c r="K275" s="4"/>
      <x:c r="L275" s="4"/>
      <x:c r="M275" s="4"/>
      <x:c r="N275" s="4"/>
      <x:c r="O275" s="4"/>
      <x:c r="P275" s="4"/>
    </x:row>
    <x:row r="276" ht="22" customHeight="1">
      <x:c r="A276" s="2"/>
      <x:c r="B276" s="2"/>
      <x:c r="C276" s="23" t="n">
        <x:v>257</x:v>
      </x:c>
      <x:c r="D276" s="32" t="n">
        <x:f>'Schedule'!D1287</x:f>
        <x:v>54118</x:v>
      </x:c>
      <x:c r="E276" s="4" t="n">
        <x:f>'Schedule'!E1287</x:f>
        <x:v>500</x:v>
      </x:c>
      <x:c r="F276" s="4" t="n">
        <x:f>IF(COUNT('Schedule'!Q1287:Q1291)=5,SUM('Schedule'!Q1287:Q1291),"n.a.")</x:f>
        <x:v>0</x:v>
      </x:c>
      <x:c r="G276" s="4" t="n">
        <x:f>IF(COUNT('Schedule'!M1287:M1291)=5,SUM('Schedule'!M1287:M1291),"n.a.")</x:f>
        <x:v>0</x:v>
      </x:c>
      <x:c r="H276" s="4" t="n">
        <x:f>IF(COUNT('Schedule'!S1287:S1291)=5,SUM('Schedule'!S1287:S1291),"n.a.")</x:f>
        <x:v>0</x:v>
      </x:c>
      <x:c r="I276" s="4" t="str">
        <x:f>'Schedule'!T1287</x:f>
        <x:v>Ready</x:v>
      </x:c>
      <x:c r="J276" s="4"/>
      <x:c r="K276" s="4"/>
      <x:c r="L276" s="4"/>
      <x:c r="M276" s="4"/>
      <x:c r="N276" s="4"/>
      <x:c r="O276" s="4"/>
      <x:c r="P276" s="4"/>
    </x:row>
    <x:row r="277" ht="22" customHeight="1">
      <x:c r="A277" s="2"/>
      <x:c r="B277" s="2"/>
      <x:c r="C277" s="23" t="n">
        <x:v>258</x:v>
      </x:c>
      <x:c r="D277" s="32" t="n">
        <x:f>'Schedule'!D1292</x:f>
        <x:v>54149</x:v>
      </x:c>
      <x:c r="E277" s="4" t="n">
        <x:f>'Schedule'!E1292</x:f>
        <x:v>500</x:v>
      </x:c>
      <x:c r="F277" s="4" t="n">
        <x:f>IF(COUNT('Schedule'!Q1292:Q1296)=5,SUM('Schedule'!Q1292:Q1296),"n.a.")</x:f>
        <x:v>0</x:v>
      </x:c>
      <x:c r="G277" s="4" t="n">
        <x:f>IF(COUNT('Schedule'!M1292:M1296)=5,SUM('Schedule'!M1292:M1296),"n.a.")</x:f>
        <x:v>0</x:v>
      </x:c>
      <x:c r="H277" s="4" t="n">
        <x:f>IF(COUNT('Schedule'!S1292:S1296)=5,SUM('Schedule'!S1292:S1296),"n.a.")</x:f>
        <x:v>0</x:v>
      </x:c>
      <x:c r="I277" s="4" t="str">
        <x:f>'Schedule'!T1292</x:f>
        <x:v>Ready</x:v>
      </x:c>
      <x:c r="J277" s="4"/>
      <x:c r="K277" s="4"/>
      <x:c r="L277" s="4"/>
      <x:c r="M277" s="4"/>
      <x:c r="N277" s="4"/>
      <x:c r="O277" s="4"/>
      <x:c r="P277" s="4"/>
    </x:row>
    <x:row r="278" ht="22" customHeight="1">
      <x:c r="A278" s="2"/>
      <x:c r="B278" s="2"/>
      <x:c r="C278" s="23" t="n">
        <x:v>259</x:v>
      </x:c>
      <x:c r="D278" s="32" t="n">
        <x:f>'Schedule'!D1297</x:f>
        <x:v>54179</x:v>
      </x:c>
      <x:c r="E278" s="4" t="n">
        <x:f>'Schedule'!E1297</x:f>
        <x:v>500</x:v>
      </x:c>
      <x:c r="F278" s="4" t="n">
        <x:f>IF(COUNT('Schedule'!Q1297:Q1301)=5,SUM('Schedule'!Q1297:Q1301),"n.a.")</x:f>
        <x:v>0</x:v>
      </x:c>
      <x:c r="G278" s="4" t="n">
        <x:f>IF(COUNT('Schedule'!M1297:M1301)=5,SUM('Schedule'!M1297:M1301),"n.a.")</x:f>
        <x:v>0</x:v>
      </x:c>
      <x:c r="H278" s="4" t="n">
        <x:f>IF(COUNT('Schedule'!S1297:S1301)=5,SUM('Schedule'!S1297:S1301),"n.a.")</x:f>
        <x:v>0</x:v>
      </x:c>
      <x:c r="I278" s="4" t="str">
        <x:f>'Schedule'!T1297</x:f>
        <x:v>Ready</x:v>
      </x:c>
      <x:c r="J278" s="4"/>
      <x:c r="K278" s="4"/>
      <x:c r="L278" s="4"/>
      <x:c r="M278" s="4"/>
      <x:c r="N278" s="4"/>
      <x:c r="O278" s="4"/>
      <x:c r="P278" s="4"/>
    </x:row>
    <x:row r="279" ht="22" customHeight="1">
      <x:c r="A279" s="2"/>
      <x:c r="B279" s="2"/>
      <x:c r="C279" s="23" t="n">
        <x:v>260</x:v>
      </x:c>
      <x:c r="D279" s="32" t="n">
        <x:f>'Schedule'!D1302</x:f>
        <x:v>54210</x:v>
      </x:c>
      <x:c r="E279" s="4" t="n">
        <x:f>'Schedule'!E1302</x:f>
        <x:v>500</x:v>
      </x:c>
      <x:c r="F279" s="4" t="n">
        <x:f>IF(COUNT('Schedule'!Q1302:Q1306)=5,SUM('Schedule'!Q1302:Q1306),"n.a.")</x:f>
        <x:v>0</x:v>
      </x:c>
      <x:c r="G279" s="4" t="n">
        <x:f>IF(COUNT('Schedule'!M1302:M1306)=5,SUM('Schedule'!M1302:M1306),"n.a.")</x:f>
        <x:v>0</x:v>
      </x:c>
      <x:c r="H279" s="4" t="n">
        <x:f>IF(COUNT('Schedule'!S1302:S1306)=5,SUM('Schedule'!S1302:S1306),"n.a.")</x:f>
        <x:v>0</x:v>
      </x:c>
      <x:c r="I279" s="4" t="str">
        <x:f>'Schedule'!T1302</x:f>
        <x:v>Ready</x:v>
      </x:c>
      <x:c r="J279" s="4"/>
      <x:c r="K279" s="4"/>
      <x:c r="L279" s="4"/>
      <x:c r="M279" s="4"/>
      <x:c r="N279" s="4"/>
      <x:c r="O279" s="4"/>
      <x:c r="P279" s="4"/>
    </x:row>
    <x:row r="280" ht="22" customHeight="1">
      <x:c r="A280" s="2"/>
      <x:c r="B280" s="2"/>
      <x:c r="C280" s="23" t="n">
        <x:v>261</x:v>
      </x:c>
      <x:c r="D280" s="32" t="n">
        <x:f>'Schedule'!D1307</x:f>
        <x:v>54240</x:v>
      </x:c>
      <x:c r="E280" s="4" t="n">
        <x:f>'Schedule'!E1307</x:f>
        <x:v>500</x:v>
      </x:c>
      <x:c r="F280" s="4" t="n">
        <x:f>IF(COUNT('Schedule'!Q1307:Q1311)=5,SUM('Schedule'!Q1307:Q1311),"n.a.")</x:f>
        <x:v>0</x:v>
      </x:c>
      <x:c r="G280" s="4" t="n">
        <x:f>IF(COUNT('Schedule'!M1307:M1311)=5,SUM('Schedule'!M1307:M1311),"n.a.")</x:f>
        <x:v>0</x:v>
      </x:c>
      <x:c r="H280" s="4" t="n">
        <x:f>IF(COUNT('Schedule'!S1307:S1311)=5,SUM('Schedule'!S1307:S1311),"n.a.")</x:f>
        <x:v>0</x:v>
      </x:c>
      <x:c r="I280" s="4" t="str">
        <x:f>'Schedule'!T1307</x:f>
        <x:v>Ready</x:v>
      </x:c>
      <x:c r="J280" s="4"/>
      <x:c r="K280" s="4"/>
      <x:c r="L280" s="4"/>
      <x:c r="M280" s="4"/>
      <x:c r="N280" s="4"/>
      <x:c r="O280" s="4"/>
      <x:c r="P280" s="4"/>
    </x:row>
    <x:row r="281" ht="22" customHeight="1">
      <x:c r="A281" s="2"/>
      <x:c r="B281" s="2"/>
      <x:c r="C281" s="23" t="n">
        <x:v>262</x:v>
      </x:c>
      <x:c r="D281" s="32" t="n">
        <x:f>'Schedule'!D1312</x:f>
        <x:v>54271</x:v>
      </x:c>
      <x:c r="E281" s="4" t="n">
        <x:f>'Schedule'!E1312</x:f>
        <x:v>500</x:v>
      </x:c>
      <x:c r="F281" s="4" t="n">
        <x:f>IF(COUNT('Schedule'!Q1312:Q1316)=5,SUM('Schedule'!Q1312:Q1316),"n.a.")</x:f>
        <x:v>0</x:v>
      </x:c>
      <x:c r="G281" s="4" t="n">
        <x:f>IF(COUNT('Schedule'!M1312:M1316)=5,SUM('Schedule'!M1312:M1316),"n.a.")</x:f>
        <x:v>0</x:v>
      </x:c>
      <x:c r="H281" s="4" t="n">
        <x:f>IF(COUNT('Schedule'!S1312:S1316)=5,SUM('Schedule'!S1312:S1316),"n.a.")</x:f>
        <x:v>0</x:v>
      </x:c>
      <x:c r="I281" s="4" t="str">
        <x:f>'Schedule'!T1312</x:f>
        <x:v>Ready</x:v>
      </x:c>
      <x:c r="J281" s="4"/>
      <x:c r="K281" s="4"/>
      <x:c r="L281" s="4"/>
      <x:c r="M281" s="4"/>
      <x:c r="N281" s="4"/>
      <x:c r="O281" s="4"/>
      <x:c r="P281" s="4"/>
    </x:row>
    <x:row r="282" ht="22" customHeight="1">
      <x:c r="A282" s="2"/>
      <x:c r="B282" s="2"/>
      <x:c r="C282" s="23" t="n">
        <x:v>263</x:v>
      </x:c>
      <x:c r="D282" s="32" t="n">
        <x:f>'Schedule'!D1317</x:f>
        <x:v>54302</x:v>
      </x:c>
      <x:c r="E282" s="4" t="n">
        <x:f>'Schedule'!E1317</x:f>
        <x:v>500</x:v>
      </x:c>
      <x:c r="F282" s="4" t="n">
        <x:f>IF(COUNT('Schedule'!Q1317:Q1321)=5,SUM('Schedule'!Q1317:Q1321),"n.a.")</x:f>
        <x:v>0</x:v>
      </x:c>
      <x:c r="G282" s="4" t="n">
        <x:f>IF(COUNT('Schedule'!M1317:M1321)=5,SUM('Schedule'!M1317:M1321),"n.a.")</x:f>
        <x:v>0</x:v>
      </x:c>
      <x:c r="H282" s="4" t="n">
        <x:f>IF(COUNT('Schedule'!S1317:S1321)=5,SUM('Schedule'!S1317:S1321),"n.a.")</x:f>
        <x:v>0</x:v>
      </x:c>
      <x:c r="I282" s="4" t="str">
        <x:f>'Schedule'!T1317</x:f>
        <x:v>Ready</x:v>
      </x:c>
      <x:c r="J282" s="4"/>
      <x:c r="K282" s="4"/>
      <x:c r="L282" s="4"/>
      <x:c r="M282" s="4"/>
      <x:c r="N282" s="4"/>
      <x:c r="O282" s="4"/>
      <x:c r="P282" s="4"/>
    </x:row>
    <x:row r="283" ht="22" customHeight="1">
      <x:c r="A283" s="2"/>
      <x:c r="B283" s="2"/>
      <x:c r="C283" s="23" t="n">
        <x:v>264</x:v>
      </x:c>
      <x:c r="D283" s="32" t="n">
        <x:f>'Schedule'!D1322</x:f>
        <x:v>54332</x:v>
      </x:c>
      <x:c r="E283" s="4" t="n">
        <x:f>'Schedule'!E1322</x:f>
        <x:v>500</x:v>
      </x:c>
      <x:c r="F283" s="4" t="n">
        <x:f>IF(COUNT('Schedule'!Q1322:Q1326)=5,SUM('Schedule'!Q1322:Q1326),"n.a.")</x:f>
        <x:v>0</x:v>
      </x:c>
      <x:c r="G283" s="4" t="n">
        <x:f>IF(COUNT('Schedule'!M1322:M1326)=5,SUM('Schedule'!M1322:M1326),"n.a.")</x:f>
        <x:v>0</x:v>
      </x:c>
      <x:c r="H283" s="4" t="n">
        <x:f>IF(COUNT('Schedule'!S1322:S1326)=5,SUM('Schedule'!S1322:S1326),"n.a.")</x:f>
        <x:v>0</x:v>
      </x:c>
      <x:c r="I283" s="4" t="str">
        <x:f>'Schedule'!T1322</x:f>
        <x:v>Ready</x:v>
      </x:c>
      <x:c r="J283" s="4"/>
      <x:c r="K283" s="4"/>
      <x:c r="L283" s="4"/>
      <x:c r="M283" s="4"/>
      <x:c r="N283" s="4"/>
      <x:c r="O283" s="4"/>
      <x:c r="P283" s="4"/>
    </x:row>
    <x:row r="284" ht="22" customHeight="1">
      <x:c r="A284" s="2"/>
      <x:c r="B284" s="2"/>
      <x:c r="C284" s="23" t="n">
        <x:v>265</x:v>
      </x:c>
      <x:c r="D284" s="32" t="n">
        <x:f>'Schedule'!D1327</x:f>
        <x:v>54363</x:v>
      </x:c>
      <x:c r="E284" s="4" t="n">
        <x:f>'Schedule'!E1327</x:f>
        <x:v>500</x:v>
      </x:c>
      <x:c r="F284" s="4" t="n">
        <x:f>IF(COUNT('Schedule'!Q1327:Q1331)=5,SUM('Schedule'!Q1327:Q1331),"n.a.")</x:f>
        <x:v>0</x:v>
      </x:c>
      <x:c r="G284" s="4" t="n">
        <x:f>IF(COUNT('Schedule'!M1327:M1331)=5,SUM('Schedule'!M1327:M1331),"n.a.")</x:f>
        <x:v>0</x:v>
      </x:c>
      <x:c r="H284" s="4" t="n">
        <x:f>IF(COUNT('Schedule'!S1327:S1331)=5,SUM('Schedule'!S1327:S1331),"n.a.")</x:f>
        <x:v>0</x:v>
      </x:c>
      <x:c r="I284" s="4" t="str">
        <x:f>'Schedule'!T1327</x:f>
        <x:v>Ready</x:v>
      </x:c>
      <x:c r="J284" s="4"/>
      <x:c r="K284" s="4"/>
      <x:c r="L284" s="4"/>
      <x:c r="M284" s="4"/>
      <x:c r="N284" s="4"/>
      <x:c r="O284" s="4"/>
      <x:c r="P284" s="4"/>
    </x:row>
    <x:row r="285" ht="22" customHeight="1">
      <x:c r="A285" s="2"/>
      <x:c r="B285" s="2"/>
      <x:c r="C285" s="23" t="n">
        <x:v>266</x:v>
      </x:c>
      <x:c r="D285" s="32" t="n">
        <x:f>'Schedule'!D1332</x:f>
        <x:v>54393</x:v>
      </x:c>
      <x:c r="E285" s="4" t="n">
        <x:f>'Schedule'!E1332</x:f>
        <x:v>500</x:v>
      </x:c>
      <x:c r="F285" s="4" t="n">
        <x:f>IF(COUNT('Schedule'!Q1332:Q1336)=5,SUM('Schedule'!Q1332:Q1336),"n.a.")</x:f>
        <x:v>0</x:v>
      </x:c>
      <x:c r="G285" s="4" t="n">
        <x:f>IF(COUNT('Schedule'!M1332:M1336)=5,SUM('Schedule'!M1332:M1336),"n.a.")</x:f>
        <x:v>0</x:v>
      </x:c>
      <x:c r="H285" s="4" t="n">
        <x:f>IF(COUNT('Schedule'!S1332:S1336)=5,SUM('Schedule'!S1332:S1336),"n.a.")</x:f>
        <x:v>0</x:v>
      </x:c>
      <x:c r="I285" s="4" t="str">
        <x:f>'Schedule'!T1332</x:f>
        <x:v>Ready</x:v>
      </x:c>
      <x:c r="J285" s="4"/>
      <x:c r="K285" s="4"/>
      <x:c r="L285" s="4"/>
      <x:c r="M285" s="4"/>
      <x:c r="N285" s="4"/>
      <x:c r="O285" s="4"/>
      <x:c r="P285" s="4"/>
    </x:row>
    <x:row r="286" ht="22" customHeight="1">
      <x:c r="A286" s="2"/>
      <x:c r="B286" s="2"/>
      <x:c r="C286" s="23" t="n">
        <x:v>267</x:v>
      </x:c>
      <x:c r="D286" s="32" t="n">
        <x:f>'Schedule'!D1337</x:f>
        <x:v>54424</x:v>
      </x:c>
      <x:c r="E286" s="4" t="n">
        <x:f>'Schedule'!E1337</x:f>
        <x:v>500</x:v>
      </x:c>
      <x:c r="F286" s="4" t="n">
        <x:f>IF(COUNT('Schedule'!Q1337:Q1341)=5,SUM('Schedule'!Q1337:Q1341),"n.a.")</x:f>
        <x:v>0</x:v>
      </x:c>
      <x:c r="G286" s="4" t="n">
        <x:f>IF(COUNT('Schedule'!M1337:M1341)=5,SUM('Schedule'!M1337:M1341),"n.a.")</x:f>
        <x:v>0</x:v>
      </x:c>
      <x:c r="H286" s="4" t="n">
        <x:f>IF(COUNT('Schedule'!S1337:S1341)=5,SUM('Schedule'!S1337:S1341),"n.a.")</x:f>
        <x:v>0</x:v>
      </x:c>
      <x:c r="I286" s="4" t="str">
        <x:f>'Schedule'!T1337</x:f>
        <x:v>Ready</x:v>
      </x:c>
      <x:c r="J286" s="4"/>
      <x:c r="K286" s="4"/>
      <x:c r="L286" s="4"/>
      <x:c r="M286" s="4"/>
      <x:c r="N286" s="4"/>
      <x:c r="O286" s="4"/>
      <x:c r="P286" s="4"/>
    </x:row>
    <x:row r="287" ht="22" customHeight="1">
      <x:c r="A287" s="2"/>
      <x:c r="B287" s="2"/>
      <x:c r="C287" s="23" t="n">
        <x:v>268</x:v>
      </x:c>
      <x:c r="D287" s="32" t="n">
        <x:f>'Schedule'!D1342</x:f>
        <x:v>54455</x:v>
      </x:c>
      <x:c r="E287" s="4" t="n">
        <x:f>'Schedule'!E1342</x:f>
        <x:v>500</x:v>
      </x:c>
      <x:c r="F287" s="4" t="n">
        <x:f>IF(COUNT('Schedule'!Q1342:Q1346)=5,SUM('Schedule'!Q1342:Q1346),"n.a.")</x:f>
        <x:v>0</x:v>
      </x:c>
      <x:c r="G287" s="4" t="n">
        <x:f>IF(COUNT('Schedule'!M1342:M1346)=5,SUM('Schedule'!M1342:M1346),"n.a.")</x:f>
        <x:v>0</x:v>
      </x:c>
      <x:c r="H287" s="4" t="n">
        <x:f>IF(COUNT('Schedule'!S1342:S1346)=5,SUM('Schedule'!S1342:S1346),"n.a.")</x:f>
        <x:v>0</x:v>
      </x:c>
      <x:c r="I287" s="4" t="str">
        <x:f>'Schedule'!T1342</x:f>
        <x:v>Ready</x:v>
      </x:c>
      <x:c r="J287" s="4"/>
      <x:c r="K287" s="4"/>
      <x:c r="L287" s="4"/>
      <x:c r="M287" s="4"/>
      <x:c r="N287" s="4"/>
      <x:c r="O287" s="4"/>
      <x:c r="P287" s="4"/>
    </x:row>
    <x:row r="288" ht="22" customHeight="1">
      <x:c r="A288" s="2"/>
      <x:c r="B288" s="2"/>
      <x:c r="C288" s="23" t="n">
        <x:v>269</x:v>
      </x:c>
      <x:c r="D288" s="32" t="n">
        <x:f>'Schedule'!D1347</x:f>
        <x:v>54483</x:v>
      </x:c>
      <x:c r="E288" s="4" t="n">
        <x:f>'Schedule'!E1347</x:f>
        <x:v>500</x:v>
      </x:c>
      <x:c r="F288" s="4" t="n">
        <x:f>IF(COUNT('Schedule'!Q1347:Q1351)=5,SUM('Schedule'!Q1347:Q1351),"n.a.")</x:f>
        <x:v>0</x:v>
      </x:c>
      <x:c r="G288" s="4" t="n">
        <x:f>IF(COUNT('Schedule'!M1347:M1351)=5,SUM('Schedule'!M1347:M1351),"n.a.")</x:f>
        <x:v>0</x:v>
      </x:c>
      <x:c r="H288" s="4" t="n">
        <x:f>IF(COUNT('Schedule'!S1347:S1351)=5,SUM('Schedule'!S1347:S1351),"n.a.")</x:f>
        <x:v>0</x:v>
      </x:c>
      <x:c r="I288" s="4" t="str">
        <x:f>'Schedule'!T1347</x:f>
        <x:v>Ready</x:v>
      </x:c>
      <x:c r="J288" s="4"/>
      <x:c r="K288" s="4"/>
      <x:c r="L288" s="4"/>
      <x:c r="M288" s="4"/>
      <x:c r="N288" s="4"/>
      <x:c r="O288" s="4"/>
      <x:c r="P288" s="4"/>
    </x:row>
    <x:row r="289" ht="22" customHeight="1">
      <x:c r="A289" s="2"/>
      <x:c r="B289" s="2"/>
      <x:c r="C289" s="23" t="n">
        <x:v>270</x:v>
      </x:c>
      <x:c r="D289" s="32" t="n">
        <x:f>'Schedule'!D1352</x:f>
        <x:v>54514</x:v>
      </x:c>
      <x:c r="E289" s="4" t="n">
        <x:f>'Schedule'!E1352</x:f>
        <x:v>500</x:v>
      </x:c>
      <x:c r="F289" s="4" t="n">
        <x:f>IF(COUNT('Schedule'!Q1352:Q1356)=5,SUM('Schedule'!Q1352:Q1356),"n.a.")</x:f>
        <x:v>0</x:v>
      </x:c>
      <x:c r="G289" s="4" t="n">
        <x:f>IF(COUNT('Schedule'!M1352:M1356)=5,SUM('Schedule'!M1352:M1356),"n.a.")</x:f>
        <x:v>0</x:v>
      </x:c>
      <x:c r="H289" s="4" t="n">
        <x:f>IF(COUNT('Schedule'!S1352:S1356)=5,SUM('Schedule'!S1352:S1356),"n.a.")</x:f>
        <x:v>0</x:v>
      </x:c>
      <x:c r="I289" s="4" t="str">
        <x:f>'Schedule'!T1352</x:f>
        <x:v>Ready</x:v>
      </x:c>
      <x:c r="J289" s="4"/>
      <x:c r="K289" s="4"/>
      <x:c r="L289" s="4"/>
      <x:c r="M289" s="4"/>
      <x:c r="N289" s="4"/>
      <x:c r="O289" s="4"/>
      <x:c r="P289" s="4"/>
    </x:row>
    <x:row r="290" ht="22" customHeight="1">
      <x:c r="A290" s="2"/>
      <x:c r="B290" s="2"/>
      <x:c r="C290" s="23" t="n">
        <x:v>271</x:v>
      </x:c>
      <x:c r="D290" s="32" t="n">
        <x:f>'Schedule'!D1357</x:f>
        <x:v>54544</x:v>
      </x:c>
      <x:c r="E290" s="4" t="n">
        <x:f>'Schedule'!E1357</x:f>
        <x:v>500</x:v>
      </x:c>
      <x:c r="F290" s="4" t="n">
        <x:f>IF(COUNT('Schedule'!Q1357:Q1361)=5,SUM('Schedule'!Q1357:Q1361),"n.a.")</x:f>
        <x:v>0</x:v>
      </x:c>
      <x:c r="G290" s="4" t="n">
        <x:f>IF(COUNT('Schedule'!M1357:M1361)=5,SUM('Schedule'!M1357:M1361),"n.a.")</x:f>
        <x:v>0</x:v>
      </x:c>
      <x:c r="H290" s="4" t="n">
        <x:f>IF(COUNT('Schedule'!S1357:S1361)=5,SUM('Schedule'!S1357:S1361),"n.a.")</x:f>
        <x:v>0</x:v>
      </x:c>
      <x:c r="I290" s="4" t="str">
        <x:f>'Schedule'!T1357</x:f>
        <x:v>Ready</x:v>
      </x:c>
      <x:c r="J290" s="4"/>
      <x:c r="K290" s="4"/>
      <x:c r="L290" s="4"/>
      <x:c r="M290" s="4"/>
      <x:c r="N290" s="4"/>
      <x:c r="O290" s="4"/>
      <x:c r="P290" s="4"/>
    </x:row>
    <x:row r="291" ht="22" customHeight="1">
      <x:c r="A291" s="2"/>
      <x:c r="B291" s="2"/>
      <x:c r="C291" s="23" t="n">
        <x:v>272</x:v>
      </x:c>
      <x:c r="D291" s="32" t="n">
        <x:f>'Schedule'!D1362</x:f>
        <x:v>54575</x:v>
      </x:c>
      <x:c r="E291" s="4" t="n">
        <x:f>'Schedule'!E1362</x:f>
        <x:v>500</x:v>
      </x:c>
      <x:c r="F291" s="4" t="n">
        <x:f>IF(COUNT('Schedule'!Q1362:Q1366)=5,SUM('Schedule'!Q1362:Q1366),"n.a.")</x:f>
        <x:v>0</x:v>
      </x:c>
      <x:c r="G291" s="4" t="n">
        <x:f>IF(COUNT('Schedule'!M1362:M1366)=5,SUM('Schedule'!M1362:M1366),"n.a.")</x:f>
        <x:v>0</x:v>
      </x:c>
      <x:c r="H291" s="4" t="n">
        <x:f>IF(COUNT('Schedule'!S1362:S1366)=5,SUM('Schedule'!S1362:S1366),"n.a.")</x:f>
        <x:v>0</x:v>
      </x:c>
      <x:c r="I291" s="4" t="str">
        <x:f>'Schedule'!T1362</x:f>
        <x:v>Ready</x:v>
      </x:c>
      <x:c r="J291" s="4"/>
      <x:c r="K291" s="4"/>
      <x:c r="L291" s="4"/>
      <x:c r="M291" s="4"/>
      <x:c r="N291" s="4"/>
      <x:c r="O291" s="4"/>
      <x:c r="P291" s="4"/>
    </x:row>
    <x:row r="292" ht="22" customHeight="1">
      <x:c r="A292" s="2"/>
      <x:c r="B292" s="2"/>
      <x:c r="C292" s="23" t="n">
        <x:v>273</x:v>
      </x:c>
      <x:c r="D292" s="32" t="n">
        <x:f>'Schedule'!D1367</x:f>
        <x:v>54605</x:v>
      </x:c>
      <x:c r="E292" s="4" t="n">
        <x:f>'Schedule'!E1367</x:f>
        <x:v>500</x:v>
      </x:c>
      <x:c r="F292" s="4" t="n">
        <x:f>IF(COUNT('Schedule'!Q1367:Q1371)=5,SUM('Schedule'!Q1367:Q1371),"n.a.")</x:f>
        <x:v>0</x:v>
      </x:c>
      <x:c r="G292" s="4" t="n">
        <x:f>IF(COUNT('Schedule'!M1367:M1371)=5,SUM('Schedule'!M1367:M1371),"n.a.")</x:f>
        <x:v>0</x:v>
      </x:c>
      <x:c r="H292" s="4" t="n">
        <x:f>IF(COUNT('Schedule'!S1367:S1371)=5,SUM('Schedule'!S1367:S1371),"n.a.")</x:f>
        <x:v>0</x:v>
      </x:c>
      <x:c r="I292" s="4" t="str">
        <x:f>'Schedule'!T1367</x:f>
        <x:v>Ready</x:v>
      </x:c>
      <x:c r="J292" s="4"/>
      <x:c r="K292" s="4"/>
      <x:c r="L292" s="4"/>
      <x:c r="M292" s="4"/>
      <x:c r="N292" s="4"/>
      <x:c r="O292" s="4"/>
      <x:c r="P292" s="4"/>
    </x:row>
    <x:row r="293" ht="22" customHeight="1">
      <x:c r="A293" s="2"/>
      <x:c r="B293" s="2"/>
      <x:c r="C293" s="23" t="n">
        <x:v>274</x:v>
      </x:c>
      <x:c r="D293" s="32" t="n">
        <x:f>'Schedule'!D1372</x:f>
        <x:v>54636</x:v>
      </x:c>
      <x:c r="E293" s="4" t="n">
        <x:f>'Schedule'!E1372</x:f>
        <x:v>500</x:v>
      </x:c>
      <x:c r="F293" s="4" t="n">
        <x:f>IF(COUNT('Schedule'!Q1372:Q1376)=5,SUM('Schedule'!Q1372:Q1376),"n.a.")</x:f>
        <x:v>0</x:v>
      </x:c>
      <x:c r="G293" s="4" t="n">
        <x:f>IF(COUNT('Schedule'!M1372:M1376)=5,SUM('Schedule'!M1372:M1376),"n.a.")</x:f>
        <x:v>0</x:v>
      </x:c>
      <x:c r="H293" s="4" t="n">
        <x:f>IF(COUNT('Schedule'!S1372:S1376)=5,SUM('Schedule'!S1372:S1376),"n.a.")</x:f>
        <x:v>0</x:v>
      </x:c>
      <x:c r="I293" s="4" t="str">
        <x:f>'Schedule'!T1372</x:f>
        <x:v>Ready</x:v>
      </x:c>
      <x:c r="J293" s="4"/>
      <x:c r="K293" s="4"/>
      <x:c r="L293" s="4"/>
      <x:c r="M293" s="4"/>
      <x:c r="N293" s="4"/>
      <x:c r="O293" s="4"/>
      <x:c r="P293" s="4"/>
    </x:row>
    <x:row r="294" ht="22" customHeight="1">
      <x:c r="A294" s="2"/>
      <x:c r="B294" s="2"/>
      <x:c r="C294" s="23" t="n">
        <x:v>275</x:v>
      </x:c>
      <x:c r="D294" s="32" t="n">
        <x:f>'Schedule'!D1377</x:f>
        <x:v>54667</x:v>
      </x:c>
      <x:c r="E294" s="4" t="n">
        <x:f>'Schedule'!E1377</x:f>
        <x:v>500</x:v>
      </x:c>
      <x:c r="F294" s="4" t="n">
        <x:f>IF(COUNT('Schedule'!Q1377:Q1381)=5,SUM('Schedule'!Q1377:Q1381),"n.a.")</x:f>
        <x:v>0</x:v>
      </x:c>
      <x:c r="G294" s="4" t="n">
        <x:f>IF(COUNT('Schedule'!M1377:M1381)=5,SUM('Schedule'!M1377:M1381),"n.a.")</x:f>
        <x:v>0</x:v>
      </x:c>
      <x:c r="H294" s="4" t="n">
        <x:f>IF(COUNT('Schedule'!S1377:S1381)=5,SUM('Schedule'!S1377:S1381),"n.a.")</x:f>
        <x:v>0</x:v>
      </x:c>
      <x:c r="I294" s="4" t="str">
        <x:f>'Schedule'!T1377</x:f>
        <x:v>Ready</x:v>
      </x:c>
      <x:c r="J294" s="4"/>
      <x:c r="K294" s="4"/>
      <x:c r="L294" s="4"/>
      <x:c r="M294" s="4"/>
      <x:c r="N294" s="4"/>
      <x:c r="O294" s="4"/>
      <x:c r="P294" s="4"/>
    </x:row>
    <x:row r="295" ht="22" customHeight="1">
      <x:c r="A295" s="2"/>
      <x:c r="B295" s="2"/>
      <x:c r="C295" s="23" t="n">
        <x:v>276</x:v>
      </x:c>
      <x:c r="D295" s="32" t="n">
        <x:f>'Schedule'!D1382</x:f>
        <x:v>54697</x:v>
      </x:c>
      <x:c r="E295" s="4" t="n">
        <x:f>'Schedule'!E1382</x:f>
        <x:v>500</x:v>
      </x:c>
      <x:c r="F295" s="4" t="n">
        <x:f>IF(COUNT('Schedule'!Q1382:Q1386)=5,SUM('Schedule'!Q1382:Q1386),"n.a.")</x:f>
        <x:v>0</x:v>
      </x:c>
      <x:c r="G295" s="4" t="n">
        <x:f>IF(COUNT('Schedule'!M1382:M1386)=5,SUM('Schedule'!M1382:M1386),"n.a.")</x:f>
        <x:v>0</x:v>
      </x:c>
      <x:c r="H295" s="4" t="n">
        <x:f>IF(COUNT('Schedule'!S1382:S1386)=5,SUM('Schedule'!S1382:S1386),"n.a.")</x:f>
        <x:v>0</x:v>
      </x:c>
      <x:c r="I295" s="4" t="str">
        <x:f>'Schedule'!T1382</x:f>
        <x:v>Ready</x:v>
      </x:c>
      <x:c r="J295" s="4"/>
      <x:c r="K295" s="4"/>
      <x:c r="L295" s="4"/>
      <x:c r="M295" s="4"/>
      <x:c r="N295" s="4"/>
      <x:c r="O295" s="4"/>
      <x:c r="P295" s="4"/>
    </x:row>
    <x:row r="296" ht="22" customHeight="1">
      <x:c r="A296" s="2"/>
      <x:c r="B296" s="2"/>
      <x:c r="C296" s="23" t="n">
        <x:v>277</x:v>
      </x:c>
      <x:c r="D296" s="32" t="n">
        <x:f>'Schedule'!D1387</x:f>
        <x:v>54728</x:v>
      </x:c>
      <x:c r="E296" s="4" t="n">
        <x:f>'Schedule'!E1387</x:f>
        <x:v>500</x:v>
      </x:c>
      <x:c r="F296" s="4" t="n">
        <x:f>IF(COUNT('Schedule'!Q1387:Q1391)=5,SUM('Schedule'!Q1387:Q1391),"n.a.")</x:f>
        <x:v>0</x:v>
      </x:c>
      <x:c r="G296" s="4" t="n">
        <x:f>IF(COUNT('Schedule'!M1387:M1391)=5,SUM('Schedule'!M1387:M1391),"n.a.")</x:f>
        <x:v>0</x:v>
      </x:c>
      <x:c r="H296" s="4" t="n">
        <x:f>IF(COUNT('Schedule'!S1387:S1391)=5,SUM('Schedule'!S1387:S1391),"n.a.")</x:f>
        <x:v>0</x:v>
      </x:c>
      <x:c r="I296" s="4" t="str">
        <x:f>'Schedule'!T1387</x:f>
        <x:v>Ready</x:v>
      </x:c>
      <x:c r="J296" s="4"/>
      <x:c r="K296" s="4"/>
      <x:c r="L296" s="4"/>
      <x:c r="M296" s="4"/>
      <x:c r="N296" s="4"/>
      <x:c r="O296" s="4"/>
      <x:c r="P296" s="4"/>
    </x:row>
    <x:row r="297" ht="22" customHeight="1">
      <x:c r="A297" s="2"/>
      <x:c r="B297" s="2"/>
      <x:c r="C297" s="23" t="n">
        <x:v>278</x:v>
      </x:c>
      <x:c r="D297" s="32" t="n">
        <x:f>'Schedule'!D1392</x:f>
        <x:v>54758</x:v>
      </x:c>
      <x:c r="E297" s="4" t="n">
        <x:f>'Schedule'!E1392</x:f>
        <x:v>500</x:v>
      </x:c>
      <x:c r="F297" s="4" t="n">
        <x:f>IF(COUNT('Schedule'!Q1392:Q1396)=5,SUM('Schedule'!Q1392:Q1396),"n.a.")</x:f>
        <x:v>0</x:v>
      </x:c>
      <x:c r="G297" s="4" t="n">
        <x:f>IF(COUNT('Schedule'!M1392:M1396)=5,SUM('Schedule'!M1392:M1396),"n.a.")</x:f>
        <x:v>0</x:v>
      </x:c>
      <x:c r="H297" s="4" t="n">
        <x:f>IF(COUNT('Schedule'!S1392:S1396)=5,SUM('Schedule'!S1392:S1396),"n.a.")</x:f>
        <x:v>0</x:v>
      </x:c>
      <x:c r="I297" s="4" t="str">
        <x:f>'Schedule'!T1392</x:f>
        <x:v>Ready</x:v>
      </x:c>
      <x:c r="J297" s="4"/>
      <x:c r="K297" s="4"/>
      <x:c r="L297" s="4"/>
      <x:c r="M297" s="4"/>
      <x:c r="N297" s="4"/>
      <x:c r="O297" s="4"/>
      <x:c r="P297" s="4"/>
    </x:row>
    <x:row r="298" ht="22" customHeight="1">
      <x:c r="A298" s="2"/>
      <x:c r="B298" s="2"/>
      <x:c r="C298" s="23" t="n">
        <x:v>279</x:v>
      </x:c>
      <x:c r="D298" s="32" t="n">
        <x:f>'Schedule'!D1397</x:f>
        <x:v>54789</x:v>
      </x:c>
      <x:c r="E298" s="4" t="n">
        <x:f>'Schedule'!E1397</x:f>
        <x:v>500</x:v>
      </x:c>
      <x:c r="F298" s="4" t="n">
        <x:f>IF(COUNT('Schedule'!Q1397:Q1401)=5,SUM('Schedule'!Q1397:Q1401),"n.a.")</x:f>
        <x:v>0</x:v>
      </x:c>
      <x:c r="G298" s="4" t="n">
        <x:f>IF(COUNT('Schedule'!M1397:M1401)=5,SUM('Schedule'!M1397:M1401),"n.a.")</x:f>
        <x:v>0</x:v>
      </x:c>
      <x:c r="H298" s="4" t="n">
        <x:f>IF(COUNT('Schedule'!S1397:S1401)=5,SUM('Schedule'!S1397:S1401),"n.a.")</x:f>
        <x:v>0</x:v>
      </x:c>
      <x:c r="I298" s="4" t="str">
        <x:f>'Schedule'!T1397</x:f>
        <x:v>Ready</x:v>
      </x:c>
      <x:c r="J298" s="4"/>
      <x:c r="K298" s="4"/>
      <x:c r="L298" s="4"/>
      <x:c r="M298" s="4"/>
      <x:c r="N298" s="4"/>
      <x:c r="O298" s="4"/>
      <x:c r="P298" s="4"/>
    </x:row>
    <x:row r="299" ht="22" customHeight="1">
      <x:c r="A299" s="2"/>
      <x:c r="B299" s="2"/>
      <x:c r="C299" s="23" t="n">
        <x:v>280</x:v>
      </x:c>
      <x:c r="D299" s="32" t="n">
        <x:f>'Schedule'!D1402</x:f>
        <x:v>54820</x:v>
      </x:c>
      <x:c r="E299" s="4" t="n">
        <x:f>'Schedule'!E1402</x:f>
        <x:v>500</x:v>
      </x:c>
      <x:c r="F299" s="4" t="n">
        <x:f>IF(COUNT('Schedule'!Q1402:Q1406)=5,SUM('Schedule'!Q1402:Q1406),"n.a.")</x:f>
        <x:v>0</x:v>
      </x:c>
      <x:c r="G299" s="4" t="n">
        <x:f>IF(COUNT('Schedule'!M1402:M1406)=5,SUM('Schedule'!M1402:M1406),"n.a.")</x:f>
        <x:v>0</x:v>
      </x:c>
      <x:c r="H299" s="4" t="n">
        <x:f>IF(COUNT('Schedule'!S1402:S1406)=5,SUM('Schedule'!S1402:S1406),"n.a.")</x:f>
        <x:v>0</x:v>
      </x:c>
      <x:c r="I299" s="4" t="str">
        <x:f>'Schedule'!T1402</x:f>
        <x:v>Ready</x:v>
      </x:c>
      <x:c r="J299" s="4"/>
      <x:c r="K299" s="4"/>
      <x:c r="L299" s="4"/>
      <x:c r="M299" s="4"/>
      <x:c r="N299" s="4"/>
      <x:c r="O299" s="4"/>
      <x:c r="P299" s="4"/>
    </x:row>
    <x:row r="300" ht="22" customHeight="1">
      <x:c r="A300" s="2"/>
      <x:c r="B300" s="2"/>
      <x:c r="C300" s="23" t="n">
        <x:v>281</x:v>
      </x:c>
      <x:c r="D300" s="32" t="n">
        <x:f>'Schedule'!D1407</x:f>
        <x:v>54848</x:v>
      </x:c>
      <x:c r="E300" s="4" t="n">
        <x:f>'Schedule'!E1407</x:f>
        <x:v>500</x:v>
      </x:c>
      <x:c r="F300" s="4" t="n">
        <x:f>IF(COUNT('Schedule'!Q1407:Q1411)=5,SUM('Schedule'!Q1407:Q1411),"n.a.")</x:f>
        <x:v>0</x:v>
      </x:c>
      <x:c r="G300" s="4" t="n">
        <x:f>IF(COUNT('Schedule'!M1407:M1411)=5,SUM('Schedule'!M1407:M1411),"n.a.")</x:f>
        <x:v>0</x:v>
      </x:c>
      <x:c r="H300" s="4" t="n">
        <x:f>IF(COUNT('Schedule'!S1407:S1411)=5,SUM('Schedule'!S1407:S1411),"n.a.")</x:f>
        <x:v>0</x:v>
      </x:c>
      <x:c r="I300" s="4" t="str">
        <x:f>'Schedule'!T1407</x:f>
        <x:v>Ready</x:v>
      </x:c>
      <x:c r="J300" s="4"/>
      <x:c r="K300" s="4"/>
      <x:c r="L300" s="4"/>
      <x:c r="M300" s="4"/>
      <x:c r="N300" s="4"/>
      <x:c r="O300" s="4"/>
      <x:c r="P300" s="4"/>
    </x:row>
    <x:row r="301" ht="22" customHeight="1">
      <x:c r="A301" s="2"/>
      <x:c r="B301" s="2"/>
      <x:c r="C301" s="23" t="n">
        <x:v>282</x:v>
      </x:c>
      <x:c r="D301" s="32" t="n">
        <x:f>'Schedule'!D1412</x:f>
        <x:v>54879</x:v>
      </x:c>
      <x:c r="E301" s="4" t="n">
        <x:f>'Schedule'!E1412</x:f>
        <x:v>500</x:v>
      </x:c>
      <x:c r="F301" s="4" t="n">
        <x:f>IF(COUNT('Schedule'!Q1412:Q1416)=5,SUM('Schedule'!Q1412:Q1416),"n.a.")</x:f>
        <x:v>0</x:v>
      </x:c>
      <x:c r="G301" s="4" t="n">
        <x:f>IF(COUNT('Schedule'!M1412:M1416)=5,SUM('Schedule'!M1412:M1416),"n.a.")</x:f>
        <x:v>0</x:v>
      </x:c>
      <x:c r="H301" s="4" t="n">
        <x:f>IF(COUNT('Schedule'!S1412:S1416)=5,SUM('Schedule'!S1412:S1416),"n.a.")</x:f>
        <x:v>0</x:v>
      </x:c>
      <x:c r="I301" s="4" t="str">
        <x:f>'Schedule'!T1412</x:f>
        <x:v>Ready</x:v>
      </x:c>
      <x:c r="J301" s="4"/>
      <x:c r="K301" s="4"/>
      <x:c r="L301" s="4"/>
      <x:c r="M301" s="4"/>
      <x:c r="N301" s="4"/>
      <x:c r="O301" s="4"/>
      <x:c r="P301" s="4"/>
    </x:row>
    <x:row r="302" ht="22" customHeight="1">
      <x:c r="A302" s="2"/>
      <x:c r="B302" s="2"/>
      <x:c r="C302" s="23" t="n">
        <x:v>283</x:v>
      </x:c>
      <x:c r="D302" s="32" t="n">
        <x:f>'Schedule'!D1417</x:f>
        <x:v>54909</x:v>
      </x:c>
      <x:c r="E302" s="4" t="n">
        <x:f>'Schedule'!E1417</x:f>
        <x:v>500</x:v>
      </x:c>
      <x:c r="F302" s="4" t="n">
        <x:f>IF(COUNT('Schedule'!Q1417:Q1421)=5,SUM('Schedule'!Q1417:Q1421),"n.a.")</x:f>
        <x:v>0</x:v>
      </x:c>
      <x:c r="G302" s="4" t="n">
        <x:f>IF(COUNT('Schedule'!M1417:M1421)=5,SUM('Schedule'!M1417:M1421),"n.a.")</x:f>
        <x:v>0</x:v>
      </x:c>
      <x:c r="H302" s="4" t="n">
        <x:f>IF(COUNT('Schedule'!S1417:S1421)=5,SUM('Schedule'!S1417:S1421),"n.a.")</x:f>
        <x:v>0</x:v>
      </x:c>
      <x:c r="I302" s="4" t="str">
        <x:f>'Schedule'!T1417</x:f>
        <x:v>Ready</x:v>
      </x:c>
      <x:c r="J302" s="4"/>
      <x:c r="K302" s="4"/>
      <x:c r="L302" s="4"/>
      <x:c r="M302" s="4"/>
      <x:c r="N302" s="4"/>
      <x:c r="O302" s="4"/>
      <x:c r="P302" s="4"/>
    </x:row>
    <x:row r="303" ht="22" customHeight="1">
      <x:c r="A303" s="2"/>
      <x:c r="B303" s="2"/>
      <x:c r="C303" s="23" t="n">
        <x:v>284</x:v>
      </x:c>
      <x:c r="D303" s="32" t="n">
        <x:f>'Schedule'!D1422</x:f>
        <x:v>54940</x:v>
      </x:c>
      <x:c r="E303" s="4" t="n">
        <x:f>'Schedule'!E1422</x:f>
        <x:v>500</x:v>
      </x:c>
      <x:c r="F303" s="4" t="n">
        <x:f>IF(COUNT('Schedule'!Q1422:Q1426)=5,SUM('Schedule'!Q1422:Q1426),"n.a.")</x:f>
        <x:v>0</x:v>
      </x:c>
      <x:c r="G303" s="4" t="n">
        <x:f>IF(COUNT('Schedule'!M1422:M1426)=5,SUM('Schedule'!M1422:M1426),"n.a.")</x:f>
        <x:v>0</x:v>
      </x:c>
      <x:c r="H303" s="4" t="n">
        <x:f>IF(COUNT('Schedule'!S1422:S1426)=5,SUM('Schedule'!S1422:S1426),"n.a.")</x:f>
        <x:v>0</x:v>
      </x:c>
      <x:c r="I303" s="4" t="str">
        <x:f>'Schedule'!T1422</x:f>
        <x:v>Ready</x:v>
      </x:c>
      <x:c r="J303" s="4"/>
      <x:c r="K303" s="4"/>
      <x:c r="L303" s="4"/>
      <x:c r="M303" s="4"/>
      <x:c r="N303" s="4"/>
      <x:c r="O303" s="4"/>
      <x:c r="P303" s="4"/>
    </x:row>
    <x:row r="304" ht="22" customHeight="1">
      <x:c r="A304" s="2"/>
      <x:c r="B304" s="2"/>
      <x:c r="C304" s="23" t="n">
        <x:v>285</x:v>
      </x:c>
      <x:c r="D304" s="32" t="n">
        <x:f>'Schedule'!D1427</x:f>
        <x:v>54970</x:v>
      </x:c>
      <x:c r="E304" s="4" t="n">
        <x:f>'Schedule'!E1427</x:f>
        <x:v>500</x:v>
      </x:c>
      <x:c r="F304" s="4" t="n">
        <x:f>IF(COUNT('Schedule'!Q1427:Q1431)=5,SUM('Schedule'!Q1427:Q1431),"n.a.")</x:f>
        <x:v>0</x:v>
      </x:c>
      <x:c r="G304" s="4" t="n">
        <x:f>IF(COUNT('Schedule'!M1427:M1431)=5,SUM('Schedule'!M1427:M1431),"n.a.")</x:f>
        <x:v>0</x:v>
      </x:c>
      <x:c r="H304" s="4" t="n">
        <x:f>IF(COUNT('Schedule'!S1427:S1431)=5,SUM('Schedule'!S1427:S1431),"n.a.")</x:f>
        <x:v>0</x:v>
      </x:c>
      <x:c r="I304" s="4" t="str">
        <x:f>'Schedule'!T1427</x:f>
        <x:v>Ready</x:v>
      </x:c>
      <x:c r="J304" s="4"/>
      <x:c r="K304" s="4"/>
      <x:c r="L304" s="4"/>
      <x:c r="M304" s="4"/>
      <x:c r="N304" s="4"/>
      <x:c r="O304" s="4"/>
      <x:c r="P304" s="4"/>
    </x:row>
    <x:row r="305" ht="22" customHeight="1">
      <x:c r="A305" s="2"/>
      <x:c r="B305" s="2"/>
      <x:c r="C305" s="23" t="n">
        <x:v>286</x:v>
      </x:c>
      <x:c r="D305" s="32" t="n">
        <x:f>'Schedule'!D1432</x:f>
        <x:v>55001</x:v>
      </x:c>
      <x:c r="E305" s="4" t="n">
        <x:f>'Schedule'!E1432</x:f>
        <x:v>500</x:v>
      </x:c>
      <x:c r="F305" s="4" t="n">
        <x:f>IF(COUNT('Schedule'!Q1432:Q1436)=5,SUM('Schedule'!Q1432:Q1436),"n.a.")</x:f>
        <x:v>0</x:v>
      </x:c>
      <x:c r="G305" s="4" t="n">
        <x:f>IF(COUNT('Schedule'!M1432:M1436)=5,SUM('Schedule'!M1432:M1436),"n.a.")</x:f>
        <x:v>0</x:v>
      </x:c>
      <x:c r="H305" s="4" t="n">
        <x:f>IF(COUNT('Schedule'!S1432:S1436)=5,SUM('Schedule'!S1432:S1436),"n.a.")</x:f>
        <x:v>0</x:v>
      </x:c>
      <x:c r="I305" s="4" t="str">
        <x:f>'Schedule'!T1432</x:f>
        <x:v>Ready</x:v>
      </x:c>
      <x:c r="J305" s="4"/>
      <x:c r="K305" s="4"/>
      <x:c r="L305" s="4"/>
      <x:c r="M305" s="4"/>
      <x:c r="N305" s="4"/>
      <x:c r="O305" s="4"/>
      <x:c r="P305" s="4"/>
    </x:row>
    <x:row r="306" ht="22" customHeight="1">
      <x:c r="A306" s="2"/>
      <x:c r="B306" s="2"/>
      <x:c r="C306" s="23" t="n">
        <x:v>287</x:v>
      </x:c>
      <x:c r="D306" s="32" t="n">
        <x:f>'Schedule'!D1437</x:f>
        <x:v>55032</x:v>
      </x:c>
      <x:c r="E306" s="4" t="n">
        <x:f>'Schedule'!E1437</x:f>
        <x:v>500</x:v>
      </x:c>
      <x:c r="F306" s="4" t="n">
        <x:f>IF(COUNT('Schedule'!Q1437:Q1441)=5,SUM('Schedule'!Q1437:Q1441),"n.a.")</x:f>
        <x:v>0</x:v>
      </x:c>
      <x:c r="G306" s="4" t="n">
        <x:f>IF(COUNT('Schedule'!M1437:M1441)=5,SUM('Schedule'!M1437:M1441),"n.a.")</x:f>
        <x:v>0</x:v>
      </x:c>
      <x:c r="H306" s="4" t="n">
        <x:f>IF(COUNT('Schedule'!S1437:S1441)=5,SUM('Schedule'!S1437:S1441),"n.a.")</x:f>
        <x:v>0</x:v>
      </x:c>
      <x:c r="I306" s="4" t="str">
        <x:f>'Schedule'!T1437</x:f>
        <x:v>Ready</x:v>
      </x:c>
      <x:c r="J306" s="4"/>
      <x:c r="K306" s="4"/>
      <x:c r="L306" s="4"/>
      <x:c r="M306" s="4"/>
      <x:c r="N306" s="4"/>
      <x:c r="O306" s="4"/>
      <x:c r="P306" s="4"/>
    </x:row>
    <x:row r="307" ht="22" customHeight="1">
      <x:c r="A307" s="2"/>
      <x:c r="B307" s="2"/>
      <x:c r="C307" s="23" t="n">
        <x:v>288</x:v>
      </x:c>
      <x:c r="D307" s="32" t="n">
        <x:f>'Schedule'!D1442</x:f>
        <x:v>55062</x:v>
      </x:c>
      <x:c r="E307" s="4" t="n">
        <x:f>'Schedule'!E1442</x:f>
        <x:v>500</x:v>
      </x:c>
      <x:c r="F307" s="4" t="n">
        <x:f>IF(COUNT('Schedule'!Q1442:Q1446)=5,SUM('Schedule'!Q1442:Q1446),"n.a.")</x:f>
        <x:v>0</x:v>
      </x:c>
      <x:c r="G307" s="4" t="n">
        <x:f>IF(COUNT('Schedule'!M1442:M1446)=5,SUM('Schedule'!M1442:M1446),"n.a.")</x:f>
        <x:v>0</x:v>
      </x:c>
      <x:c r="H307" s="4" t="n">
        <x:f>IF(COUNT('Schedule'!S1442:S1446)=5,SUM('Schedule'!S1442:S1446),"n.a.")</x:f>
        <x:v>0</x:v>
      </x:c>
      <x:c r="I307" s="4" t="str">
        <x:f>'Schedule'!T1442</x:f>
        <x:v>Ready</x:v>
      </x:c>
      <x:c r="J307" s="4"/>
      <x:c r="K307" s="4"/>
      <x:c r="L307" s="4"/>
      <x:c r="M307" s="4"/>
      <x:c r="N307" s="4"/>
      <x:c r="O307" s="4"/>
      <x:c r="P307" s="4"/>
    </x:row>
    <x:row r="308" ht="22" customHeight="1">
      <x:c r="A308" s="2"/>
      <x:c r="B308" s="2"/>
      <x:c r="C308" s="23" t="n">
        <x:v>289</x:v>
      </x:c>
      <x:c r="D308" s="32" t="n">
        <x:f>'Schedule'!D1447</x:f>
        <x:v>55093</x:v>
      </x:c>
      <x:c r="E308" s="4" t="n">
        <x:f>'Schedule'!E1447</x:f>
        <x:v>500</x:v>
      </x:c>
      <x:c r="F308" s="4" t="n">
        <x:f>IF(COUNT('Schedule'!Q1447:Q1451)=5,SUM('Schedule'!Q1447:Q1451),"n.a.")</x:f>
        <x:v>0</x:v>
      </x:c>
      <x:c r="G308" s="4" t="n">
        <x:f>IF(COUNT('Schedule'!M1447:M1451)=5,SUM('Schedule'!M1447:M1451),"n.a.")</x:f>
        <x:v>0</x:v>
      </x:c>
      <x:c r="H308" s="4" t="n">
        <x:f>IF(COUNT('Schedule'!S1447:S1451)=5,SUM('Schedule'!S1447:S1451),"n.a.")</x:f>
        <x:v>0</x:v>
      </x:c>
      <x:c r="I308" s="4" t="str">
        <x:f>'Schedule'!T1447</x:f>
        <x:v>Ready</x:v>
      </x:c>
      <x:c r="J308" s="4"/>
      <x:c r="K308" s="4"/>
      <x:c r="L308" s="4"/>
      <x:c r="M308" s="4"/>
      <x:c r="N308" s="4"/>
      <x:c r="O308" s="4"/>
      <x:c r="P308" s="4"/>
    </x:row>
    <x:row r="309" ht="22" customHeight="1">
      <x:c r="A309" s="2"/>
      <x:c r="B309" s="2"/>
      <x:c r="C309" s="23" t="n">
        <x:v>290</x:v>
      </x:c>
      <x:c r="D309" s="32" t="n">
        <x:f>'Schedule'!D1452</x:f>
        <x:v>55123</x:v>
      </x:c>
      <x:c r="E309" s="4" t="n">
        <x:f>'Schedule'!E1452</x:f>
        <x:v>500</x:v>
      </x:c>
      <x:c r="F309" s="4" t="n">
        <x:f>IF(COUNT('Schedule'!Q1452:Q1456)=5,SUM('Schedule'!Q1452:Q1456),"n.a.")</x:f>
        <x:v>0</x:v>
      </x:c>
      <x:c r="G309" s="4" t="n">
        <x:f>IF(COUNT('Schedule'!M1452:M1456)=5,SUM('Schedule'!M1452:M1456),"n.a.")</x:f>
        <x:v>0</x:v>
      </x:c>
      <x:c r="H309" s="4" t="n">
        <x:f>IF(COUNT('Schedule'!S1452:S1456)=5,SUM('Schedule'!S1452:S1456),"n.a.")</x:f>
        <x:v>0</x:v>
      </x:c>
      <x:c r="I309" s="4" t="str">
        <x:f>'Schedule'!T1452</x:f>
        <x:v>Ready</x:v>
      </x:c>
      <x:c r="J309" s="4"/>
      <x:c r="K309" s="4"/>
      <x:c r="L309" s="4"/>
      <x:c r="M309" s="4"/>
      <x:c r="N309" s="4"/>
      <x:c r="O309" s="4"/>
      <x:c r="P309" s="4"/>
    </x:row>
    <x:row r="310" ht="22" customHeight="1">
      <x:c r="A310" s="2"/>
      <x:c r="B310" s="2"/>
      <x:c r="C310" s="23" t="n">
        <x:v>291</x:v>
      </x:c>
      <x:c r="D310" s="32" t="n">
        <x:f>'Schedule'!D1457</x:f>
        <x:v>55154</x:v>
      </x:c>
      <x:c r="E310" s="4" t="n">
        <x:f>'Schedule'!E1457</x:f>
        <x:v>500</x:v>
      </x:c>
      <x:c r="F310" s="4" t="n">
        <x:f>IF(COUNT('Schedule'!Q1457:Q1461)=5,SUM('Schedule'!Q1457:Q1461),"n.a.")</x:f>
        <x:v>0</x:v>
      </x:c>
      <x:c r="G310" s="4" t="n">
        <x:f>IF(COUNT('Schedule'!M1457:M1461)=5,SUM('Schedule'!M1457:M1461),"n.a.")</x:f>
        <x:v>0</x:v>
      </x:c>
      <x:c r="H310" s="4" t="n">
        <x:f>IF(COUNT('Schedule'!S1457:S1461)=5,SUM('Schedule'!S1457:S1461),"n.a.")</x:f>
        <x:v>0</x:v>
      </x:c>
      <x:c r="I310" s="4" t="str">
        <x:f>'Schedule'!T1457</x:f>
        <x:v>Ready</x:v>
      </x:c>
      <x:c r="J310" s="4"/>
      <x:c r="K310" s="4"/>
      <x:c r="L310" s="4"/>
      <x:c r="M310" s="4"/>
      <x:c r="N310" s="4"/>
      <x:c r="O310" s="4"/>
      <x:c r="P310" s="4"/>
    </x:row>
    <x:row r="311" ht="22" customHeight="1">
      <x:c r="A311" s="2"/>
      <x:c r="B311" s="2"/>
      <x:c r="C311" s="23" t="n">
        <x:v>292</x:v>
      </x:c>
      <x:c r="D311" s="32" t="n">
        <x:f>'Schedule'!D1462</x:f>
        <x:v>55185</x:v>
      </x:c>
      <x:c r="E311" s="4" t="n">
        <x:f>'Schedule'!E1462</x:f>
        <x:v>500</x:v>
      </x:c>
      <x:c r="F311" s="4" t="n">
        <x:f>IF(COUNT('Schedule'!Q1462:Q1466)=5,SUM('Schedule'!Q1462:Q1466),"n.a.")</x:f>
        <x:v>0</x:v>
      </x:c>
      <x:c r="G311" s="4" t="n">
        <x:f>IF(COUNT('Schedule'!M1462:M1466)=5,SUM('Schedule'!M1462:M1466),"n.a.")</x:f>
        <x:v>0</x:v>
      </x:c>
      <x:c r="H311" s="4" t="n">
        <x:f>IF(COUNT('Schedule'!S1462:S1466)=5,SUM('Schedule'!S1462:S1466),"n.a.")</x:f>
        <x:v>0</x:v>
      </x:c>
      <x:c r="I311" s="4" t="str">
        <x:f>'Schedule'!T1462</x:f>
        <x:v>Ready</x:v>
      </x:c>
      <x:c r="J311" s="4"/>
      <x:c r="K311" s="4"/>
      <x:c r="L311" s="4"/>
      <x:c r="M311" s="4"/>
      <x:c r="N311" s="4"/>
      <x:c r="O311" s="4"/>
      <x:c r="P311" s="4"/>
    </x:row>
    <x:row r="312" ht="22" customHeight="1">
      <x:c r="A312" s="2"/>
      <x:c r="B312" s="2"/>
      <x:c r="C312" s="23" t="n">
        <x:v>293</x:v>
      </x:c>
      <x:c r="D312" s="32" t="n">
        <x:f>'Schedule'!D1467</x:f>
        <x:v>55213</x:v>
      </x:c>
      <x:c r="E312" s="4" t="n">
        <x:f>'Schedule'!E1467</x:f>
        <x:v>500</x:v>
      </x:c>
      <x:c r="F312" s="4" t="n">
        <x:f>IF(COUNT('Schedule'!Q1467:Q1471)=5,SUM('Schedule'!Q1467:Q1471),"n.a.")</x:f>
        <x:v>0</x:v>
      </x:c>
      <x:c r="G312" s="4" t="n">
        <x:f>IF(COUNT('Schedule'!M1467:M1471)=5,SUM('Schedule'!M1467:M1471),"n.a.")</x:f>
        <x:v>0</x:v>
      </x:c>
      <x:c r="H312" s="4" t="n">
        <x:f>IF(COUNT('Schedule'!S1467:S1471)=5,SUM('Schedule'!S1467:S1471),"n.a.")</x:f>
        <x:v>0</x:v>
      </x:c>
      <x:c r="I312" s="4" t="str">
        <x:f>'Schedule'!T1467</x:f>
        <x:v>Ready</x:v>
      </x:c>
      <x:c r="J312" s="4"/>
      <x:c r="K312" s="4"/>
      <x:c r="L312" s="4"/>
      <x:c r="M312" s="4"/>
      <x:c r="N312" s="4"/>
      <x:c r="O312" s="4"/>
      <x:c r="P312" s="4"/>
    </x:row>
    <x:row r="313" ht="22" customHeight="1">
      <x:c r="A313" s="2"/>
      <x:c r="B313" s="2"/>
      <x:c r="C313" s="23" t="n">
        <x:v>294</x:v>
      </x:c>
      <x:c r="D313" s="32" t="n">
        <x:f>'Schedule'!D1472</x:f>
        <x:v>55244</x:v>
      </x:c>
      <x:c r="E313" s="4" t="n">
        <x:f>'Schedule'!E1472</x:f>
        <x:v>500</x:v>
      </x:c>
      <x:c r="F313" s="4" t="n">
        <x:f>IF(COUNT('Schedule'!Q1472:Q1476)=5,SUM('Schedule'!Q1472:Q1476),"n.a.")</x:f>
        <x:v>0</x:v>
      </x:c>
      <x:c r="G313" s="4" t="n">
        <x:f>IF(COUNT('Schedule'!M1472:M1476)=5,SUM('Schedule'!M1472:M1476),"n.a.")</x:f>
        <x:v>0</x:v>
      </x:c>
      <x:c r="H313" s="4" t="n">
        <x:f>IF(COUNT('Schedule'!S1472:S1476)=5,SUM('Schedule'!S1472:S1476),"n.a.")</x:f>
        <x:v>0</x:v>
      </x:c>
      <x:c r="I313" s="4" t="str">
        <x:f>'Schedule'!T1472</x:f>
        <x:v>Ready</x:v>
      </x:c>
      <x:c r="J313" s="4"/>
      <x:c r="K313" s="4"/>
      <x:c r="L313" s="4"/>
      <x:c r="M313" s="4"/>
      <x:c r="N313" s="4"/>
      <x:c r="O313" s="4"/>
      <x:c r="P313" s="4"/>
    </x:row>
    <x:row r="314" ht="22" customHeight="1">
      <x:c r="A314" s="2"/>
      <x:c r="B314" s="2"/>
      <x:c r="C314" s="23" t="n">
        <x:v>295</x:v>
      </x:c>
      <x:c r="D314" s="32" t="n">
        <x:f>'Schedule'!D1477</x:f>
        <x:v>55274</x:v>
      </x:c>
      <x:c r="E314" s="4" t="n">
        <x:f>'Schedule'!E1477</x:f>
        <x:v>500</x:v>
      </x:c>
      <x:c r="F314" s="4" t="n">
        <x:f>IF(COUNT('Schedule'!Q1477:Q1481)=5,SUM('Schedule'!Q1477:Q1481),"n.a.")</x:f>
        <x:v>0</x:v>
      </x:c>
      <x:c r="G314" s="4" t="n">
        <x:f>IF(COUNT('Schedule'!M1477:M1481)=5,SUM('Schedule'!M1477:M1481),"n.a.")</x:f>
        <x:v>0</x:v>
      </x:c>
      <x:c r="H314" s="4" t="n">
        <x:f>IF(COUNT('Schedule'!S1477:S1481)=5,SUM('Schedule'!S1477:S1481),"n.a.")</x:f>
        <x:v>0</x:v>
      </x:c>
      <x:c r="I314" s="4" t="str">
        <x:f>'Schedule'!T1477</x:f>
        <x:v>Ready</x:v>
      </x:c>
      <x:c r="J314" s="4"/>
      <x:c r="K314" s="4"/>
      <x:c r="L314" s="4"/>
      <x:c r="M314" s="4"/>
      <x:c r="N314" s="4"/>
      <x:c r="O314" s="4"/>
      <x:c r="P314" s="4"/>
    </x:row>
    <x:row r="315" ht="22" customHeight="1">
      <x:c r="A315" s="2"/>
      <x:c r="B315" s="2"/>
      <x:c r="C315" s="23" t="n">
        <x:v>296</x:v>
      </x:c>
      <x:c r="D315" s="32" t="n">
        <x:f>'Schedule'!D1482</x:f>
        <x:v>55305</x:v>
      </x:c>
      <x:c r="E315" s="4" t="n">
        <x:f>'Schedule'!E1482</x:f>
        <x:v>500</x:v>
      </x:c>
      <x:c r="F315" s="4" t="n">
        <x:f>IF(COUNT('Schedule'!Q1482:Q1486)=5,SUM('Schedule'!Q1482:Q1486),"n.a.")</x:f>
        <x:v>0</x:v>
      </x:c>
      <x:c r="G315" s="4" t="n">
        <x:f>IF(COUNT('Schedule'!M1482:M1486)=5,SUM('Schedule'!M1482:M1486),"n.a.")</x:f>
        <x:v>0</x:v>
      </x:c>
      <x:c r="H315" s="4" t="n">
        <x:f>IF(COUNT('Schedule'!S1482:S1486)=5,SUM('Schedule'!S1482:S1486),"n.a.")</x:f>
        <x:v>0</x:v>
      </x:c>
      <x:c r="I315" s="4" t="str">
        <x:f>'Schedule'!T1482</x:f>
        <x:v>Ready</x:v>
      </x:c>
      <x:c r="J315" s="4"/>
      <x:c r="K315" s="4"/>
      <x:c r="L315" s="4"/>
      <x:c r="M315" s="4"/>
      <x:c r="N315" s="4"/>
      <x:c r="O315" s="4"/>
      <x:c r="P315" s="4"/>
    </x:row>
    <x:row r="316" ht="22" customHeight="1">
      <x:c r="A316" s="2"/>
      <x:c r="B316" s="2"/>
      <x:c r="C316" s="23" t="n">
        <x:v>297</x:v>
      </x:c>
      <x:c r="D316" s="32" t="n">
        <x:f>'Schedule'!D1487</x:f>
        <x:v>55335</x:v>
      </x:c>
      <x:c r="E316" s="4" t="n">
        <x:f>'Schedule'!E1487</x:f>
        <x:v>500</x:v>
      </x:c>
      <x:c r="F316" s="4" t="n">
        <x:f>IF(COUNT('Schedule'!Q1487:Q1491)=5,SUM('Schedule'!Q1487:Q1491),"n.a.")</x:f>
        <x:v>0</x:v>
      </x:c>
      <x:c r="G316" s="4" t="n">
        <x:f>IF(COUNT('Schedule'!M1487:M1491)=5,SUM('Schedule'!M1487:M1491),"n.a.")</x:f>
        <x:v>0</x:v>
      </x:c>
      <x:c r="H316" s="4" t="n">
        <x:f>IF(COUNT('Schedule'!S1487:S1491)=5,SUM('Schedule'!S1487:S1491),"n.a.")</x:f>
        <x:v>0</x:v>
      </x:c>
      <x:c r="I316" s="4" t="str">
        <x:f>'Schedule'!T1487</x:f>
        <x:v>Ready</x:v>
      </x:c>
      <x:c r="J316" s="4"/>
      <x:c r="K316" s="4"/>
      <x:c r="L316" s="4"/>
      <x:c r="M316" s="4"/>
      <x:c r="N316" s="4"/>
      <x:c r="O316" s="4"/>
      <x:c r="P316" s="4"/>
    </x:row>
    <x:row r="317" ht="22" customHeight="1">
      <x:c r="A317" s="2"/>
      <x:c r="B317" s="2"/>
      <x:c r="C317" s="23" t="n">
        <x:v>298</x:v>
      </x:c>
      <x:c r="D317" s="32" t="n">
        <x:f>'Schedule'!D1492</x:f>
        <x:v>55366</x:v>
      </x:c>
      <x:c r="E317" s="4" t="n">
        <x:f>'Schedule'!E1492</x:f>
        <x:v>500</x:v>
      </x:c>
      <x:c r="F317" s="4" t="n">
        <x:f>IF(COUNT('Schedule'!Q1492:Q1496)=5,SUM('Schedule'!Q1492:Q1496),"n.a.")</x:f>
        <x:v>0</x:v>
      </x:c>
      <x:c r="G317" s="4" t="n">
        <x:f>IF(COUNT('Schedule'!M1492:M1496)=5,SUM('Schedule'!M1492:M1496),"n.a.")</x:f>
        <x:v>0</x:v>
      </x:c>
      <x:c r="H317" s="4" t="n">
        <x:f>IF(COUNT('Schedule'!S1492:S1496)=5,SUM('Schedule'!S1492:S1496),"n.a.")</x:f>
        <x:v>0</x:v>
      </x:c>
      <x:c r="I317" s="4" t="str">
        <x:f>'Schedule'!T1492</x:f>
        <x:v>Ready</x:v>
      </x:c>
      <x:c r="J317" s="4"/>
      <x:c r="K317" s="4"/>
      <x:c r="L317" s="4"/>
      <x:c r="M317" s="4"/>
      <x:c r="N317" s="4"/>
      <x:c r="O317" s="4"/>
      <x:c r="P317" s="4"/>
    </x:row>
    <x:row r="318" ht="22" customHeight="1">
      <x:c r="A318" s="2"/>
      <x:c r="B318" s="2"/>
      <x:c r="C318" s="23" t="n">
        <x:v>299</x:v>
      </x:c>
      <x:c r="D318" s="32" t="n">
        <x:f>'Schedule'!D1497</x:f>
        <x:v>55397</x:v>
      </x:c>
      <x:c r="E318" s="4" t="n">
        <x:f>'Schedule'!E1497</x:f>
        <x:v>500</x:v>
      </x:c>
      <x:c r="F318" s="4" t="n">
        <x:f>IF(COUNT('Schedule'!Q1497:Q1501)=5,SUM('Schedule'!Q1497:Q1501),"n.a.")</x:f>
        <x:v>0</x:v>
      </x:c>
      <x:c r="G318" s="4" t="n">
        <x:f>IF(COUNT('Schedule'!M1497:M1501)=5,SUM('Schedule'!M1497:M1501),"n.a.")</x:f>
        <x:v>0</x:v>
      </x:c>
      <x:c r="H318" s="4" t="n">
        <x:f>IF(COUNT('Schedule'!S1497:S1501)=5,SUM('Schedule'!S1497:S1501),"n.a.")</x:f>
        <x:v>0</x:v>
      </x:c>
      <x:c r="I318" s="4" t="str">
        <x:f>'Schedule'!T1497</x:f>
        <x:v>Ready</x:v>
      </x:c>
      <x:c r="J318" s="4"/>
      <x:c r="K318" s="4"/>
      <x:c r="L318" s="4"/>
      <x:c r="M318" s="4"/>
      <x:c r="N318" s="4"/>
      <x:c r="O318" s="4"/>
      <x:c r="P318" s="4"/>
    </x:row>
    <x:row r="319" ht="22" customHeight="1">
      <x:c r="A319" s="2"/>
      <x:c r="B319" s="2"/>
      <x:c r="C319" s="23" t="n">
        <x:v>300</x:v>
      </x:c>
      <x:c r="D319" s="32" t="n">
        <x:f>'Schedule'!D1502</x:f>
        <x:v>55427</x:v>
      </x:c>
      <x:c r="E319" s="4" t="n">
        <x:f>'Schedule'!E1502</x:f>
        <x:v>500</x:v>
      </x:c>
      <x:c r="F319" s="4" t="n">
        <x:f>IF(COUNT('Schedule'!Q1502:Q1506)=5,SUM('Schedule'!Q1502:Q1506),"n.a.")</x:f>
        <x:v>0</x:v>
      </x:c>
      <x:c r="G319" s="4" t="n">
        <x:f>IF(COUNT('Schedule'!M1502:M1506)=5,SUM('Schedule'!M1502:M1506),"n.a.")</x:f>
        <x:v>0</x:v>
      </x:c>
      <x:c r="H319" s="4" t="n">
        <x:f>IF(COUNT('Schedule'!S1502:S1506)=5,SUM('Schedule'!S1502:S1506),"n.a.")</x:f>
        <x:v>0</x:v>
      </x:c>
      <x:c r="I319" s="4" t="str">
        <x:f>'Schedule'!T1502</x:f>
        <x:v>Ready</x:v>
      </x:c>
      <x:c r="J319" s="4"/>
      <x:c r="K319" s="4"/>
      <x:c r="L319" s="4"/>
      <x:c r="M319" s="4"/>
      <x:c r="N319" s="4"/>
      <x:c r="O319" s="4"/>
      <x:c r="P319" s="4"/>
    </x:row>
    <x:row r="320" ht="22" customHeight="1">
      <x:c r="A320" s="2"/>
      <x:c r="B320" s="2"/>
      <x:c r="C320" s="23" t="n">
        <x:v>301</x:v>
      </x:c>
      <x:c r="D320" s="32" t="n">
        <x:f>'Schedule'!D1507</x:f>
        <x:v>55458</x:v>
      </x:c>
      <x:c r="E320" s="4" t="n">
        <x:f>'Schedule'!E1507</x:f>
        <x:v>500</x:v>
      </x:c>
      <x:c r="F320" s="4" t="n">
        <x:f>IF(COUNT('Schedule'!Q1507:Q1511)=5,SUM('Schedule'!Q1507:Q1511),"n.a.")</x:f>
        <x:v>0</x:v>
      </x:c>
      <x:c r="G320" s="4" t="n">
        <x:f>IF(COUNT('Schedule'!M1507:M1511)=5,SUM('Schedule'!M1507:M1511),"n.a.")</x:f>
        <x:v>0</x:v>
      </x:c>
      <x:c r="H320" s="4" t="n">
        <x:f>IF(COUNT('Schedule'!S1507:S1511)=5,SUM('Schedule'!S1507:S1511),"n.a.")</x:f>
        <x:v>0</x:v>
      </x:c>
      <x:c r="I320" s="4" t="str">
        <x:f>'Schedule'!T1507</x:f>
        <x:v>Ready</x:v>
      </x:c>
      <x:c r="J320" s="4"/>
      <x:c r="K320" s="4"/>
      <x:c r="L320" s="4"/>
      <x:c r="M320" s="4"/>
      <x:c r="N320" s="4"/>
      <x:c r="O320" s="4"/>
      <x:c r="P320" s="4"/>
    </x:row>
    <x:row r="321" ht="22" customHeight="1">
      <x:c r="A321" s="2"/>
      <x:c r="B321" s="2"/>
      <x:c r="C321" s="23" t="n">
        <x:v>302</x:v>
      </x:c>
      <x:c r="D321" s="32" t="n">
        <x:f>'Schedule'!D1512</x:f>
        <x:v>55488</x:v>
      </x:c>
      <x:c r="E321" s="4" t="n">
        <x:f>'Schedule'!E1512</x:f>
        <x:v>500</x:v>
      </x:c>
      <x:c r="F321" s="4" t="n">
        <x:f>IF(COUNT('Schedule'!Q1512:Q1516)=5,SUM('Schedule'!Q1512:Q1516),"n.a.")</x:f>
        <x:v>0</x:v>
      </x:c>
      <x:c r="G321" s="4" t="n">
        <x:f>IF(COUNT('Schedule'!M1512:M1516)=5,SUM('Schedule'!M1512:M1516),"n.a.")</x:f>
        <x:v>0</x:v>
      </x:c>
      <x:c r="H321" s="4" t="n">
        <x:f>IF(COUNT('Schedule'!S1512:S1516)=5,SUM('Schedule'!S1512:S1516),"n.a.")</x:f>
        <x:v>0</x:v>
      </x:c>
      <x:c r="I321" s="4" t="str">
        <x:f>'Schedule'!T1512</x:f>
        <x:v>Ready</x:v>
      </x:c>
      <x:c r="J321" s="4"/>
      <x:c r="K321" s="4"/>
      <x:c r="L321" s="4"/>
      <x:c r="M321" s="4"/>
      <x:c r="N321" s="4"/>
      <x:c r="O321" s="4"/>
      <x:c r="P321" s="4"/>
    </x:row>
    <x:row r="322" ht="22" customHeight="1">
      <x:c r="A322" s="2"/>
      <x:c r="B322" s="2"/>
      <x:c r="C322" s="23" t="n">
        <x:v>303</x:v>
      </x:c>
      <x:c r="D322" s="32" t="n">
        <x:f>'Schedule'!D1517</x:f>
        <x:v>55519</x:v>
      </x:c>
      <x:c r="E322" s="4" t="n">
        <x:f>'Schedule'!E1517</x:f>
        <x:v>500</x:v>
      </x:c>
      <x:c r="F322" s="4" t="n">
        <x:f>IF(COUNT('Schedule'!Q1517:Q1521)=5,SUM('Schedule'!Q1517:Q1521),"n.a.")</x:f>
        <x:v>0</x:v>
      </x:c>
      <x:c r="G322" s="4" t="n">
        <x:f>IF(COUNT('Schedule'!M1517:M1521)=5,SUM('Schedule'!M1517:M1521),"n.a.")</x:f>
        <x:v>0</x:v>
      </x:c>
      <x:c r="H322" s="4" t="n">
        <x:f>IF(COUNT('Schedule'!S1517:S1521)=5,SUM('Schedule'!S1517:S1521),"n.a.")</x:f>
        <x:v>0</x:v>
      </x:c>
      <x:c r="I322" s="4" t="str">
        <x:f>'Schedule'!T1517</x:f>
        <x:v>Ready</x:v>
      </x:c>
      <x:c r="J322" s="4"/>
      <x:c r="K322" s="4"/>
      <x:c r="L322" s="4"/>
      <x:c r="M322" s="4"/>
      <x:c r="N322" s="4"/>
      <x:c r="O322" s="4"/>
      <x:c r="P322" s="4"/>
    </x:row>
    <x:row r="323" ht="22" customHeight="1">
      <x:c r="A323" s="2"/>
      <x:c r="B323" s="2"/>
      <x:c r="C323" s="23" t="n">
        <x:v>304</x:v>
      </x:c>
      <x:c r="D323" s="32" t="n">
        <x:f>'Schedule'!D1522</x:f>
        <x:v>55550</x:v>
      </x:c>
      <x:c r="E323" s="4" t="n">
        <x:f>'Schedule'!E1522</x:f>
        <x:v>500</x:v>
      </x:c>
      <x:c r="F323" s="4" t="n">
        <x:f>IF(COUNT('Schedule'!Q1522:Q1526)=5,SUM('Schedule'!Q1522:Q1526),"n.a.")</x:f>
        <x:v>0</x:v>
      </x:c>
      <x:c r="G323" s="4" t="n">
        <x:f>IF(COUNT('Schedule'!M1522:M1526)=5,SUM('Schedule'!M1522:M1526),"n.a.")</x:f>
        <x:v>0</x:v>
      </x:c>
      <x:c r="H323" s="4" t="n">
        <x:f>IF(COUNT('Schedule'!S1522:S1526)=5,SUM('Schedule'!S1522:S1526),"n.a.")</x:f>
        <x:v>0</x:v>
      </x:c>
      <x:c r="I323" s="4" t="str">
        <x:f>'Schedule'!T1522</x:f>
        <x:v>Ready</x:v>
      </x:c>
      <x:c r="J323" s="4"/>
      <x:c r="K323" s="4"/>
      <x:c r="L323" s="4"/>
      <x:c r="M323" s="4"/>
      <x:c r="N323" s="4"/>
      <x:c r="O323" s="4"/>
      <x:c r="P323" s="4"/>
    </x:row>
    <x:row r="324" ht="22" customHeight="1">
      <x:c r="A324" s="2"/>
      <x:c r="B324" s="2"/>
      <x:c r="C324" s="23" t="n">
        <x:v>305</x:v>
      </x:c>
      <x:c r="D324" s="32" t="n">
        <x:f>'Schedule'!D1527</x:f>
        <x:v>55579</x:v>
      </x:c>
      <x:c r="E324" s="4" t="n">
        <x:f>'Schedule'!E1527</x:f>
        <x:v>500</x:v>
      </x:c>
      <x:c r="F324" s="4" t="n">
        <x:f>IF(COUNT('Schedule'!Q1527:Q1531)=5,SUM('Schedule'!Q1527:Q1531),"n.a.")</x:f>
        <x:v>0</x:v>
      </x:c>
      <x:c r="G324" s="4" t="n">
        <x:f>IF(COUNT('Schedule'!M1527:M1531)=5,SUM('Schedule'!M1527:M1531),"n.a.")</x:f>
        <x:v>0</x:v>
      </x:c>
      <x:c r="H324" s="4" t="n">
        <x:f>IF(COUNT('Schedule'!S1527:S1531)=5,SUM('Schedule'!S1527:S1531),"n.a.")</x:f>
        <x:v>0</x:v>
      </x:c>
      <x:c r="I324" s="4" t="str">
        <x:f>'Schedule'!T1527</x:f>
        <x:v>Ready</x:v>
      </x:c>
      <x:c r="J324" s="4"/>
      <x:c r="K324" s="4"/>
      <x:c r="L324" s="4"/>
      <x:c r="M324" s="4"/>
      <x:c r="N324" s="4"/>
      <x:c r="O324" s="4"/>
      <x:c r="P324" s="4"/>
    </x:row>
    <x:row r="325" ht="22" customHeight="1">
      <x:c r="A325" s="2"/>
      <x:c r="B325" s="2"/>
      <x:c r="C325" s="23" t="n">
        <x:v>306</x:v>
      </x:c>
      <x:c r="D325" s="32" t="n">
        <x:f>'Schedule'!D1532</x:f>
        <x:v>55610</x:v>
      </x:c>
      <x:c r="E325" s="4" t="n">
        <x:f>'Schedule'!E1532</x:f>
        <x:v>500</x:v>
      </x:c>
      <x:c r="F325" s="4" t="n">
        <x:f>IF(COUNT('Schedule'!Q1532:Q1536)=5,SUM('Schedule'!Q1532:Q1536),"n.a.")</x:f>
        <x:v>0</x:v>
      </x:c>
      <x:c r="G325" s="4" t="n">
        <x:f>IF(COUNT('Schedule'!M1532:M1536)=5,SUM('Schedule'!M1532:M1536),"n.a.")</x:f>
        <x:v>0</x:v>
      </x:c>
      <x:c r="H325" s="4" t="n">
        <x:f>IF(COUNT('Schedule'!S1532:S1536)=5,SUM('Schedule'!S1532:S1536),"n.a.")</x:f>
        <x:v>0</x:v>
      </x:c>
      <x:c r="I325" s="4" t="str">
        <x:f>'Schedule'!T1532</x:f>
        <x:v>Ready</x:v>
      </x:c>
      <x:c r="J325" s="4"/>
      <x:c r="K325" s="4"/>
      <x:c r="L325" s="4"/>
      <x:c r="M325" s="4"/>
      <x:c r="N325" s="4"/>
      <x:c r="O325" s="4"/>
      <x:c r="P325" s="4"/>
    </x:row>
    <x:row r="326" ht="22" customHeight="1">
      <x:c r="A326" s="2"/>
      <x:c r="B326" s="2"/>
      <x:c r="C326" s="23" t="n">
        <x:v>307</x:v>
      </x:c>
      <x:c r="D326" s="32" t="n">
        <x:f>'Schedule'!D1537</x:f>
        <x:v>55640</x:v>
      </x:c>
      <x:c r="E326" s="4" t="n">
        <x:f>'Schedule'!E1537</x:f>
        <x:v>500</x:v>
      </x:c>
      <x:c r="F326" s="4" t="n">
        <x:f>IF(COUNT('Schedule'!Q1537:Q1541)=5,SUM('Schedule'!Q1537:Q1541),"n.a.")</x:f>
        <x:v>0</x:v>
      </x:c>
      <x:c r="G326" s="4" t="n">
        <x:f>IF(COUNT('Schedule'!M1537:M1541)=5,SUM('Schedule'!M1537:M1541),"n.a.")</x:f>
        <x:v>0</x:v>
      </x:c>
      <x:c r="H326" s="4" t="n">
        <x:f>IF(COUNT('Schedule'!S1537:S1541)=5,SUM('Schedule'!S1537:S1541),"n.a.")</x:f>
        <x:v>0</x:v>
      </x:c>
      <x:c r="I326" s="4" t="str">
        <x:f>'Schedule'!T1537</x:f>
        <x:v>Ready</x:v>
      </x:c>
      <x:c r="J326" s="4"/>
      <x:c r="K326" s="4"/>
      <x:c r="L326" s="4"/>
      <x:c r="M326" s="4"/>
      <x:c r="N326" s="4"/>
      <x:c r="O326" s="4"/>
      <x:c r="P326" s="4"/>
    </x:row>
    <x:row r="327" ht="22" customHeight="1">
      <x:c r="A327" s="2"/>
      <x:c r="B327" s="2"/>
      <x:c r="C327" s="23" t="n">
        <x:v>308</x:v>
      </x:c>
      <x:c r="D327" s="32" t="n">
        <x:f>'Schedule'!D1542</x:f>
        <x:v>55671</x:v>
      </x:c>
      <x:c r="E327" s="4" t="n">
        <x:f>'Schedule'!E1542</x:f>
        <x:v>500</x:v>
      </x:c>
      <x:c r="F327" s="4" t="n">
        <x:f>IF(COUNT('Schedule'!Q1542:Q1546)=5,SUM('Schedule'!Q1542:Q1546),"n.a.")</x:f>
        <x:v>0</x:v>
      </x:c>
      <x:c r="G327" s="4" t="n">
        <x:f>IF(COUNT('Schedule'!M1542:M1546)=5,SUM('Schedule'!M1542:M1546),"n.a.")</x:f>
        <x:v>0</x:v>
      </x:c>
      <x:c r="H327" s="4" t="n">
        <x:f>IF(COUNT('Schedule'!S1542:S1546)=5,SUM('Schedule'!S1542:S1546),"n.a.")</x:f>
        <x:v>0</x:v>
      </x:c>
      <x:c r="I327" s="4" t="str">
        <x:f>'Schedule'!T1542</x:f>
        <x:v>Ready</x:v>
      </x:c>
      <x:c r="J327" s="4"/>
      <x:c r="K327" s="4"/>
      <x:c r="L327" s="4"/>
      <x:c r="M327" s="4"/>
      <x:c r="N327" s="4"/>
      <x:c r="O327" s="4"/>
      <x:c r="P327" s="4"/>
    </x:row>
    <x:row r="328" ht="22" customHeight="1">
      <x:c r="A328" s="2"/>
      <x:c r="B328" s="2"/>
      <x:c r="C328" s="23" t="n">
        <x:v>309</x:v>
      </x:c>
      <x:c r="D328" s="32" t="n">
        <x:f>'Schedule'!D1547</x:f>
        <x:v>55701</x:v>
      </x:c>
      <x:c r="E328" s="4" t="n">
        <x:f>'Schedule'!E1547</x:f>
        <x:v>500</x:v>
      </x:c>
      <x:c r="F328" s="4" t="n">
        <x:f>IF(COUNT('Schedule'!Q1547:Q1551)=5,SUM('Schedule'!Q1547:Q1551),"n.a.")</x:f>
        <x:v>0</x:v>
      </x:c>
      <x:c r="G328" s="4" t="n">
        <x:f>IF(COUNT('Schedule'!M1547:M1551)=5,SUM('Schedule'!M1547:M1551),"n.a.")</x:f>
        <x:v>0</x:v>
      </x:c>
      <x:c r="H328" s="4" t="n">
        <x:f>IF(COUNT('Schedule'!S1547:S1551)=5,SUM('Schedule'!S1547:S1551),"n.a.")</x:f>
        <x:v>0</x:v>
      </x:c>
      <x:c r="I328" s="4" t="str">
        <x:f>'Schedule'!T1547</x:f>
        <x:v>Ready</x:v>
      </x:c>
      <x:c r="J328" s="4"/>
      <x:c r="K328" s="4"/>
      <x:c r="L328" s="4"/>
      <x:c r="M328" s="4"/>
      <x:c r="N328" s="4"/>
      <x:c r="O328" s="4"/>
      <x:c r="P328" s="4"/>
    </x:row>
    <x:row r="329" ht="22" customHeight="1">
      <x:c r="A329" s="2"/>
      <x:c r="B329" s="2"/>
      <x:c r="C329" s="23" t="n">
        <x:v>310</x:v>
      </x:c>
      <x:c r="D329" s="32" t="n">
        <x:f>'Schedule'!D1552</x:f>
        <x:v>55732</x:v>
      </x:c>
      <x:c r="E329" s="4" t="n">
        <x:f>'Schedule'!E1552</x:f>
        <x:v>500</x:v>
      </x:c>
      <x:c r="F329" s="4" t="n">
        <x:f>IF(COUNT('Schedule'!Q1552:Q1556)=5,SUM('Schedule'!Q1552:Q1556),"n.a.")</x:f>
        <x:v>0</x:v>
      </x:c>
      <x:c r="G329" s="4" t="n">
        <x:f>IF(COUNT('Schedule'!M1552:M1556)=5,SUM('Schedule'!M1552:M1556),"n.a.")</x:f>
        <x:v>0</x:v>
      </x:c>
      <x:c r="H329" s="4" t="n">
        <x:f>IF(COUNT('Schedule'!S1552:S1556)=5,SUM('Schedule'!S1552:S1556),"n.a.")</x:f>
        <x:v>0</x:v>
      </x:c>
      <x:c r="I329" s="4" t="str">
        <x:f>'Schedule'!T1552</x:f>
        <x:v>Ready</x:v>
      </x:c>
      <x:c r="J329" s="4"/>
      <x:c r="K329" s="4"/>
      <x:c r="L329" s="4"/>
      <x:c r="M329" s="4"/>
      <x:c r="N329" s="4"/>
      <x:c r="O329" s="4"/>
      <x:c r="P329" s="4"/>
    </x:row>
    <x:row r="330" ht="22" customHeight="1">
      <x:c r="A330" s="2"/>
      <x:c r="B330" s="2"/>
      <x:c r="C330" s="23" t="n">
        <x:v>311</x:v>
      </x:c>
      <x:c r="D330" s="32" t="n">
        <x:f>'Schedule'!D1557</x:f>
        <x:v>55763</x:v>
      </x:c>
      <x:c r="E330" s="4" t="n">
        <x:f>'Schedule'!E1557</x:f>
        <x:v>500</x:v>
      </x:c>
      <x:c r="F330" s="4" t="n">
        <x:f>IF(COUNT('Schedule'!Q1557:Q1561)=5,SUM('Schedule'!Q1557:Q1561),"n.a.")</x:f>
        <x:v>0</x:v>
      </x:c>
      <x:c r="G330" s="4" t="n">
        <x:f>IF(COUNT('Schedule'!M1557:M1561)=5,SUM('Schedule'!M1557:M1561),"n.a.")</x:f>
        <x:v>0</x:v>
      </x:c>
      <x:c r="H330" s="4" t="n">
        <x:f>IF(COUNT('Schedule'!S1557:S1561)=5,SUM('Schedule'!S1557:S1561),"n.a.")</x:f>
        <x:v>0</x:v>
      </x:c>
      <x:c r="I330" s="4" t="str">
        <x:f>'Schedule'!T1557</x:f>
        <x:v>Ready</x:v>
      </x:c>
      <x:c r="J330" s="4"/>
      <x:c r="K330" s="4"/>
      <x:c r="L330" s="4"/>
      <x:c r="M330" s="4"/>
      <x:c r="N330" s="4"/>
      <x:c r="O330" s="4"/>
      <x:c r="P330" s="4"/>
    </x:row>
    <x:row r="331" ht="22" customHeight="1">
      <x:c r="A331" s="2"/>
      <x:c r="B331" s="2"/>
      <x:c r="C331" s="23" t="n">
        <x:v>312</x:v>
      </x:c>
      <x:c r="D331" s="32" t="n">
        <x:f>'Schedule'!D1562</x:f>
        <x:v>55793</x:v>
      </x:c>
      <x:c r="E331" s="4" t="n">
        <x:f>'Schedule'!E1562</x:f>
        <x:v>500</x:v>
      </x:c>
      <x:c r="F331" s="4" t="n">
        <x:f>IF(COUNT('Schedule'!Q1562:Q1566)=5,SUM('Schedule'!Q1562:Q1566),"n.a.")</x:f>
        <x:v>0</x:v>
      </x:c>
      <x:c r="G331" s="4" t="n">
        <x:f>IF(COUNT('Schedule'!M1562:M1566)=5,SUM('Schedule'!M1562:M1566),"n.a.")</x:f>
        <x:v>0</x:v>
      </x:c>
      <x:c r="H331" s="4" t="n">
        <x:f>IF(COUNT('Schedule'!S1562:S1566)=5,SUM('Schedule'!S1562:S1566),"n.a.")</x:f>
        <x:v>0</x:v>
      </x:c>
      <x:c r="I331" s="4" t="str">
        <x:f>'Schedule'!T1562</x:f>
        <x:v>Ready</x:v>
      </x:c>
      <x:c r="J331" s="4"/>
      <x:c r="K331" s="4"/>
      <x:c r="L331" s="4"/>
      <x:c r="M331" s="4"/>
      <x:c r="N331" s="4"/>
      <x:c r="O331" s="4"/>
      <x:c r="P331" s="4"/>
    </x:row>
    <x:row r="332" ht="22" customHeight="1">
      <x:c r="A332" s="2"/>
      <x:c r="B332" s="2"/>
      <x:c r="C332" s="23" t="n">
        <x:v>313</x:v>
      </x:c>
      <x:c r="D332" s="32" t="n">
        <x:f>'Schedule'!D1567</x:f>
        <x:v>55824</x:v>
      </x:c>
      <x:c r="E332" s="4" t="n">
        <x:f>'Schedule'!E1567</x:f>
        <x:v>500</x:v>
      </x:c>
      <x:c r="F332" s="4" t="n">
        <x:f>IF(COUNT('Schedule'!Q1567:Q1571)=5,SUM('Schedule'!Q1567:Q1571),"n.a.")</x:f>
        <x:v>0</x:v>
      </x:c>
      <x:c r="G332" s="4" t="n">
        <x:f>IF(COUNT('Schedule'!M1567:M1571)=5,SUM('Schedule'!M1567:M1571),"n.a.")</x:f>
        <x:v>0</x:v>
      </x:c>
      <x:c r="H332" s="4" t="n">
        <x:f>IF(COUNT('Schedule'!S1567:S1571)=5,SUM('Schedule'!S1567:S1571),"n.a.")</x:f>
        <x:v>0</x:v>
      </x:c>
      <x:c r="I332" s="4" t="str">
        <x:f>'Schedule'!T1567</x:f>
        <x:v>Ready</x:v>
      </x:c>
      <x:c r="J332" s="4"/>
      <x:c r="K332" s="4"/>
      <x:c r="L332" s="4"/>
      <x:c r="M332" s="4"/>
      <x:c r="N332" s="4"/>
      <x:c r="O332" s="4"/>
      <x:c r="P332" s="4"/>
    </x:row>
    <x:row r="333" ht="22" customHeight="1">
      <x:c r="A333" s="2"/>
      <x:c r="B333" s="2"/>
      <x:c r="C333" s="23" t="n">
        <x:v>314</x:v>
      </x:c>
      <x:c r="D333" s="32" t="n">
        <x:f>'Schedule'!D1572</x:f>
        <x:v>55854</x:v>
      </x:c>
      <x:c r="E333" s="4" t="n">
        <x:f>'Schedule'!E1572</x:f>
        <x:v>500</x:v>
      </x:c>
      <x:c r="F333" s="4" t="n">
        <x:f>IF(COUNT('Schedule'!Q1572:Q1576)=5,SUM('Schedule'!Q1572:Q1576),"n.a.")</x:f>
        <x:v>0</x:v>
      </x:c>
      <x:c r="G333" s="4" t="n">
        <x:f>IF(COUNT('Schedule'!M1572:M1576)=5,SUM('Schedule'!M1572:M1576),"n.a.")</x:f>
        <x:v>0</x:v>
      </x:c>
      <x:c r="H333" s="4" t="n">
        <x:f>IF(COUNT('Schedule'!S1572:S1576)=5,SUM('Schedule'!S1572:S1576),"n.a.")</x:f>
        <x:v>0</x:v>
      </x:c>
      <x:c r="I333" s="4" t="str">
        <x:f>'Schedule'!T1572</x:f>
        <x:v>Ready</x:v>
      </x:c>
      <x:c r="J333" s="4"/>
      <x:c r="K333" s="4"/>
      <x:c r="L333" s="4"/>
      <x:c r="M333" s="4"/>
      <x:c r="N333" s="4"/>
      <x:c r="O333" s="4"/>
      <x:c r="P333" s="4"/>
    </x:row>
    <x:row r="334" ht="22" customHeight="1">
      <x:c r="A334" s="2"/>
      <x:c r="B334" s="2"/>
      <x:c r="C334" s="23" t="n">
        <x:v>315</x:v>
      </x:c>
      <x:c r="D334" s="32" t="n">
        <x:f>'Schedule'!D1577</x:f>
        <x:v>55885</x:v>
      </x:c>
      <x:c r="E334" s="4" t="n">
        <x:f>'Schedule'!E1577</x:f>
        <x:v>500</x:v>
      </x:c>
      <x:c r="F334" s="4" t="n">
        <x:f>IF(COUNT('Schedule'!Q1577:Q1581)=5,SUM('Schedule'!Q1577:Q1581),"n.a.")</x:f>
        <x:v>0</x:v>
      </x:c>
      <x:c r="G334" s="4" t="n">
        <x:f>IF(COUNT('Schedule'!M1577:M1581)=5,SUM('Schedule'!M1577:M1581),"n.a.")</x:f>
        <x:v>0</x:v>
      </x:c>
      <x:c r="H334" s="4" t="n">
        <x:f>IF(COUNT('Schedule'!S1577:S1581)=5,SUM('Schedule'!S1577:S1581),"n.a.")</x:f>
        <x:v>0</x:v>
      </x:c>
      <x:c r="I334" s="4" t="str">
        <x:f>'Schedule'!T1577</x:f>
        <x:v>Ready</x:v>
      </x:c>
      <x:c r="J334" s="4"/>
      <x:c r="K334" s="4"/>
      <x:c r="L334" s="4"/>
      <x:c r="M334" s="4"/>
      <x:c r="N334" s="4"/>
      <x:c r="O334" s="4"/>
      <x:c r="P334" s="4"/>
    </x:row>
    <x:row r="335" ht="22" customHeight="1">
      <x:c r="A335" s="2"/>
      <x:c r="B335" s="2"/>
      <x:c r="C335" s="23" t="n">
        <x:v>316</x:v>
      </x:c>
      <x:c r="D335" s="32" t="n">
        <x:f>'Schedule'!D1582</x:f>
        <x:v>55916</x:v>
      </x:c>
      <x:c r="E335" s="4" t="n">
        <x:f>'Schedule'!E1582</x:f>
        <x:v>500</x:v>
      </x:c>
      <x:c r="F335" s="4" t="n">
        <x:f>IF(COUNT('Schedule'!Q1582:Q1586)=5,SUM('Schedule'!Q1582:Q1586),"n.a.")</x:f>
        <x:v>0</x:v>
      </x:c>
      <x:c r="G335" s="4" t="n">
        <x:f>IF(COUNT('Schedule'!M1582:M1586)=5,SUM('Schedule'!M1582:M1586),"n.a.")</x:f>
        <x:v>0</x:v>
      </x:c>
      <x:c r="H335" s="4" t="n">
        <x:f>IF(COUNT('Schedule'!S1582:S1586)=5,SUM('Schedule'!S1582:S1586),"n.a.")</x:f>
        <x:v>0</x:v>
      </x:c>
      <x:c r="I335" s="4" t="str">
        <x:f>'Schedule'!T1582</x:f>
        <x:v>Ready</x:v>
      </x:c>
      <x:c r="J335" s="4"/>
      <x:c r="K335" s="4"/>
      <x:c r="L335" s="4"/>
      <x:c r="M335" s="4"/>
      <x:c r="N335" s="4"/>
      <x:c r="O335" s="4"/>
      <x:c r="P335" s="4"/>
    </x:row>
    <x:row r="336" ht="22" customHeight="1">
      <x:c r="A336" s="2"/>
      <x:c r="B336" s="2"/>
      <x:c r="C336" s="23" t="n">
        <x:v>317</x:v>
      </x:c>
      <x:c r="D336" s="32" t="n">
        <x:f>'Schedule'!D1587</x:f>
        <x:v>55944</x:v>
      </x:c>
      <x:c r="E336" s="4" t="n">
        <x:f>'Schedule'!E1587</x:f>
        <x:v>500</x:v>
      </x:c>
      <x:c r="F336" s="4" t="n">
        <x:f>IF(COUNT('Schedule'!Q1587:Q1591)=5,SUM('Schedule'!Q1587:Q1591),"n.a.")</x:f>
        <x:v>0</x:v>
      </x:c>
      <x:c r="G336" s="4" t="n">
        <x:f>IF(COUNT('Schedule'!M1587:M1591)=5,SUM('Schedule'!M1587:M1591),"n.a.")</x:f>
        <x:v>0</x:v>
      </x:c>
      <x:c r="H336" s="4" t="n">
        <x:f>IF(COUNT('Schedule'!S1587:S1591)=5,SUM('Schedule'!S1587:S1591),"n.a.")</x:f>
        <x:v>0</x:v>
      </x:c>
      <x:c r="I336" s="4" t="str">
        <x:f>'Schedule'!T1587</x:f>
        <x:v>Ready</x:v>
      </x:c>
      <x:c r="J336" s="4"/>
      <x:c r="K336" s="4"/>
      <x:c r="L336" s="4"/>
      <x:c r="M336" s="4"/>
      <x:c r="N336" s="4"/>
      <x:c r="O336" s="4"/>
      <x:c r="P336" s="4"/>
    </x:row>
    <x:row r="337" ht="22" customHeight="1">
      <x:c r="A337" s="2"/>
      <x:c r="B337" s="2"/>
      <x:c r="C337" s="23" t="n">
        <x:v>318</x:v>
      </x:c>
      <x:c r="D337" s="32" t="n">
        <x:f>'Schedule'!D1592</x:f>
        <x:v>55975</x:v>
      </x:c>
      <x:c r="E337" s="4" t="n">
        <x:f>'Schedule'!E1592</x:f>
        <x:v>500</x:v>
      </x:c>
      <x:c r="F337" s="4" t="n">
        <x:f>IF(COUNT('Schedule'!Q1592:Q1596)=5,SUM('Schedule'!Q1592:Q1596),"n.a.")</x:f>
        <x:v>0</x:v>
      </x:c>
      <x:c r="G337" s="4" t="n">
        <x:f>IF(COUNT('Schedule'!M1592:M1596)=5,SUM('Schedule'!M1592:M1596),"n.a.")</x:f>
        <x:v>0</x:v>
      </x:c>
      <x:c r="H337" s="4" t="n">
        <x:f>IF(COUNT('Schedule'!S1592:S1596)=5,SUM('Schedule'!S1592:S1596),"n.a.")</x:f>
        <x:v>0</x:v>
      </x:c>
      <x:c r="I337" s="4" t="str">
        <x:f>'Schedule'!T1592</x:f>
        <x:v>Ready</x:v>
      </x:c>
      <x:c r="J337" s="4"/>
      <x:c r="K337" s="4"/>
      <x:c r="L337" s="4"/>
      <x:c r="M337" s="4"/>
      <x:c r="N337" s="4"/>
      <x:c r="O337" s="4"/>
      <x:c r="P337" s="4"/>
    </x:row>
    <x:row r="338" ht="22" customHeight="1">
      <x:c r="A338" s="2"/>
      <x:c r="B338" s="2"/>
      <x:c r="C338" s="23" t="n">
        <x:v>319</x:v>
      </x:c>
      <x:c r="D338" s="32" t="n">
        <x:f>'Schedule'!D1597</x:f>
        <x:v>56005</x:v>
      </x:c>
      <x:c r="E338" s="4" t="n">
        <x:f>'Schedule'!E1597</x:f>
        <x:v>500</x:v>
      </x:c>
      <x:c r="F338" s="4" t="n">
        <x:f>IF(COUNT('Schedule'!Q1597:Q1601)=5,SUM('Schedule'!Q1597:Q1601),"n.a.")</x:f>
        <x:v>0</x:v>
      </x:c>
      <x:c r="G338" s="4" t="n">
        <x:f>IF(COUNT('Schedule'!M1597:M1601)=5,SUM('Schedule'!M1597:M1601),"n.a.")</x:f>
        <x:v>0</x:v>
      </x:c>
      <x:c r="H338" s="4" t="n">
        <x:f>IF(COUNT('Schedule'!S1597:S1601)=5,SUM('Schedule'!S1597:S1601),"n.a.")</x:f>
        <x:v>0</x:v>
      </x:c>
      <x:c r="I338" s="4" t="str">
        <x:f>'Schedule'!T1597</x:f>
        <x:v>Ready</x:v>
      </x:c>
      <x:c r="J338" s="4"/>
      <x:c r="K338" s="4"/>
      <x:c r="L338" s="4"/>
      <x:c r="M338" s="4"/>
      <x:c r="N338" s="4"/>
      <x:c r="O338" s="4"/>
      <x:c r="P338" s="4"/>
    </x:row>
    <x:row r="339" ht="22" customHeight="1">
      <x:c r="A339" s="2"/>
      <x:c r="B339" s="2"/>
      <x:c r="C339" s="23" t="n">
        <x:v>320</x:v>
      </x:c>
      <x:c r="D339" s="32" t="n">
        <x:f>'Schedule'!D1602</x:f>
        <x:v>56036</x:v>
      </x:c>
      <x:c r="E339" s="4" t="n">
        <x:f>'Schedule'!E1602</x:f>
        <x:v>500</x:v>
      </x:c>
      <x:c r="F339" s="4" t="n">
        <x:f>IF(COUNT('Schedule'!Q1602:Q1606)=5,SUM('Schedule'!Q1602:Q1606),"n.a.")</x:f>
        <x:v>0</x:v>
      </x:c>
      <x:c r="G339" s="4" t="n">
        <x:f>IF(COUNT('Schedule'!M1602:M1606)=5,SUM('Schedule'!M1602:M1606),"n.a.")</x:f>
        <x:v>0</x:v>
      </x:c>
      <x:c r="H339" s="4" t="n">
        <x:f>IF(COUNT('Schedule'!S1602:S1606)=5,SUM('Schedule'!S1602:S1606),"n.a.")</x:f>
        <x:v>0</x:v>
      </x:c>
      <x:c r="I339" s="4" t="str">
        <x:f>'Schedule'!T1602</x:f>
        <x:v>Ready</x:v>
      </x:c>
      <x:c r="J339" s="4"/>
      <x:c r="K339" s="4"/>
      <x:c r="L339" s="4"/>
      <x:c r="M339" s="4"/>
      <x:c r="N339" s="4"/>
      <x:c r="O339" s="4"/>
      <x:c r="P339" s="4"/>
    </x:row>
    <x:row r="340" ht="22" customHeight="1">
      <x:c r="A340" s="2"/>
      <x:c r="B340" s="2"/>
      <x:c r="C340" s="23" t="n">
        <x:v>321</x:v>
      </x:c>
      <x:c r="D340" s="32" t="n">
        <x:f>'Schedule'!D1607</x:f>
        <x:v>56066</x:v>
      </x:c>
      <x:c r="E340" s="4" t="n">
        <x:f>'Schedule'!E1607</x:f>
        <x:v>500</x:v>
      </x:c>
      <x:c r="F340" s="4" t="n">
        <x:f>IF(COUNT('Schedule'!Q1607:Q1611)=5,SUM('Schedule'!Q1607:Q1611),"n.a.")</x:f>
        <x:v>0</x:v>
      </x:c>
      <x:c r="G340" s="4" t="n">
        <x:f>IF(COUNT('Schedule'!M1607:M1611)=5,SUM('Schedule'!M1607:M1611),"n.a.")</x:f>
        <x:v>0</x:v>
      </x:c>
      <x:c r="H340" s="4" t="n">
        <x:f>IF(COUNT('Schedule'!S1607:S1611)=5,SUM('Schedule'!S1607:S1611),"n.a.")</x:f>
        <x:v>0</x:v>
      </x:c>
      <x:c r="I340" s="4" t="str">
        <x:f>'Schedule'!T1607</x:f>
        <x:v>Ready</x:v>
      </x:c>
      <x:c r="J340" s="4"/>
      <x:c r="K340" s="4"/>
      <x:c r="L340" s="4"/>
      <x:c r="M340" s="4"/>
      <x:c r="N340" s="4"/>
      <x:c r="O340" s="4"/>
      <x:c r="P340" s="4"/>
    </x:row>
    <x:row r="341" ht="22" customHeight="1">
      <x:c r="A341" s="2"/>
      <x:c r="B341" s="2"/>
      <x:c r="C341" s="23" t="n">
        <x:v>322</x:v>
      </x:c>
      <x:c r="D341" s="32" t="n">
        <x:f>'Schedule'!D1612</x:f>
        <x:v>56097</x:v>
      </x:c>
      <x:c r="E341" s="4" t="n">
        <x:f>'Schedule'!E1612</x:f>
        <x:v>500</x:v>
      </x:c>
      <x:c r="F341" s="4" t="n">
        <x:f>IF(COUNT('Schedule'!Q1612:Q1616)=5,SUM('Schedule'!Q1612:Q1616),"n.a.")</x:f>
        <x:v>0</x:v>
      </x:c>
      <x:c r="G341" s="4" t="n">
        <x:f>IF(COUNT('Schedule'!M1612:M1616)=5,SUM('Schedule'!M1612:M1616),"n.a.")</x:f>
        <x:v>0</x:v>
      </x:c>
      <x:c r="H341" s="4" t="n">
        <x:f>IF(COUNT('Schedule'!S1612:S1616)=5,SUM('Schedule'!S1612:S1616),"n.a.")</x:f>
        <x:v>0</x:v>
      </x:c>
      <x:c r="I341" s="4" t="str">
        <x:f>'Schedule'!T1612</x:f>
        <x:v>Ready</x:v>
      </x:c>
      <x:c r="J341" s="4"/>
      <x:c r="K341" s="4"/>
      <x:c r="L341" s="4"/>
      <x:c r="M341" s="4"/>
      <x:c r="N341" s="4"/>
      <x:c r="O341" s="4"/>
      <x:c r="P341" s="4"/>
    </x:row>
    <x:row r="342" ht="22" customHeight="1">
      <x:c r="A342" s="2"/>
      <x:c r="B342" s="2"/>
      <x:c r="C342" s="23" t="n">
        <x:v>323</x:v>
      </x:c>
      <x:c r="D342" s="32" t="n">
        <x:f>'Schedule'!D1617</x:f>
        <x:v>56128</x:v>
      </x:c>
      <x:c r="E342" s="4" t="n">
        <x:f>'Schedule'!E1617</x:f>
        <x:v>500</x:v>
      </x:c>
      <x:c r="F342" s="4" t="n">
        <x:f>IF(COUNT('Schedule'!Q1617:Q1621)=5,SUM('Schedule'!Q1617:Q1621),"n.a.")</x:f>
        <x:v>0</x:v>
      </x:c>
      <x:c r="G342" s="4" t="n">
        <x:f>IF(COUNT('Schedule'!M1617:M1621)=5,SUM('Schedule'!M1617:M1621),"n.a.")</x:f>
        <x:v>0</x:v>
      </x:c>
      <x:c r="H342" s="4" t="n">
        <x:f>IF(COUNT('Schedule'!S1617:S1621)=5,SUM('Schedule'!S1617:S1621),"n.a.")</x:f>
        <x:v>0</x:v>
      </x:c>
      <x:c r="I342" s="4" t="str">
        <x:f>'Schedule'!T1617</x:f>
        <x:v>Ready</x:v>
      </x:c>
      <x:c r="J342" s="4"/>
      <x:c r="K342" s="4"/>
      <x:c r="L342" s="4"/>
      <x:c r="M342" s="4"/>
      <x:c r="N342" s="4"/>
      <x:c r="O342" s="4"/>
      <x:c r="P342" s="4"/>
    </x:row>
    <x:row r="343" ht="22" customHeight="1">
      <x:c r="A343" s="2"/>
      <x:c r="B343" s="2"/>
      <x:c r="C343" s="23" t="n">
        <x:v>324</x:v>
      </x:c>
      <x:c r="D343" s="32" t="n">
        <x:f>'Schedule'!D1622</x:f>
        <x:v>56158</x:v>
      </x:c>
      <x:c r="E343" s="4" t="n">
        <x:f>'Schedule'!E1622</x:f>
        <x:v>500</x:v>
      </x:c>
      <x:c r="F343" s="4" t="n">
        <x:f>IF(COUNT('Schedule'!Q1622:Q1626)=5,SUM('Schedule'!Q1622:Q1626),"n.a.")</x:f>
        <x:v>0</x:v>
      </x:c>
      <x:c r="G343" s="4" t="n">
        <x:f>IF(COUNT('Schedule'!M1622:M1626)=5,SUM('Schedule'!M1622:M1626),"n.a.")</x:f>
        <x:v>0</x:v>
      </x:c>
      <x:c r="H343" s="4" t="n">
        <x:f>IF(COUNT('Schedule'!S1622:S1626)=5,SUM('Schedule'!S1622:S1626),"n.a.")</x:f>
        <x:v>0</x:v>
      </x:c>
      <x:c r="I343" s="4" t="str">
        <x:f>'Schedule'!T1622</x:f>
        <x:v>Ready</x:v>
      </x:c>
      <x:c r="J343" s="4"/>
      <x:c r="K343" s="4"/>
      <x:c r="L343" s="4"/>
      <x:c r="M343" s="4"/>
      <x:c r="N343" s="4"/>
      <x:c r="O343" s="4"/>
      <x:c r="P343" s="4"/>
    </x:row>
    <x:row r="344" ht="22" customHeight="1">
      <x:c r="A344" s="2"/>
      <x:c r="B344" s="2"/>
      <x:c r="C344" s="23" t="n">
        <x:v>325</x:v>
      </x:c>
      <x:c r="D344" s="32" t="n">
        <x:f>'Schedule'!D1627</x:f>
        <x:v>56189</x:v>
      </x:c>
      <x:c r="E344" s="4" t="n">
        <x:f>'Schedule'!E1627</x:f>
        <x:v>500</x:v>
      </x:c>
      <x:c r="F344" s="4" t="n">
        <x:f>IF(COUNT('Schedule'!Q1627:Q1631)=5,SUM('Schedule'!Q1627:Q1631),"n.a.")</x:f>
        <x:v>0</x:v>
      </x:c>
      <x:c r="G344" s="4" t="n">
        <x:f>IF(COUNT('Schedule'!M1627:M1631)=5,SUM('Schedule'!M1627:M1631),"n.a.")</x:f>
        <x:v>0</x:v>
      </x:c>
      <x:c r="H344" s="4" t="n">
        <x:f>IF(COUNT('Schedule'!S1627:S1631)=5,SUM('Schedule'!S1627:S1631),"n.a.")</x:f>
        <x:v>0</x:v>
      </x:c>
      <x:c r="I344" s="4" t="str">
        <x:f>'Schedule'!T1627</x:f>
        <x:v>Ready</x:v>
      </x:c>
      <x:c r="J344" s="4"/>
      <x:c r="K344" s="4"/>
      <x:c r="L344" s="4"/>
      <x:c r="M344" s="4"/>
      <x:c r="N344" s="4"/>
      <x:c r="O344" s="4"/>
      <x:c r="P344" s="4"/>
    </x:row>
    <x:row r="345" ht="22" customHeight="1">
      <x:c r="A345" s="2"/>
      <x:c r="B345" s="2"/>
      <x:c r="C345" s="23" t="n">
        <x:v>326</x:v>
      </x:c>
      <x:c r="D345" s="32" t="n">
        <x:f>'Schedule'!D1632</x:f>
        <x:v>56219</x:v>
      </x:c>
      <x:c r="E345" s="4" t="n">
        <x:f>'Schedule'!E1632</x:f>
        <x:v>500</x:v>
      </x:c>
      <x:c r="F345" s="4" t="n">
        <x:f>IF(COUNT('Schedule'!Q1632:Q1636)=5,SUM('Schedule'!Q1632:Q1636),"n.a.")</x:f>
        <x:v>0</x:v>
      </x:c>
      <x:c r="G345" s="4" t="n">
        <x:f>IF(COUNT('Schedule'!M1632:M1636)=5,SUM('Schedule'!M1632:M1636),"n.a.")</x:f>
        <x:v>0</x:v>
      </x:c>
      <x:c r="H345" s="4" t="n">
        <x:f>IF(COUNT('Schedule'!S1632:S1636)=5,SUM('Schedule'!S1632:S1636),"n.a.")</x:f>
        <x:v>0</x:v>
      </x:c>
      <x:c r="I345" s="4" t="str">
        <x:f>'Schedule'!T1632</x:f>
        <x:v>Ready</x:v>
      </x:c>
      <x:c r="J345" s="4"/>
      <x:c r="K345" s="4"/>
      <x:c r="L345" s="4"/>
      <x:c r="M345" s="4"/>
      <x:c r="N345" s="4"/>
      <x:c r="O345" s="4"/>
      <x:c r="P345" s="4"/>
    </x:row>
    <x:row r="346" ht="22" customHeight="1">
      <x:c r="A346" s="2"/>
      <x:c r="B346" s="2"/>
      <x:c r="C346" s="23" t="n">
        <x:v>327</x:v>
      </x:c>
      <x:c r="D346" s="32" t="n">
        <x:f>'Schedule'!D1637</x:f>
        <x:v>56250</x:v>
      </x:c>
      <x:c r="E346" s="4" t="n">
        <x:f>'Schedule'!E1637</x:f>
        <x:v>500</x:v>
      </x:c>
      <x:c r="F346" s="4" t="n">
        <x:f>IF(COUNT('Schedule'!Q1637:Q1641)=5,SUM('Schedule'!Q1637:Q1641),"n.a.")</x:f>
        <x:v>0</x:v>
      </x:c>
      <x:c r="G346" s="4" t="n">
        <x:f>IF(COUNT('Schedule'!M1637:M1641)=5,SUM('Schedule'!M1637:M1641),"n.a.")</x:f>
        <x:v>0</x:v>
      </x:c>
      <x:c r="H346" s="4" t="n">
        <x:f>IF(COUNT('Schedule'!S1637:S1641)=5,SUM('Schedule'!S1637:S1641),"n.a.")</x:f>
        <x:v>0</x:v>
      </x:c>
      <x:c r="I346" s="4" t="str">
        <x:f>'Schedule'!T1637</x:f>
        <x:v>Ready</x:v>
      </x:c>
      <x:c r="J346" s="4"/>
      <x:c r="K346" s="4"/>
      <x:c r="L346" s="4"/>
      <x:c r="M346" s="4"/>
      <x:c r="N346" s="4"/>
      <x:c r="O346" s="4"/>
      <x:c r="P346" s="4"/>
    </x:row>
    <x:row r="347" ht="22" customHeight="1">
      <x:c r="A347" s="2"/>
      <x:c r="B347" s="2"/>
      <x:c r="C347" s="23" t="n">
        <x:v>328</x:v>
      </x:c>
      <x:c r="D347" s="32" t="n">
        <x:f>'Schedule'!D1642</x:f>
        <x:v>56281</x:v>
      </x:c>
      <x:c r="E347" s="4" t="n">
        <x:f>'Schedule'!E1642</x:f>
        <x:v>500</x:v>
      </x:c>
      <x:c r="F347" s="4" t="n">
        <x:f>IF(COUNT('Schedule'!Q1642:Q1646)=5,SUM('Schedule'!Q1642:Q1646),"n.a.")</x:f>
        <x:v>0</x:v>
      </x:c>
      <x:c r="G347" s="4" t="n">
        <x:f>IF(COUNT('Schedule'!M1642:M1646)=5,SUM('Schedule'!M1642:M1646),"n.a.")</x:f>
        <x:v>0</x:v>
      </x:c>
      <x:c r="H347" s="4" t="n">
        <x:f>IF(COUNT('Schedule'!S1642:S1646)=5,SUM('Schedule'!S1642:S1646),"n.a.")</x:f>
        <x:v>0</x:v>
      </x:c>
      <x:c r="I347" s="4" t="str">
        <x:f>'Schedule'!T1642</x:f>
        <x:v>Ready</x:v>
      </x:c>
      <x:c r="J347" s="4"/>
      <x:c r="K347" s="4"/>
      <x:c r="L347" s="4"/>
      <x:c r="M347" s="4"/>
      <x:c r="N347" s="4"/>
      <x:c r="O347" s="4"/>
      <x:c r="P347" s="4"/>
    </x:row>
    <x:row r="348" ht="22" customHeight="1">
      <x:c r="A348" s="2"/>
      <x:c r="B348" s="2"/>
      <x:c r="C348" s="23" t="n">
        <x:v>329</x:v>
      </x:c>
      <x:c r="D348" s="32" t="n">
        <x:f>'Schedule'!D1647</x:f>
        <x:v>56309</x:v>
      </x:c>
      <x:c r="E348" s="4" t="n">
        <x:f>'Schedule'!E1647</x:f>
        <x:v>500</x:v>
      </x:c>
      <x:c r="F348" s="4" t="n">
        <x:f>IF(COUNT('Schedule'!Q1647:Q1651)=5,SUM('Schedule'!Q1647:Q1651),"n.a.")</x:f>
        <x:v>0</x:v>
      </x:c>
      <x:c r="G348" s="4" t="n">
        <x:f>IF(COUNT('Schedule'!M1647:M1651)=5,SUM('Schedule'!M1647:M1651),"n.a.")</x:f>
        <x:v>0</x:v>
      </x:c>
      <x:c r="H348" s="4" t="n">
        <x:f>IF(COUNT('Schedule'!S1647:S1651)=5,SUM('Schedule'!S1647:S1651),"n.a.")</x:f>
        <x:v>0</x:v>
      </x:c>
      <x:c r="I348" s="4" t="str">
        <x:f>'Schedule'!T1647</x:f>
        <x:v>Ready</x:v>
      </x:c>
      <x:c r="J348" s="4"/>
      <x:c r="K348" s="4"/>
      <x:c r="L348" s="4"/>
      <x:c r="M348" s="4"/>
      <x:c r="N348" s="4"/>
      <x:c r="O348" s="4"/>
      <x:c r="P348" s="4"/>
    </x:row>
    <x:row r="349" ht="22" customHeight="1">
      <x:c r="A349" s="2"/>
      <x:c r="B349" s="2"/>
      <x:c r="C349" s="23" t="n">
        <x:v>330</x:v>
      </x:c>
      <x:c r="D349" s="32" t="n">
        <x:f>'Schedule'!D1652</x:f>
        <x:v>56340</x:v>
      </x:c>
      <x:c r="E349" s="4" t="n">
        <x:f>'Schedule'!E1652</x:f>
        <x:v>500</x:v>
      </x:c>
      <x:c r="F349" s="4" t="n">
        <x:f>IF(COUNT('Schedule'!Q1652:Q1656)=5,SUM('Schedule'!Q1652:Q1656),"n.a.")</x:f>
        <x:v>0</x:v>
      </x:c>
      <x:c r="G349" s="4" t="n">
        <x:f>IF(COUNT('Schedule'!M1652:M1656)=5,SUM('Schedule'!M1652:M1656),"n.a.")</x:f>
        <x:v>0</x:v>
      </x:c>
      <x:c r="H349" s="4" t="n">
        <x:f>IF(COUNT('Schedule'!S1652:S1656)=5,SUM('Schedule'!S1652:S1656),"n.a.")</x:f>
        <x:v>0</x:v>
      </x:c>
      <x:c r="I349" s="4" t="str">
        <x:f>'Schedule'!T1652</x:f>
        <x:v>Ready</x:v>
      </x:c>
      <x:c r="J349" s="4"/>
      <x:c r="K349" s="4"/>
      <x:c r="L349" s="4"/>
      <x:c r="M349" s="4"/>
      <x:c r="N349" s="4"/>
      <x:c r="O349" s="4"/>
      <x:c r="P349" s="4"/>
    </x:row>
    <x:row r="350" ht="22" customHeight="1">
      <x:c r="A350" s="2"/>
      <x:c r="B350" s="2"/>
      <x:c r="C350" s="23" t="n">
        <x:v>331</x:v>
      </x:c>
      <x:c r="D350" s="32" t="n">
        <x:f>'Schedule'!D1657</x:f>
        <x:v>56370</x:v>
      </x:c>
      <x:c r="E350" s="4" t="n">
        <x:f>'Schedule'!E1657</x:f>
        <x:v>500</x:v>
      </x:c>
      <x:c r="F350" s="4" t="n">
        <x:f>IF(COUNT('Schedule'!Q1657:Q1661)=5,SUM('Schedule'!Q1657:Q1661),"n.a.")</x:f>
        <x:v>0</x:v>
      </x:c>
      <x:c r="G350" s="4" t="n">
        <x:f>IF(COUNT('Schedule'!M1657:M1661)=5,SUM('Schedule'!M1657:M1661),"n.a.")</x:f>
        <x:v>0</x:v>
      </x:c>
      <x:c r="H350" s="4" t="n">
        <x:f>IF(COUNT('Schedule'!S1657:S1661)=5,SUM('Schedule'!S1657:S1661),"n.a.")</x:f>
        <x:v>0</x:v>
      </x:c>
      <x:c r="I350" s="4" t="str">
        <x:f>'Schedule'!T1657</x:f>
        <x:v>Ready</x:v>
      </x:c>
      <x:c r="J350" s="4"/>
      <x:c r="K350" s="4"/>
      <x:c r="L350" s="4"/>
      <x:c r="M350" s="4"/>
      <x:c r="N350" s="4"/>
      <x:c r="O350" s="4"/>
      <x:c r="P350" s="4"/>
    </x:row>
    <x:row r="351" ht="22" customHeight="1">
      <x:c r="A351" s="2"/>
      <x:c r="B351" s="2"/>
      <x:c r="C351" s="23" t="n">
        <x:v>332</x:v>
      </x:c>
      <x:c r="D351" s="32" t="n">
        <x:f>'Schedule'!D1662</x:f>
        <x:v>56401</x:v>
      </x:c>
      <x:c r="E351" s="4" t="n">
        <x:f>'Schedule'!E1662</x:f>
        <x:v>500</x:v>
      </x:c>
      <x:c r="F351" s="4" t="n">
        <x:f>IF(COUNT('Schedule'!Q1662:Q1666)=5,SUM('Schedule'!Q1662:Q1666),"n.a.")</x:f>
        <x:v>0</x:v>
      </x:c>
      <x:c r="G351" s="4" t="n">
        <x:f>IF(COUNT('Schedule'!M1662:M1666)=5,SUM('Schedule'!M1662:M1666),"n.a.")</x:f>
        <x:v>0</x:v>
      </x:c>
      <x:c r="H351" s="4" t="n">
        <x:f>IF(COUNT('Schedule'!S1662:S1666)=5,SUM('Schedule'!S1662:S1666),"n.a.")</x:f>
        <x:v>0</x:v>
      </x:c>
      <x:c r="I351" s="4" t="str">
        <x:f>'Schedule'!T1662</x:f>
        <x:v>Ready</x:v>
      </x:c>
      <x:c r="J351" s="4"/>
      <x:c r="K351" s="4"/>
      <x:c r="L351" s="4"/>
      <x:c r="M351" s="4"/>
      <x:c r="N351" s="4"/>
      <x:c r="O351" s="4"/>
      <x:c r="P351" s="4"/>
    </x:row>
    <x:row r="352" ht="22" customHeight="1">
      <x:c r="A352" s="2"/>
      <x:c r="B352" s="2"/>
      <x:c r="C352" s="23" t="n">
        <x:v>333</x:v>
      </x:c>
      <x:c r="D352" s="32" t="n">
        <x:f>'Schedule'!D1667</x:f>
        <x:v>56431</x:v>
      </x:c>
      <x:c r="E352" s="4" t="n">
        <x:f>'Schedule'!E1667</x:f>
        <x:v>500</x:v>
      </x:c>
      <x:c r="F352" s="4" t="n">
        <x:f>IF(COUNT('Schedule'!Q1667:Q1671)=5,SUM('Schedule'!Q1667:Q1671),"n.a.")</x:f>
        <x:v>0</x:v>
      </x:c>
      <x:c r="G352" s="4" t="n">
        <x:f>IF(COUNT('Schedule'!M1667:M1671)=5,SUM('Schedule'!M1667:M1671),"n.a.")</x:f>
        <x:v>0</x:v>
      </x:c>
      <x:c r="H352" s="4" t="n">
        <x:f>IF(COUNT('Schedule'!S1667:S1671)=5,SUM('Schedule'!S1667:S1671),"n.a.")</x:f>
        <x:v>0</x:v>
      </x:c>
      <x:c r="I352" s="4" t="str">
        <x:f>'Schedule'!T1667</x:f>
        <x:v>Ready</x:v>
      </x:c>
      <x:c r="J352" s="4"/>
      <x:c r="K352" s="4"/>
      <x:c r="L352" s="4"/>
      <x:c r="M352" s="4"/>
      <x:c r="N352" s="4"/>
      <x:c r="O352" s="4"/>
      <x:c r="P352" s="4"/>
    </x:row>
    <x:row r="353" ht="22" customHeight="1">
      <x:c r="A353" s="2"/>
      <x:c r="B353" s="2"/>
      <x:c r="C353" s="23" t="n">
        <x:v>334</x:v>
      </x:c>
      <x:c r="D353" s="32" t="n">
        <x:f>'Schedule'!D1672</x:f>
        <x:v>56462</x:v>
      </x:c>
      <x:c r="E353" s="4" t="n">
        <x:f>'Schedule'!E1672</x:f>
        <x:v>500</x:v>
      </x:c>
      <x:c r="F353" s="4" t="n">
        <x:f>IF(COUNT('Schedule'!Q1672:Q1676)=5,SUM('Schedule'!Q1672:Q1676),"n.a.")</x:f>
        <x:v>0</x:v>
      </x:c>
      <x:c r="G353" s="4" t="n">
        <x:f>IF(COUNT('Schedule'!M1672:M1676)=5,SUM('Schedule'!M1672:M1676),"n.a.")</x:f>
        <x:v>0</x:v>
      </x:c>
      <x:c r="H353" s="4" t="n">
        <x:f>IF(COUNT('Schedule'!S1672:S1676)=5,SUM('Schedule'!S1672:S1676),"n.a.")</x:f>
        <x:v>0</x:v>
      </x:c>
      <x:c r="I353" s="4" t="str">
        <x:f>'Schedule'!T1672</x:f>
        <x:v>Ready</x:v>
      </x:c>
      <x:c r="J353" s="4"/>
      <x:c r="K353" s="4"/>
      <x:c r="L353" s="4"/>
      <x:c r="M353" s="4"/>
      <x:c r="N353" s="4"/>
      <x:c r="O353" s="4"/>
      <x:c r="P353" s="4"/>
    </x:row>
    <x:row r="354" ht="22" customHeight="1">
      <x:c r="A354" s="2"/>
      <x:c r="B354" s="2"/>
      <x:c r="C354" s="23" t="n">
        <x:v>335</x:v>
      </x:c>
      <x:c r="D354" s="32" t="n">
        <x:f>'Schedule'!D1677</x:f>
        <x:v>56493</x:v>
      </x:c>
      <x:c r="E354" s="4" t="n">
        <x:f>'Schedule'!E1677</x:f>
        <x:v>500</x:v>
      </x:c>
      <x:c r="F354" s="4" t="n">
        <x:f>IF(COUNT('Schedule'!Q1677:Q1681)=5,SUM('Schedule'!Q1677:Q1681),"n.a.")</x:f>
        <x:v>0</x:v>
      </x:c>
      <x:c r="G354" s="4" t="n">
        <x:f>IF(COUNT('Schedule'!M1677:M1681)=5,SUM('Schedule'!M1677:M1681),"n.a.")</x:f>
        <x:v>0</x:v>
      </x:c>
      <x:c r="H354" s="4" t="n">
        <x:f>IF(COUNT('Schedule'!S1677:S1681)=5,SUM('Schedule'!S1677:S1681),"n.a.")</x:f>
        <x:v>0</x:v>
      </x:c>
      <x:c r="I354" s="4" t="str">
        <x:f>'Schedule'!T1677</x:f>
        <x:v>Ready</x:v>
      </x:c>
      <x:c r="J354" s="4"/>
      <x:c r="K354" s="4"/>
      <x:c r="L354" s="4"/>
      <x:c r="M354" s="4"/>
      <x:c r="N354" s="4"/>
      <x:c r="O354" s="4"/>
      <x:c r="P354" s="4"/>
    </x:row>
    <x:row r="355" ht="22" customHeight="1">
      <x:c r="A355" s="2"/>
      <x:c r="B355" s="2"/>
      <x:c r="C355" s="23" t="n">
        <x:v>336</x:v>
      </x:c>
      <x:c r="D355" s="32" t="n">
        <x:f>'Schedule'!D1682</x:f>
        <x:v>56523</x:v>
      </x:c>
      <x:c r="E355" s="4" t="n">
        <x:f>'Schedule'!E1682</x:f>
        <x:v>500</x:v>
      </x:c>
      <x:c r="F355" s="4" t="n">
        <x:f>IF(COUNT('Schedule'!Q1682:Q1686)=5,SUM('Schedule'!Q1682:Q1686),"n.a.")</x:f>
        <x:v>0</x:v>
      </x:c>
      <x:c r="G355" s="4" t="n">
        <x:f>IF(COUNT('Schedule'!M1682:M1686)=5,SUM('Schedule'!M1682:M1686),"n.a.")</x:f>
        <x:v>0</x:v>
      </x:c>
      <x:c r="H355" s="4" t="n">
        <x:f>IF(COUNT('Schedule'!S1682:S1686)=5,SUM('Schedule'!S1682:S1686),"n.a.")</x:f>
        <x:v>0</x:v>
      </x:c>
      <x:c r="I355" s="4" t="str">
        <x:f>'Schedule'!T1682</x:f>
        <x:v>Ready</x:v>
      </x:c>
      <x:c r="J355" s="4"/>
      <x:c r="K355" s="4"/>
      <x:c r="L355" s="4"/>
      <x:c r="M355" s="4"/>
      <x:c r="N355" s="4"/>
      <x:c r="O355" s="4"/>
      <x:c r="P355" s="4"/>
    </x:row>
    <x:row r="356" ht="22" customHeight="1">
      <x:c r="A356" s="2"/>
      <x:c r="B356" s="2"/>
      <x:c r="C356" s="23" t="n">
        <x:v>337</x:v>
      </x:c>
      <x:c r="D356" s="32" t="n">
        <x:f>'Schedule'!D1687</x:f>
        <x:v>56554</x:v>
      </x:c>
      <x:c r="E356" s="4" t="n">
        <x:f>'Schedule'!E1687</x:f>
        <x:v>500</x:v>
      </x:c>
      <x:c r="F356" s="4" t="n">
        <x:f>IF(COUNT('Schedule'!Q1687:Q1691)=5,SUM('Schedule'!Q1687:Q1691),"n.a.")</x:f>
        <x:v>0</x:v>
      </x:c>
      <x:c r="G356" s="4" t="n">
        <x:f>IF(COUNT('Schedule'!M1687:M1691)=5,SUM('Schedule'!M1687:M1691),"n.a.")</x:f>
        <x:v>0</x:v>
      </x:c>
      <x:c r="H356" s="4" t="n">
        <x:f>IF(COUNT('Schedule'!S1687:S1691)=5,SUM('Schedule'!S1687:S1691),"n.a.")</x:f>
        <x:v>0</x:v>
      </x:c>
      <x:c r="I356" s="4" t="str">
        <x:f>'Schedule'!T1687</x:f>
        <x:v>Ready</x:v>
      </x:c>
      <x:c r="J356" s="4"/>
      <x:c r="K356" s="4"/>
      <x:c r="L356" s="4"/>
      <x:c r="M356" s="4"/>
      <x:c r="N356" s="4"/>
      <x:c r="O356" s="4"/>
      <x:c r="P356" s="4"/>
    </x:row>
    <x:row r="357" ht="22" customHeight="1">
      <x:c r="A357" s="2"/>
      <x:c r="B357" s="2"/>
      <x:c r="C357" s="23" t="n">
        <x:v>338</x:v>
      </x:c>
      <x:c r="D357" s="32" t="n">
        <x:f>'Schedule'!D1692</x:f>
        <x:v>56584</x:v>
      </x:c>
      <x:c r="E357" s="4" t="n">
        <x:f>'Schedule'!E1692</x:f>
        <x:v>500</x:v>
      </x:c>
      <x:c r="F357" s="4" t="n">
        <x:f>IF(COUNT('Schedule'!Q1692:Q1696)=5,SUM('Schedule'!Q1692:Q1696),"n.a.")</x:f>
        <x:v>0</x:v>
      </x:c>
      <x:c r="G357" s="4" t="n">
        <x:f>IF(COUNT('Schedule'!M1692:M1696)=5,SUM('Schedule'!M1692:M1696),"n.a.")</x:f>
        <x:v>0</x:v>
      </x:c>
      <x:c r="H357" s="4" t="n">
        <x:f>IF(COUNT('Schedule'!S1692:S1696)=5,SUM('Schedule'!S1692:S1696),"n.a.")</x:f>
        <x:v>0</x:v>
      </x:c>
      <x:c r="I357" s="4" t="str">
        <x:f>'Schedule'!T1692</x:f>
        <x:v>Ready</x:v>
      </x:c>
      <x:c r="J357" s="4"/>
      <x:c r="K357" s="4"/>
      <x:c r="L357" s="4"/>
      <x:c r="M357" s="4"/>
      <x:c r="N357" s="4"/>
      <x:c r="O357" s="4"/>
      <x:c r="P357" s="4"/>
    </x:row>
    <x:row r="358" ht="22" customHeight="1">
      <x:c r="A358" s="2"/>
      <x:c r="B358" s="2"/>
      <x:c r="C358" s="23" t="n">
        <x:v>339</x:v>
      </x:c>
      <x:c r="D358" s="32" t="n">
        <x:f>'Schedule'!D1697</x:f>
        <x:v>56615</x:v>
      </x:c>
      <x:c r="E358" s="4" t="n">
        <x:f>'Schedule'!E1697</x:f>
        <x:v>500</x:v>
      </x:c>
      <x:c r="F358" s="4" t="n">
        <x:f>IF(COUNT('Schedule'!Q1697:Q1701)=5,SUM('Schedule'!Q1697:Q1701),"n.a.")</x:f>
        <x:v>0</x:v>
      </x:c>
      <x:c r="G358" s="4" t="n">
        <x:f>IF(COUNT('Schedule'!M1697:M1701)=5,SUM('Schedule'!M1697:M1701),"n.a.")</x:f>
        <x:v>0</x:v>
      </x:c>
      <x:c r="H358" s="4" t="n">
        <x:f>IF(COUNT('Schedule'!S1697:S1701)=5,SUM('Schedule'!S1697:S1701),"n.a.")</x:f>
        <x:v>0</x:v>
      </x:c>
      <x:c r="I358" s="4" t="str">
        <x:f>'Schedule'!T1697</x:f>
        <x:v>Ready</x:v>
      </x:c>
      <x:c r="J358" s="4"/>
      <x:c r="K358" s="4"/>
      <x:c r="L358" s="4"/>
      <x:c r="M358" s="4"/>
      <x:c r="N358" s="4"/>
      <x:c r="O358" s="4"/>
      <x:c r="P358" s="4"/>
    </x:row>
    <x:row r="359" ht="22" customHeight="1">
      <x:c r="A359" s="2"/>
      <x:c r="B359" s="2"/>
      <x:c r="C359" s="23" t="n">
        <x:v>340</x:v>
      </x:c>
      <x:c r="D359" s="32" t="n">
        <x:f>'Schedule'!D1702</x:f>
        <x:v>56646</x:v>
      </x:c>
      <x:c r="E359" s="4" t="n">
        <x:f>'Schedule'!E1702</x:f>
        <x:v>500</x:v>
      </x:c>
      <x:c r="F359" s="4" t="n">
        <x:f>IF(COUNT('Schedule'!Q1702:Q1706)=5,SUM('Schedule'!Q1702:Q1706),"n.a.")</x:f>
        <x:v>0</x:v>
      </x:c>
      <x:c r="G359" s="4" t="n">
        <x:f>IF(COUNT('Schedule'!M1702:M1706)=5,SUM('Schedule'!M1702:M1706),"n.a.")</x:f>
        <x:v>0</x:v>
      </x:c>
      <x:c r="H359" s="4" t="n">
        <x:f>IF(COUNT('Schedule'!S1702:S1706)=5,SUM('Schedule'!S1702:S1706),"n.a.")</x:f>
        <x:v>0</x:v>
      </x:c>
      <x:c r="I359" s="4" t="str">
        <x:f>'Schedule'!T1702</x:f>
        <x:v>Ready</x:v>
      </x:c>
      <x:c r="J359" s="4"/>
      <x:c r="K359" s="4"/>
      <x:c r="L359" s="4"/>
      <x:c r="M359" s="4"/>
      <x:c r="N359" s="4"/>
      <x:c r="O359" s="4"/>
      <x:c r="P359" s="4"/>
    </x:row>
    <x:row r="360" ht="22" customHeight="1">
      <x:c r="A360" s="2"/>
      <x:c r="B360" s="2"/>
      <x:c r="C360" s="23" t="n">
        <x:v>341</x:v>
      </x:c>
      <x:c r="D360" s="32" t="n">
        <x:f>'Schedule'!D1707</x:f>
        <x:v>56674</x:v>
      </x:c>
      <x:c r="E360" s="4" t="n">
        <x:f>'Schedule'!E1707</x:f>
        <x:v>500</x:v>
      </x:c>
      <x:c r="F360" s="4" t="n">
        <x:f>IF(COUNT('Schedule'!Q1707:Q1711)=5,SUM('Schedule'!Q1707:Q1711),"n.a.")</x:f>
        <x:v>0</x:v>
      </x:c>
      <x:c r="G360" s="4" t="n">
        <x:f>IF(COUNT('Schedule'!M1707:M1711)=5,SUM('Schedule'!M1707:M1711),"n.a.")</x:f>
        <x:v>0</x:v>
      </x:c>
      <x:c r="H360" s="4" t="n">
        <x:f>IF(COUNT('Schedule'!S1707:S1711)=5,SUM('Schedule'!S1707:S1711),"n.a.")</x:f>
        <x:v>0</x:v>
      </x:c>
      <x:c r="I360" s="4" t="str">
        <x:f>'Schedule'!T1707</x:f>
        <x:v>Ready</x:v>
      </x:c>
      <x:c r="J360" s="4"/>
      <x:c r="K360" s="4"/>
      <x:c r="L360" s="4"/>
      <x:c r="M360" s="4"/>
      <x:c r="N360" s="4"/>
      <x:c r="O360" s="4"/>
      <x:c r="P360" s="4"/>
    </x:row>
    <x:row r="361" ht="22" customHeight="1">
      <x:c r="A361" s="2"/>
      <x:c r="B361" s="2"/>
      <x:c r="C361" s="23" t="n">
        <x:v>342</x:v>
      </x:c>
      <x:c r="D361" s="32" t="n">
        <x:f>'Schedule'!D1712</x:f>
        <x:v>56705</x:v>
      </x:c>
      <x:c r="E361" s="4" t="n">
        <x:f>'Schedule'!E1712</x:f>
        <x:v>500</x:v>
      </x:c>
      <x:c r="F361" s="4" t="n">
        <x:f>IF(COUNT('Schedule'!Q1712:Q1716)=5,SUM('Schedule'!Q1712:Q1716),"n.a.")</x:f>
        <x:v>0</x:v>
      </x:c>
      <x:c r="G361" s="4" t="n">
        <x:f>IF(COUNT('Schedule'!M1712:M1716)=5,SUM('Schedule'!M1712:M1716),"n.a.")</x:f>
        <x:v>0</x:v>
      </x:c>
      <x:c r="H361" s="4" t="n">
        <x:f>IF(COUNT('Schedule'!S1712:S1716)=5,SUM('Schedule'!S1712:S1716),"n.a.")</x:f>
        <x:v>0</x:v>
      </x:c>
      <x:c r="I361" s="4" t="str">
        <x:f>'Schedule'!T1712</x:f>
        <x:v>Ready</x:v>
      </x:c>
      <x:c r="J361" s="4"/>
      <x:c r="K361" s="4"/>
      <x:c r="L361" s="4"/>
      <x:c r="M361" s="4"/>
      <x:c r="N361" s="4"/>
      <x:c r="O361" s="4"/>
      <x:c r="P361" s="4"/>
    </x:row>
    <x:row r="362" ht="22" customHeight="1">
      <x:c r="A362" s="2"/>
      <x:c r="B362" s="2"/>
      <x:c r="C362" s="23" t="n">
        <x:v>343</x:v>
      </x:c>
      <x:c r="D362" s="32" t="n">
        <x:f>'Schedule'!D1717</x:f>
        <x:v>56735</x:v>
      </x:c>
      <x:c r="E362" s="4" t="n">
        <x:f>'Schedule'!E1717</x:f>
        <x:v>500</x:v>
      </x:c>
      <x:c r="F362" s="4" t="n">
        <x:f>IF(COUNT('Schedule'!Q1717:Q1721)=5,SUM('Schedule'!Q1717:Q1721),"n.a.")</x:f>
        <x:v>0</x:v>
      </x:c>
      <x:c r="G362" s="4" t="n">
        <x:f>IF(COUNT('Schedule'!M1717:M1721)=5,SUM('Schedule'!M1717:M1721),"n.a.")</x:f>
        <x:v>0</x:v>
      </x:c>
      <x:c r="H362" s="4" t="n">
        <x:f>IF(COUNT('Schedule'!S1717:S1721)=5,SUM('Schedule'!S1717:S1721),"n.a.")</x:f>
        <x:v>0</x:v>
      </x:c>
      <x:c r="I362" s="4" t="str">
        <x:f>'Schedule'!T1717</x:f>
        <x:v>Ready</x:v>
      </x:c>
      <x:c r="J362" s="4"/>
      <x:c r="K362" s="4"/>
      <x:c r="L362" s="4"/>
      <x:c r="M362" s="4"/>
      <x:c r="N362" s="4"/>
      <x:c r="O362" s="4"/>
      <x:c r="P362" s="4"/>
    </x:row>
    <x:row r="363" ht="22" customHeight="1">
      <x:c r="A363" s="2"/>
      <x:c r="B363" s="2"/>
      <x:c r="C363" s="23" t="n">
        <x:v>344</x:v>
      </x:c>
      <x:c r="D363" s="32" t="n">
        <x:f>'Schedule'!D1722</x:f>
        <x:v>56766</x:v>
      </x:c>
      <x:c r="E363" s="4" t="n">
        <x:f>'Schedule'!E1722</x:f>
        <x:v>500</x:v>
      </x:c>
      <x:c r="F363" s="4" t="n">
        <x:f>IF(COUNT('Schedule'!Q1722:Q1726)=5,SUM('Schedule'!Q1722:Q1726),"n.a.")</x:f>
        <x:v>0</x:v>
      </x:c>
      <x:c r="G363" s="4" t="n">
        <x:f>IF(COUNT('Schedule'!M1722:M1726)=5,SUM('Schedule'!M1722:M1726),"n.a.")</x:f>
        <x:v>0</x:v>
      </x:c>
      <x:c r="H363" s="4" t="n">
        <x:f>IF(COUNT('Schedule'!S1722:S1726)=5,SUM('Schedule'!S1722:S1726),"n.a.")</x:f>
        <x:v>0</x:v>
      </x:c>
      <x:c r="I363" s="4" t="str">
        <x:f>'Schedule'!T1722</x:f>
        <x:v>Ready</x:v>
      </x:c>
      <x:c r="J363" s="4"/>
      <x:c r="K363" s="4"/>
      <x:c r="L363" s="4"/>
      <x:c r="M363" s="4"/>
      <x:c r="N363" s="4"/>
      <x:c r="O363" s="4"/>
      <x:c r="P363" s="4"/>
    </x:row>
    <x:row r="364" ht="22" customHeight="1">
      <x:c r="A364" s="2"/>
      <x:c r="B364" s="2"/>
      <x:c r="C364" s="23" t="n">
        <x:v>345</x:v>
      </x:c>
      <x:c r="D364" s="32" t="n">
        <x:f>'Schedule'!D1727</x:f>
        <x:v>56796</x:v>
      </x:c>
      <x:c r="E364" s="4" t="n">
        <x:f>'Schedule'!E1727</x:f>
        <x:v>500</x:v>
      </x:c>
      <x:c r="F364" s="4" t="n">
        <x:f>IF(COUNT('Schedule'!Q1727:Q1731)=5,SUM('Schedule'!Q1727:Q1731),"n.a.")</x:f>
        <x:v>0</x:v>
      </x:c>
      <x:c r="G364" s="4" t="n">
        <x:f>IF(COUNT('Schedule'!M1727:M1731)=5,SUM('Schedule'!M1727:M1731),"n.a.")</x:f>
        <x:v>0</x:v>
      </x:c>
      <x:c r="H364" s="4" t="n">
        <x:f>IF(COUNT('Schedule'!S1727:S1731)=5,SUM('Schedule'!S1727:S1731),"n.a.")</x:f>
        <x:v>0</x:v>
      </x:c>
      <x:c r="I364" s="4" t="str">
        <x:f>'Schedule'!T1727</x:f>
        <x:v>Ready</x:v>
      </x:c>
      <x:c r="J364" s="4"/>
      <x:c r="K364" s="4"/>
      <x:c r="L364" s="4"/>
      <x:c r="M364" s="4"/>
      <x:c r="N364" s="4"/>
      <x:c r="O364" s="4"/>
      <x:c r="P364" s="4"/>
    </x:row>
    <x:row r="365" ht="22" customHeight="1">
      <x:c r="A365" s="2"/>
      <x:c r="B365" s="2"/>
      <x:c r="C365" s="23" t="n">
        <x:v>346</x:v>
      </x:c>
      <x:c r="D365" s="32" t="n">
        <x:f>'Schedule'!D1732</x:f>
        <x:v>56827</x:v>
      </x:c>
      <x:c r="E365" s="4" t="n">
        <x:f>'Schedule'!E1732</x:f>
        <x:v>500</x:v>
      </x:c>
      <x:c r="F365" s="4" t="n">
        <x:f>IF(COUNT('Schedule'!Q1732:Q1736)=5,SUM('Schedule'!Q1732:Q1736),"n.a.")</x:f>
        <x:v>0</x:v>
      </x:c>
      <x:c r="G365" s="4" t="n">
        <x:f>IF(COUNT('Schedule'!M1732:M1736)=5,SUM('Schedule'!M1732:M1736),"n.a.")</x:f>
        <x:v>0</x:v>
      </x:c>
      <x:c r="H365" s="4" t="n">
        <x:f>IF(COUNT('Schedule'!S1732:S1736)=5,SUM('Schedule'!S1732:S1736),"n.a.")</x:f>
        <x:v>0</x:v>
      </x:c>
      <x:c r="I365" s="4" t="str">
        <x:f>'Schedule'!T1732</x:f>
        <x:v>Ready</x:v>
      </x:c>
      <x:c r="J365" s="4"/>
      <x:c r="K365" s="4"/>
      <x:c r="L365" s="4"/>
      <x:c r="M365" s="4"/>
      <x:c r="N365" s="4"/>
      <x:c r="O365" s="4"/>
      <x:c r="P365" s="4"/>
    </x:row>
    <x:row r="366" ht="22" customHeight="1">
      <x:c r="A366" s="2"/>
      <x:c r="B366" s="2"/>
      <x:c r="C366" s="23" t="n">
        <x:v>347</x:v>
      </x:c>
      <x:c r="D366" s="32" t="n">
        <x:f>'Schedule'!D1737</x:f>
        <x:v>56858</x:v>
      </x:c>
      <x:c r="E366" s="4" t="n">
        <x:f>'Schedule'!E1737</x:f>
        <x:v>500</x:v>
      </x:c>
      <x:c r="F366" s="4" t="n">
        <x:f>IF(COUNT('Schedule'!Q1737:Q1741)=5,SUM('Schedule'!Q1737:Q1741),"n.a.")</x:f>
        <x:v>0</x:v>
      </x:c>
      <x:c r="G366" s="4" t="n">
        <x:f>IF(COUNT('Schedule'!M1737:M1741)=5,SUM('Schedule'!M1737:M1741),"n.a.")</x:f>
        <x:v>0</x:v>
      </x:c>
      <x:c r="H366" s="4" t="n">
        <x:f>IF(COUNT('Schedule'!S1737:S1741)=5,SUM('Schedule'!S1737:S1741),"n.a.")</x:f>
        <x:v>0</x:v>
      </x:c>
      <x:c r="I366" s="4" t="str">
        <x:f>'Schedule'!T1737</x:f>
        <x:v>Ready</x:v>
      </x:c>
      <x:c r="J366" s="4"/>
      <x:c r="K366" s="4"/>
      <x:c r="L366" s="4"/>
      <x:c r="M366" s="4"/>
      <x:c r="N366" s="4"/>
      <x:c r="O366" s="4"/>
      <x:c r="P366" s="4"/>
    </x:row>
    <x:row r="367" ht="22" customHeight="1">
      <x:c r="A367" s="2"/>
      <x:c r="B367" s="2"/>
      <x:c r="C367" s="23" t="n">
        <x:v>348</x:v>
      </x:c>
      <x:c r="D367" s="32" t="n">
        <x:f>'Schedule'!D1742</x:f>
        <x:v>56888</x:v>
      </x:c>
      <x:c r="E367" s="4" t="n">
        <x:f>'Schedule'!E1742</x:f>
        <x:v>500</x:v>
      </x:c>
      <x:c r="F367" s="4" t="n">
        <x:f>IF(COUNT('Schedule'!Q1742:Q1746)=5,SUM('Schedule'!Q1742:Q1746),"n.a.")</x:f>
        <x:v>0</x:v>
      </x:c>
      <x:c r="G367" s="4" t="n">
        <x:f>IF(COUNT('Schedule'!M1742:M1746)=5,SUM('Schedule'!M1742:M1746),"n.a.")</x:f>
        <x:v>0</x:v>
      </x:c>
      <x:c r="H367" s="4" t="n">
        <x:f>IF(COUNT('Schedule'!S1742:S1746)=5,SUM('Schedule'!S1742:S1746),"n.a.")</x:f>
        <x:v>0</x:v>
      </x:c>
      <x:c r="I367" s="4" t="str">
        <x:f>'Schedule'!T1742</x:f>
        <x:v>Ready</x:v>
      </x:c>
      <x:c r="J367" s="4"/>
      <x:c r="K367" s="4"/>
      <x:c r="L367" s="4"/>
      <x:c r="M367" s="4"/>
      <x:c r="N367" s="4"/>
      <x:c r="O367" s="4"/>
      <x:c r="P367" s="4"/>
    </x:row>
    <x:row r="368" ht="22" customHeight="1">
      <x:c r="A368" s="2"/>
      <x:c r="B368" s="2"/>
      <x:c r="C368" s="23" t="n">
        <x:v>349</x:v>
      </x:c>
      <x:c r="D368" s="32" t="n">
        <x:f>'Schedule'!D1747</x:f>
        <x:v>56919</x:v>
      </x:c>
      <x:c r="E368" s="4" t="n">
        <x:f>'Schedule'!E1747</x:f>
        <x:v>500</x:v>
      </x:c>
      <x:c r="F368" s="4" t="n">
        <x:f>IF(COUNT('Schedule'!Q1747:Q1751)=5,SUM('Schedule'!Q1747:Q1751),"n.a.")</x:f>
        <x:v>0</x:v>
      </x:c>
      <x:c r="G368" s="4" t="n">
        <x:f>IF(COUNT('Schedule'!M1747:M1751)=5,SUM('Schedule'!M1747:M1751),"n.a.")</x:f>
        <x:v>0</x:v>
      </x:c>
      <x:c r="H368" s="4" t="n">
        <x:f>IF(COUNT('Schedule'!S1747:S1751)=5,SUM('Schedule'!S1747:S1751),"n.a.")</x:f>
        <x:v>0</x:v>
      </x:c>
      <x:c r="I368" s="4" t="str">
        <x:f>'Schedule'!T1747</x:f>
        <x:v>Ready</x:v>
      </x:c>
      <x:c r="J368" s="4"/>
      <x:c r="K368" s="4"/>
      <x:c r="L368" s="4"/>
      <x:c r="M368" s="4"/>
      <x:c r="N368" s="4"/>
      <x:c r="O368" s="4"/>
      <x:c r="P368" s="4"/>
    </x:row>
    <x:row r="369" ht="22" customHeight="1">
      <x:c r="A369" s="2"/>
      <x:c r="B369" s="2"/>
      <x:c r="C369" s="23" t="n">
        <x:v>350</x:v>
      </x:c>
      <x:c r="D369" s="32" t="n">
        <x:f>'Schedule'!D1752</x:f>
        <x:v>56949</x:v>
      </x:c>
      <x:c r="E369" s="4" t="n">
        <x:f>'Schedule'!E1752</x:f>
        <x:v>500</x:v>
      </x:c>
      <x:c r="F369" s="4" t="n">
        <x:f>IF(COUNT('Schedule'!Q1752:Q1756)=5,SUM('Schedule'!Q1752:Q1756),"n.a.")</x:f>
        <x:v>0</x:v>
      </x:c>
      <x:c r="G369" s="4" t="n">
        <x:f>IF(COUNT('Schedule'!M1752:M1756)=5,SUM('Schedule'!M1752:M1756),"n.a.")</x:f>
        <x:v>0</x:v>
      </x:c>
      <x:c r="H369" s="4" t="n">
        <x:f>IF(COUNT('Schedule'!S1752:S1756)=5,SUM('Schedule'!S1752:S1756),"n.a.")</x:f>
        <x:v>0</x:v>
      </x:c>
      <x:c r="I369" s="4" t="str">
        <x:f>'Schedule'!T1752</x:f>
        <x:v>Ready</x:v>
      </x:c>
      <x:c r="J369" s="4"/>
      <x:c r="K369" s="4"/>
      <x:c r="L369" s="4"/>
      <x:c r="M369" s="4"/>
      <x:c r="N369" s="4"/>
      <x:c r="O369" s="4"/>
      <x:c r="P369" s="4"/>
    </x:row>
    <x:row r="370" ht="22" customHeight="1">
      <x:c r="A370" s="2"/>
      <x:c r="B370" s="2"/>
      <x:c r="C370" s="23" t="n">
        <x:v>351</x:v>
      </x:c>
      <x:c r="D370" s="32" t="n">
        <x:f>'Schedule'!D1757</x:f>
        <x:v>56980</x:v>
      </x:c>
      <x:c r="E370" s="4" t="n">
        <x:f>'Schedule'!E1757</x:f>
        <x:v>500</x:v>
      </x:c>
      <x:c r="F370" s="4" t="n">
        <x:f>IF(COUNT('Schedule'!Q1757:Q1761)=5,SUM('Schedule'!Q1757:Q1761),"n.a.")</x:f>
        <x:v>0</x:v>
      </x:c>
      <x:c r="G370" s="4" t="n">
        <x:f>IF(COUNT('Schedule'!M1757:M1761)=5,SUM('Schedule'!M1757:M1761),"n.a.")</x:f>
        <x:v>0</x:v>
      </x:c>
      <x:c r="H370" s="4" t="n">
        <x:f>IF(COUNT('Schedule'!S1757:S1761)=5,SUM('Schedule'!S1757:S1761),"n.a.")</x:f>
        <x:v>0</x:v>
      </x:c>
      <x:c r="I370" s="4" t="str">
        <x:f>'Schedule'!T1757</x:f>
        <x:v>Ready</x:v>
      </x:c>
      <x:c r="J370" s="4"/>
      <x:c r="K370" s="4"/>
      <x:c r="L370" s="4"/>
      <x:c r="M370" s="4"/>
      <x:c r="N370" s="4"/>
      <x:c r="O370" s="4"/>
      <x:c r="P370" s="4"/>
    </x:row>
    <x:row r="371" ht="22" customHeight="1">
      <x:c r="A371" s="2"/>
      <x:c r="B371" s="2"/>
      <x:c r="C371" s="23" t="n">
        <x:v>352</x:v>
      </x:c>
      <x:c r="D371" s="32" t="n">
        <x:f>'Schedule'!D1762</x:f>
        <x:v>57011</x:v>
      </x:c>
      <x:c r="E371" s="4" t="n">
        <x:f>'Schedule'!E1762</x:f>
        <x:v>500</x:v>
      </x:c>
      <x:c r="F371" s="4" t="n">
        <x:f>IF(COUNT('Schedule'!Q1762:Q1766)=5,SUM('Schedule'!Q1762:Q1766),"n.a.")</x:f>
        <x:v>0</x:v>
      </x:c>
      <x:c r="G371" s="4" t="n">
        <x:f>IF(COUNT('Schedule'!M1762:M1766)=5,SUM('Schedule'!M1762:M1766),"n.a.")</x:f>
        <x:v>0</x:v>
      </x:c>
      <x:c r="H371" s="4" t="n">
        <x:f>IF(COUNT('Schedule'!S1762:S1766)=5,SUM('Schedule'!S1762:S1766),"n.a.")</x:f>
        <x:v>0</x:v>
      </x:c>
      <x:c r="I371" s="4" t="str">
        <x:f>'Schedule'!T1762</x:f>
        <x:v>Ready</x:v>
      </x:c>
      <x:c r="J371" s="4"/>
      <x:c r="K371" s="4"/>
      <x:c r="L371" s="4"/>
      <x:c r="M371" s="4"/>
      <x:c r="N371" s="4"/>
      <x:c r="O371" s="4"/>
      <x:c r="P371" s="4"/>
    </x:row>
    <x:row r="372" ht="22" customHeight="1">
      <x:c r="A372" s="2"/>
      <x:c r="B372" s="2"/>
      <x:c r="C372" s="23" t="n">
        <x:v>353</x:v>
      </x:c>
      <x:c r="D372" s="32" t="n">
        <x:f>'Schedule'!D1767</x:f>
        <x:v>57040</x:v>
      </x:c>
      <x:c r="E372" s="4" t="n">
        <x:f>'Schedule'!E1767</x:f>
        <x:v>500</x:v>
      </x:c>
      <x:c r="F372" s="4" t="n">
        <x:f>IF(COUNT('Schedule'!Q1767:Q1771)=5,SUM('Schedule'!Q1767:Q1771),"n.a.")</x:f>
        <x:v>0</x:v>
      </x:c>
      <x:c r="G372" s="4" t="n">
        <x:f>IF(COUNT('Schedule'!M1767:M1771)=5,SUM('Schedule'!M1767:M1771),"n.a.")</x:f>
        <x:v>0</x:v>
      </x:c>
      <x:c r="H372" s="4" t="n">
        <x:f>IF(COUNT('Schedule'!S1767:S1771)=5,SUM('Schedule'!S1767:S1771),"n.a.")</x:f>
        <x:v>0</x:v>
      </x:c>
      <x:c r="I372" s="4" t="str">
        <x:f>'Schedule'!T1767</x:f>
        <x:v>Ready</x:v>
      </x:c>
      <x:c r="J372" s="4"/>
      <x:c r="K372" s="4"/>
      <x:c r="L372" s="4"/>
      <x:c r="M372" s="4"/>
      <x:c r="N372" s="4"/>
      <x:c r="O372" s="4"/>
      <x:c r="P372" s="4"/>
    </x:row>
    <x:row r="373" ht="22" customHeight="1">
      <x:c r="A373" s="2"/>
      <x:c r="B373" s="2"/>
      <x:c r="C373" s="23" t="n">
        <x:v>354</x:v>
      </x:c>
      <x:c r="D373" s="32" t="n">
        <x:f>'Schedule'!D1772</x:f>
        <x:v>57071</x:v>
      </x:c>
      <x:c r="E373" s="4" t="n">
        <x:f>'Schedule'!E1772</x:f>
        <x:v>500</x:v>
      </x:c>
      <x:c r="F373" s="4" t="n">
        <x:f>IF(COUNT('Schedule'!Q1772:Q1776)=5,SUM('Schedule'!Q1772:Q1776),"n.a.")</x:f>
        <x:v>0</x:v>
      </x:c>
      <x:c r="G373" s="4" t="n">
        <x:f>IF(COUNT('Schedule'!M1772:M1776)=5,SUM('Schedule'!M1772:M1776),"n.a.")</x:f>
        <x:v>0</x:v>
      </x:c>
      <x:c r="H373" s="4" t="n">
        <x:f>IF(COUNT('Schedule'!S1772:S1776)=5,SUM('Schedule'!S1772:S1776),"n.a.")</x:f>
        <x:v>0</x:v>
      </x:c>
      <x:c r="I373" s="4" t="str">
        <x:f>'Schedule'!T1772</x:f>
        <x:v>Ready</x:v>
      </x:c>
      <x:c r="J373" s="4"/>
      <x:c r="K373" s="4"/>
      <x:c r="L373" s="4"/>
      <x:c r="M373" s="4"/>
      <x:c r="N373" s="4"/>
      <x:c r="O373" s="4"/>
      <x:c r="P373" s="4"/>
    </x:row>
    <x:row r="374" ht="22" customHeight="1">
      <x:c r="A374" s="2"/>
      <x:c r="B374" s="2"/>
      <x:c r="C374" s="23" t="n">
        <x:v>355</x:v>
      </x:c>
      <x:c r="D374" s="32" t="n">
        <x:f>'Schedule'!D1777</x:f>
        <x:v>57101</x:v>
      </x:c>
      <x:c r="E374" s="4" t="n">
        <x:f>'Schedule'!E1777</x:f>
        <x:v>500</x:v>
      </x:c>
      <x:c r="F374" s="4" t="n">
        <x:f>IF(COUNT('Schedule'!Q1777:Q1781)=5,SUM('Schedule'!Q1777:Q1781),"n.a.")</x:f>
        <x:v>0</x:v>
      </x:c>
      <x:c r="G374" s="4" t="n">
        <x:f>IF(COUNT('Schedule'!M1777:M1781)=5,SUM('Schedule'!M1777:M1781),"n.a.")</x:f>
        <x:v>0</x:v>
      </x:c>
      <x:c r="H374" s="4" t="n">
        <x:f>IF(COUNT('Schedule'!S1777:S1781)=5,SUM('Schedule'!S1777:S1781),"n.a.")</x:f>
        <x:v>0</x:v>
      </x:c>
      <x:c r="I374" s="4" t="str">
        <x:f>'Schedule'!T1777</x:f>
        <x:v>Ready</x:v>
      </x:c>
      <x:c r="J374" s="4"/>
      <x:c r="K374" s="4"/>
      <x:c r="L374" s="4"/>
      <x:c r="M374" s="4"/>
      <x:c r="N374" s="4"/>
      <x:c r="O374" s="4"/>
      <x:c r="P374" s="4"/>
    </x:row>
    <x:row r="375" ht="22" customHeight="1">
      <x:c r="A375" s="2"/>
      <x:c r="B375" s="2"/>
      <x:c r="C375" s="23" t="n">
        <x:v>356</x:v>
      </x:c>
      <x:c r="D375" s="32" t="n">
        <x:f>'Schedule'!D1782</x:f>
        <x:v>57132</x:v>
      </x:c>
      <x:c r="E375" s="4" t="n">
        <x:f>'Schedule'!E1782</x:f>
        <x:v>500</x:v>
      </x:c>
      <x:c r="F375" s="4" t="n">
        <x:f>IF(COUNT('Schedule'!Q1782:Q1786)=5,SUM('Schedule'!Q1782:Q1786),"n.a.")</x:f>
        <x:v>0</x:v>
      </x:c>
      <x:c r="G375" s="4" t="n">
        <x:f>IF(COUNT('Schedule'!M1782:M1786)=5,SUM('Schedule'!M1782:M1786),"n.a.")</x:f>
        <x:v>0</x:v>
      </x:c>
      <x:c r="H375" s="4" t="n">
        <x:f>IF(COUNT('Schedule'!S1782:S1786)=5,SUM('Schedule'!S1782:S1786),"n.a.")</x:f>
        <x:v>0</x:v>
      </x:c>
      <x:c r="I375" s="4" t="str">
        <x:f>'Schedule'!T1782</x:f>
        <x:v>Ready</x:v>
      </x:c>
      <x:c r="J375" s="4"/>
      <x:c r="K375" s="4"/>
      <x:c r="L375" s="4"/>
      <x:c r="M375" s="4"/>
      <x:c r="N375" s="4"/>
      <x:c r="O375" s="4"/>
      <x:c r="P375" s="4"/>
    </x:row>
    <x:row r="376" ht="22" customHeight="1">
      <x:c r="A376" s="2"/>
      <x:c r="B376" s="2"/>
      <x:c r="C376" s="23" t="n">
        <x:v>357</x:v>
      </x:c>
      <x:c r="D376" s="32" t="n">
        <x:f>'Schedule'!D1787</x:f>
        <x:v>57162</x:v>
      </x:c>
      <x:c r="E376" s="4" t="n">
        <x:f>'Schedule'!E1787</x:f>
        <x:v>500</x:v>
      </x:c>
      <x:c r="F376" s="4" t="n">
        <x:f>IF(COUNT('Schedule'!Q1787:Q1791)=5,SUM('Schedule'!Q1787:Q1791),"n.a.")</x:f>
        <x:v>0</x:v>
      </x:c>
      <x:c r="G376" s="4" t="n">
        <x:f>IF(COUNT('Schedule'!M1787:M1791)=5,SUM('Schedule'!M1787:M1791),"n.a.")</x:f>
        <x:v>0</x:v>
      </x:c>
      <x:c r="H376" s="4" t="n">
        <x:f>IF(COUNT('Schedule'!S1787:S1791)=5,SUM('Schedule'!S1787:S1791),"n.a.")</x:f>
        <x:v>0</x:v>
      </x:c>
      <x:c r="I376" s="4" t="str">
        <x:f>'Schedule'!T1787</x:f>
        <x:v>Ready</x:v>
      </x:c>
      <x:c r="J376" s="4"/>
      <x:c r="K376" s="4"/>
      <x:c r="L376" s="4"/>
      <x:c r="M376" s="4"/>
      <x:c r="N376" s="4"/>
      <x:c r="O376" s="4"/>
      <x:c r="P376" s="4"/>
    </x:row>
    <x:row r="377" ht="22" customHeight="1">
      <x:c r="A377" s="2"/>
      <x:c r="B377" s="2"/>
      <x:c r="C377" s="23" t="n">
        <x:v>358</x:v>
      </x:c>
      <x:c r="D377" s="32" t="n">
        <x:f>'Schedule'!D1792</x:f>
        <x:v>57193</x:v>
      </x:c>
      <x:c r="E377" s="4" t="n">
        <x:f>'Schedule'!E1792</x:f>
        <x:v>500</x:v>
      </x:c>
      <x:c r="F377" s="4" t="n">
        <x:f>IF(COUNT('Schedule'!Q1792:Q1796)=5,SUM('Schedule'!Q1792:Q1796),"n.a.")</x:f>
        <x:v>0</x:v>
      </x:c>
      <x:c r="G377" s="4" t="n">
        <x:f>IF(COUNT('Schedule'!M1792:M1796)=5,SUM('Schedule'!M1792:M1796),"n.a.")</x:f>
        <x:v>0</x:v>
      </x:c>
      <x:c r="H377" s="4" t="n">
        <x:f>IF(COUNT('Schedule'!S1792:S1796)=5,SUM('Schedule'!S1792:S1796),"n.a.")</x:f>
        <x:v>0</x:v>
      </x:c>
      <x:c r="I377" s="4" t="str">
        <x:f>'Schedule'!T1792</x:f>
        <x:v>Ready</x:v>
      </x:c>
      <x:c r="J377" s="4"/>
      <x:c r="K377" s="4"/>
      <x:c r="L377" s="4"/>
      <x:c r="M377" s="4"/>
      <x:c r="N377" s="4"/>
      <x:c r="O377" s="4"/>
      <x:c r="P377" s="4"/>
    </x:row>
    <x:row r="378" ht="22" customHeight="1">
      <x:c r="A378" s="2"/>
      <x:c r="B378" s="2"/>
      <x:c r="C378" s="23" t="n">
        <x:v>359</x:v>
      </x:c>
      <x:c r="D378" s="32" t="n">
        <x:f>'Schedule'!D1797</x:f>
        <x:v>57224</x:v>
      </x:c>
      <x:c r="E378" s="4" t="n">
        <x:f>'Schedule'!E1797</x:f>
        <x:v>500</x:v>
      </x:c>
      <x:c r="F378" s="4" t="n">
        <x:f>IF(COUNT('Schedule'!Q1797:Q1801)=5,SUM('Schedule'!Q1797:Q1801),"n.a.")</x:f>
        <x:v>0</x:v>
      </x:c>
      <x:c r="G378" s="4" t="n">
        <x:f>IF(COUNT('Schedule'!M1797:M1801)=5,SUM('Schedule'!M1797:M1801),"n.a.")</x:f>
        <x:v>0</x:v>
      </x:c>
      <x:c r="H378" s="4" t="n">
        <x:f>IF(COUNT('Schedule'!S1797:S1801)=5,SUM('Schedule'!S1797:S1801),"n.a.")</x:f>
        <x:v>0</x:v>
      </x:c>
      <x:c r="I378" s="4" t="str">
        <x:f>'Schedule'!T1797</x:f>
        <x:v>Ready</x:v>
      </x:c>
      <x:c r="J378" s="4"/>
      <x:c r="K378" s="4"/>
      <x:c r="L378" s="4"/>
      <x:c r="M378" s="4"/>
      <x:c r="N378" s="4"/>
      <x:c r="O378" s="4"/>
      <x:c r="P378" s="4"/>
    </x:row>
    <x:row r="379" ht="22" customHeight="1">
      <x:c r="A379" s="2"/>
      <x:c r="B379" s="2"/>
      <x:c r="C379" s="23" t="n">
        <x:v>360</x:v>
      </x:c>
      <x:c r="D379" s="32" t="n">
        <x:f>'Schedule'!D1802</x:f>
        <x:v>57254</x:v>
      </x:c>
      <x:c r="E379" s="4" t="n">
        <x:f>'Schedule'!E1802</x:f>
        <x:v>500</x:v>
      </x:c>
      <x:c r="F379" s="4" t="n">
        <x:f>IF(COUNT('Schedule'!Q1802:Q1806)=5,SUM('Schedule'!Q1802:Q1806),"n.a.")</x:f>
        <x:v>0</x:v>
      </x:c>
      <x:c r="G379" s="4" t="n">
        <x:f>IF(COUNT('Schedule'!M1802:M1806)=5,SUM('Schedule'!M1802:M1806),"n.a.")</x:f>
        <x:v>0</x:v>
      </x:c>
      <x:c r="H379" s="4" t="n">
        <x:f>IF(COUNT('Schedule'!S1802:S1806)=5,SUM('Schedule'!S1802:S1806),"n.a.")</x:f>
        <x:v>0</x:v>
      </x:c>
      <x:c r="I379" s="4" t="str">
        <x:f>'Schedule'!T1802</x:f>
        <x:v>Ready</x:v>
      </x:c>
      <x:c r="J379" s="4"/>
      <x:c r="K379" s="4"/>
      <x:c r="L379" s="4"/>
      <x:c r="M379" s="4"/>
      <x:c r="N379" s="4"/>
      <x:c r="O379" s="4"/>
      <x:c r="P379" s="4"/>
    </x:row>
  </x:sheetData>
  <x:pageMargins left="0.7" right="0.7" top="0.75" bottom="0.75" header="0.3" footer="0.3"/>
  <x:drawing xmlns:r="http://schemas.openxmlformats.org/officeDocument/2006/relationships" r:id="R7d9f8314a5154f8c"/>
</x:worksheet>
</file>

<file path=xl/worksheets/sheet2.xml><?xml version="1.0" encoding="utf-8"?>
<x:worksheet xmlns:x="http://schemas.openxmlformats.org/spreadsheetml/2006/main">
  <x:sheetPr>
    <x:tabColor rgb="FF17364D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22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25" hidden="0" customWidth="1"/>
    <x:col min="21" max="21" width="15" hidden="0" customWidth="1"/>
  </x:cols>
  <x:sheetData>
    <x:row r="1" ht="22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</x:row>
    <x:row r="2" ht="22" customHeight="1">
      <x:c r="A2" s="2"/>
      <x:c r="B2" s="2"/>
      <x:c r="C2" s="5" t="str">
        <x:v>Monthly allocation ledger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</x:row>
    <x:row r="3" ht="22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</x:row>
    <x:row r="4" ht="22" customHeight="1">
      <x:c r="A4" s="2"/>
      <x:c r="B4" s="2"/>
      <x:c r="C4" s="2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</x:row>
    <x:row r="5" ht="22" customHeight="1">
      <x:c r="A5" s="2"/>
      <x:c r="B5" s="2"/>
      <x:c r="C5" s="2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</x:row>
    <x:row r="6" ht="34" customHeight="1">
      <x:c r="A6" s="2"/>
      <x:c r="B6" s="2"/>
      <x:c r="C6" s="17" t="str">
        <x:v>Month</x:v>
      </x:c>
      <x:c r="D6" s="18" t="str">
        <x:v>Payment date</x:v>
      </x:c>
      <x:c r="E6" s="18" t="str">
        <x:v>Budget</x:v>
      </x:c>
      <x:c r="F6" s="18" t="str">
        <x:v>All minimums</x:v>
      </x:c>
      <x:c r="G6" s="18" t="str">
        <x:v>Extra pool</x:v>
      </x:c>
      <x:c r="H6" s="18" t="str">
        <x:v>Debt</x:v>
      </x:c>
      <x:c r="I6" s="18" t="str">
        <x:v>Opening</x:v>
      </x:c>
      <x:c r="J6" s="18" t="str">
        <x:v>APR</x:v>
      </x:c>
      <x:c r="K6" s="18" t="str">
        <x:v>Fixed minimum</x:v>
      </x:c>
      <x:c r="L6" s="18" t="str">
        <x:v>Minimum share</x:v>
      </x:c>
      <x:c r="M6" s="18" t="str">
        <x:v>Interest</x:v>
      </x:c>
      <x:c r="N6" s="18" t="str">
        <x:v>Minimum due</x:v>
      </x:c>
      <x:c r="O6" s="18" t="str">
        <x:v>Priority</x:v>
      </x:c>
      <x:c r="P6" s="18" t="str">
        <x:v>Extra paid</x:v>
      </x:c>
      <x:c r="Q6" s="18" t="str">
        <x:v>Total paid</x:v>
      </x:c>
      <x:c r="R6" s="18" t="str">
        <x:v>Principal</x:v>
      </x:c>
      <x:c r="S6" s="18" t="str">
        <x:v>Closing</x:v>
      </x:c>
      <x:c r="T6" s="18" t="str">
        <x:v>Status</x:v>
      </x:c>
      <x:c r="U6" s="18" t="str">
        <x:v>Extra capacity</x:v>
      </x:c>
    </x:row>
    <x:row r="7" ht="22" customHeight="1">
      <x:c r="A7" s="2"/>
      <x:c r="B7" s="2"/>
      <x:c r="C7" s="27" t="n">
        <x:f>1</x:f>
        <x:v>1</x:v>
      </x:c>
      <x:c r="D7" s="28" t="n">
        <x:f>IF(ISNUMBER('Inputs'!$D$7),EDATE('Inputs'!$D$7,0),"n.a.")</x:f>
        <x:v>46327</x:v>
      </x:c>
      <x:c r="E7" s="26" t="n">
        <x:f>IF('Inputs'!$D$9&lt;&gt;"Ready","n.a.",IF(ISNUMBER('Inputs'!E19),IF('Inputs'!E19&gt;=0,'Inputs'!E19,"n.a."),IF('Inputs'!E19="",'Inputs'!$D$6,"n.a.")))</x:f>
        <x:v>500</x:v>
      </x:c>
      <x:c r="F7" s="22" t="n">
        <x:f>IF(COUNT($N$7:$N$11)=5,SUM($N$7:$N$11),"n.a.")</x:f>
        <x:v>303</x:v>
      </x:c>
      <x:c r="G7" s="22" t="n">
        <x:f>IF(COUNT(E7:F7)=2,MAX(0,E7-F7),"n.a.")</x:f>
        <x:v>197</x:v>
      </x:c>
      <x:c r="H7" s="26" t="str">
        <x:f>'Inputs'!C11</x:f>
        <x:v>Card A</x:v>
      </x:c>
      <x:c r="I7" s="26" t="n">
        <x:f>IF('Inputs'!$D$9="Ready",'Inputs'!D11,"n.a.")</x:f>
        <x:v>1200</x:v>
      </x:c>
      <x:c r="J7" s="29" t="n">
        <x:f>IF('Inputs'!$D$9="Ready",'Inputs'!E11,"n.a.")</x:f>
        <x:v>0.24</x:v>
      </x:c>
      <x:c r="K7" s="26" t="n">
        <x:f>IF('Inputs'!$D$9="Ready",'Inputs'!F11,"n.a.")</x:f>
        <x:v>35</x:v>
      </x:c>
      <x:c r="L7" s="29" t="n">
        <x:f>IF('Inputs'!$D$9="Ready",'Inputs'!G11,"n.a.")</x:f>
        <x:v>0.02</x:v>
      </x:c>
      <x:c r="M7" s="22" t="n">
        <x:f>IF(COUNT(I7:L7)=4,ROUND(I7*J7/12,2),"n.a.")</x:f>
        <x:v>24</x:v>
      </x:c>
      <x:c r="N7" s="22" t="n">
        <x:f>IF(COUNT(I7:M7)=5,MIN(I7+M7,ROUND(MAX(K7,I7*L7+M7),2)),"n.a.")</x:f>
        <x:v>48</x:v>
      </x:c>
      <x:c r="O7" s="30" t="n">
        <x:f>IF(COUNT($I$7:$I$11)&lt;&gt;5,"n.a.",IF(I7=0,6,IF('Inputs'!$D$5=1,COUNTIFS($I$7:$I$11,"&gt;0",$I$7:$I$11,"&lt;"&amp;I7)+COUNTIFS($I$7:I7,I7),COUNTIFS($I$7:$I$11,"&gt;0",$J$7:$J$11,"&gt;"&amp;J7)+COUNTIFS($I$7:I7,"&gt;0",$J$7:J7,J7))))</x:f>
        <x:v>1</x:v>
      </x:c>
      <x:c r="P7" s="22" t="n">
        <x:f>IF(T7="Ready",MIN(U7,MAX(0,G7-SUMIFS($U$7:$U$11,$O$7:$O$11,"&lt;"&amp;O7))),"n.a.")</x:f>
        <x:v>197</x:v>
      </x:c>
      <x:c r="Q7" s="22" t="n">
        <x:f>IF(T7="Ready",ROUND(N7+P7,2),"n.a.")</x:f>
        <x:v>245</x:v>
      </x:c>
      <x:c r="R7" s="22" t="n">
        <x:f>IF(T7="Ready",ROUND(Q7-M7,2),"n.a.")</x:f>
        <x:v>221</x:v>
      </x:c>
      <x:c r="S7" s="22" t="n">
        <x:f>IF(T7="Ready",MAX(0,ROUND(I7+M7-Q7,2)),"n.a.")</x:f>
        <x:v>979</x:v>
      </x:c>
      <x:c r="T7" s="22" t="str">
        <x:f>IF(AND(COUNT($I$7:$I$11)=5,COUNT(E7:F7)=2),IF(E7&gt;=F7,"Ready","Budget below minima"),"Check inputs")</x:f>
        <x:v>Ready</x:v>
      </x:c>
      <x:c r="U7" s="22" t="n">
        <x:f>IF(COUNT(I7,M7,N7)=3,MAX(0,ROUND(I7+M7-N7,2)),"n.a.")</x:f>
        <x:v>1176</x:v>
      </x:c>
    </x:row>
    <x:row r="8" ht="22" customHeight="1">
      <x:c r="A8" s="2"/>
      <x:c r="B8" s="2"/>
      <x:c r="C8" s="27" t="n">
        <x:f>1</x:f>
        <x:v>1</x:v>
      </x:c>
      <x:c r="D8" s="28" t="n">
        <x:f>IF(ISNUMBER('Inputs'!$D$7),EDATE('Inputs'!$D$7,0),"n.a.")</x:f>
        <x:v>46327</x:v>
      </x:c>
      <x:c r="E8" s="26" t="n">
        <x:f>IF('Inputs'!$D$9&lt;&gt;"Ready","n.a.",IF(ISNUMBER('Inputs'!E19),IF('Inputs'!E19&gt;=0,'Inputs'!E19,"n.a."),IF('Inputs'!E19="",'Inputs'!$D$6,"n.a.")))</x:f>
        <x:v>500</x:v>
      </x:c>
      <x:c r="F8" s="22" t="n">
        <x:f>IF(COUNT($N$7:$N$11)=5,SUM($N$7:$N$11),"n.a.")</x:f>
        <x:v>303</x:v>
      </x:c>
      <x:c r="G8" s="22" t="n">
        <x:f>IF(COUNT(E8:F8)=2,MAX(0,E8-F8),"n.a.")</x:f>
        <x:v>197</x:v>
      </x:c>
      <x:c r="H8" s="26" t="str">
        <x:f>'Inputs'!C12</x:f>
        <x:v>Card B</x:v>
      </x:c>
      <x:c r="I8" s="26" t="n">
        <x:f>IF('Inputs'!$D$9="Ready",'Inputs'!D12,"n.a.")</x:f>
        <x:v>3000</x:v>
      </x:c>
      <x:c r="J8" s="29" t="n">
        <x:f>IF('Inputs'!$D$9="Ready",'Inputs'!E12,"n.a.")</x:f>
        <x:v>0.18</x:v>
      </x:c>
      <x:c r="K8" s="26" t="n">
        <x:f>IF('Inputs'!$D$9="Ready",'Inputs'!F12,"n.a.")</x:f>
        <x:v>60</x:v>
      </x:c>
      <x:c r="L8" s="29" t="n">
        <x:f>IF('Inputs'!$D$9="Ready",'Inputs'!G12,"n.a.")</x:f>
        <x:v>0.02</x:v>
      </x:c>
      <x:c r="M8" s="22" t="n">
        <x:f>IF(COUNT(I8:L8)=4,ROUND(I8*J8/12,2),"n.a.")</x:f>
        <x:v>45</x:v>
      </x:c>
      <x:c r="N8" s="22" t="n">
        <x:f>IF(COUNT(I8:M8)=5,MIN(I8+M8,ROUND(MAX(K8,I8*L8+M8),2)),"n.a.")</x:f>
        <x:v>105</x:v>
      </x:c>
      <x:c r="O8" s="30" t="n">
        <x:f>IF(COUNT($I$7:$I$11)&lt;&gt;5,"n.a.",IF(I8=0,6,IF('Inputs'!$D$5=1,COUNTIFS($I$7:$I$11,"&gt;0",$I$7:$I$11,"&lt;"&amp;I8)+COUNTIFS($I$7:I8,I8),COUNTIFS($I$7:$I$11,"&gt;0",$J$7:$J$11,"&gt;"&amp;J8)+COUNTIFS($I$7:I8,"&gt;0",$J$7:J8,J8))))</x:f>
        <x:v>2</x:v>
      </x:c>
      <x:c r="P8" s="22" t="n">
        <x:f>IF(T8="Ready",MIN(U8,MAX(0,G8-SUMIFS($U$7:$U$11,$O$7:$O$11,"&lt;"&amp;O8))),"n.a.")</x:f>
        <x:v>0</x:v>
      </x:c>
      <x:c r="Q8" s="22" t="n">
        <x:f>IF(T8="Ready",ROUND(N8+P8,2),"n.a.")</x:f>
        <x:v>105</x:v>
      </x:c>
      <x:c r="R8" s="22" t="n">
        <x:f>IF(T8="Ready",ROUND(Q8-M8,2),"n.a.")</x:f>
        <x:v>60</x:v>
      </x:c>
      <x:c r="S8" s="22" t="n">
        <x:f>IF(T8="Ready",MAX(0,ROUND(I8+M8-Q8,2)),"n.a.")</x:f>
        <x:v>2940</x:v>
      </x:c>
      <x:c r="T8" s="22" t="str">
        <x:f>IF(AND(COUNT($I$7:$I$11)=5,COUNT(E8:F8)=2),IF(E8&gt;=F8,"Ready","Budget below minima"),"Check inputs")</x:f>
        <x:v>Ready</x:v>
      </x:c>
      <x:c r="U8" s="22" t="n">
        <x:f>IF(COUNT(I8,M8,N8)=3,MAX(0,ROUND(I8+M8-N8,2)),"n.a.")</x:f>
        <x:v>2940</x:v>
      </x:c>
    </x:row>
    <x:row r="9" ht="22" customHeight="1">
      <x:c r="A9" s="2"/>
      <x:c r="B9" s="2"/>
      <x:c r="C9" s="27" t="n">
        <x:f>1</x:f>
        <x:v>1</x:v>
      </x:c>
      <x:c r="D9" s="28" t="n">
        <x:f>IF(ISNUMBER('Inputs'!$D$7),EDATE('Inputs'!$D$7,0),"n.a.")</x:f>
        <x:v>46327</x:v>
      </x:c>
      <x:c r="E9" s="26" t="n">
        <x:f>IF('Inputs'!$D$9&lt;&gt;"Ready","n.a.",IF(ISNUMBER('Inputs'!E19),IF('Inputs'!E19&gt;=0,'Inputs'!E19,"n.a."),IF('Inputs'!E19="",'Inputs'!$D$6,"n.a.")))</x:f>
        <x:v>500</x:v>
      </x:c>
      <x:c r="F9" s="22" t="n">
        <x:f>IF(COUNT($N$7:$N$11)=5,SUM($N$7:$N$11),"n.a.")</x:f>
        <x:v>303</x:v>
      </x:c>
      <x:c r="G9" s="22" t="n">
        <x:f>IF(COUNT(E9:F9)=2,MAX(0,E9-F9),"n.a.")</x:f>
        <x:v>197</x:v>
      </x:c>
      <x:c r="H9" s="26" t="str">
        <x:f>'Inputs'!C13</x:f>
        <x:v>Loan C</x:v>
      </x:c>
      <x:c r="I9" s="26" t="n">
        <x:f>IF('Inputs'!$D$9="Ready",'Inputs'!D13,"n.a.")</x:f>
        <x:v>5000</x:v>
      </x:c>
      <x:c r="J9" s="29" t="n">
        <x:f>IF('Inputs'!$D$9="Ready",'Inputs'!E13,"n.a.")</x:f>
        <x:v>0.08</x:v>
      </x:c>
      <x:c r="K9" s="26" t="n">
        <x:f>IF('Inputs'!$D$9="Ready",'Inputs'!F13,"n.a.")</x:f>
        <x:v>150</x:v>
      </x:c>
      <x:c r="L9" s="29" t="n">
        <x:f>IF('Inputs'!$D$9="Ready",'Inputs'!G13,"n.a.")</x:f>
        <x:v>0</x:v>
      </x:c>
      <x:c r="M9" s="22" t="n">
        <x:f>IF(COUNT(I9:L9)=4,ROUND(I9*J9/12,2),"n.a.")</x:f>
        <x:v>33.33</x:v>
      </x:c>
      <x:c r="N9" s="22" t="n">
        <x:f>IF(COUNT(I9:M9)=5,MIN(I9+M9,ROUND(MAX(K9,I9*L9+M9),2)),"n.a.")</x:f>
        <x:v>150</x:v>
      </x:c>
      <x:c r="O9" s="30" t="n">
        <x:f>IF(COUNT($I$7:$I$11)&lt;&gt;5,"n.a.",IF(I9=0,6,IF('Inputs'!$D$5=1,COUNTIFS($I$7:$I$11,"&gt;0",$I$7:$I$11,"&lt;"&amp;I9)+COUNTIFS($I$7:I9,I9),COUNTIFS($I$7:$I$11,"&gt;0",$J$7:$J$11,"&gt;"&amp;J9)+COUNTIFS($I$7:I9,"&gt;0",$J$7:J9,J9))))</x:f>
        <x:v>3</x:v>
      </x:c>
      <x:c r="P9" s="22" t="n">
        <x:f>IF(T9="Ready",MIN(U9,MAX(0,G9-SUMIFS($U$7:$U$11,$O$7:$O$11,"&lt;"&amp;O9))),"n.a.")</x:f>
        <x:v>0</x:v>
      </x:c>
      <x:c r="Q9" s="22" t="n">
        <x:f>IF(T9="Ready",ROUND(N9+P9,2),"n.a.")</x:f>
        <x:v>150</x:v>
      </x:c>
      <x:c r="R9" s="22" t="n">
        <x:f>IF(T9="Ready",ROUND(Q9-M9,2),"n.a.")</x:f>
        <x:v>116.67</x:v>
      </x:c>
      <x:c r="S9" s="22" t="n">
        <x:f>IF(T9="Ready",MAX(0,ROUND(I9+M9-Q9,2)),"n.a.")</x:f>
        <x:v>4883.33</x:v>
      </x:c>
      <x:c r="T9" s="22" t="str">
        <x:f>IF(AND(COUNT($I$7:$I$11)=5,COUNT(E9:F9)=2),IF(E9&gt;=F9,"Ready","Budget below minima"),"Check inputs")</x:f>
        <x:v>Ready</x:v>
      </x:c>
      <x:c r="U9" s="22" t="n">
        <x:f>IF(COUNT(I9,M9,N9)=3,MAX(0,ROUND(I9+M9-N9,2)),"n.a.")</x:f>
        <x:v>4883.33</x:v>
      </x:c>
    </x:row>
    <x:row r="10" ht="22" customHeight="1">
      <x:c r="A10" s="2"/>
      <x:c r="B10" s="2"/>
      <x:c r="C10" s="27" t="n">
        <x:f>1</x:f>
        <x:v>1</x:v>
      </x:c>
      <x:c r="D10" s="28" t="n">
        <x:f>IF(ISNUMBER('Inputs'!$D$7),EDATE('Inputs'!$D$7,0),"n.a.")</x:f>
        <x:v>46327</x:v>
      </x:c>
      <x:c r="E10" s="26" t="n">
        <x:f>IF('Inputs'!$D$9&lt;&gt;"Ready","n.a.",IF(ISNUMBER('Inputs'!E19),IF('Inputs'!E19&gt;=0,'Inputs'!E19,"n.a."),IF('Inputs'!E19="",'Inputs'!$D$6,"n.a.")))</x:f>
        <x:v>500</x:v>
      </x:c>
      <x:c r="F10" s="22" t="n">
        <x:f>IF(COUNT($N$7:$N$11)=5,SUM($N$7:$N$11),"n.a.")</x:f>
        <x:v>303</x:v>
      </x:c>
      <x:c r="G10" s="22" t="n">
        <x:f>IF(COUNT(E10:F10)=2,MAX(0,E10-F10),"n.a.")</x:f>
        <x:v>197</x:v>
      </x:c>
      <x:c r="H10" s="26" t="str">
        <x:f>'Inputs'!C14</x:f>
        <x:v>Unused 4</x:v>
      </x:c>
      <x:c r="I10" s="26" t="n">
        <x:f>IF('Inputs'!$D$9="Ready",'Inputs'!D14,"n.a.")</x:f>
        <x:v>0</x:v>
      </x:c>
      <x:c r="J10" s="29" t="n">
        <x:f>IF('Inputs'!$D$9="Ready",'Inputs'!E14,"n.a.")</x:f>
        <x:v>0</x:v>
      </x:c>
      <x:c r="K10" s="26" t="n">
        <x:f>IF('Inputs'!$D$9="Ready",'Inputs'!F14,"n.a.")</x:f>
        <x:v>0</x:v>
      </x:c>
      <x:c r="L10" s="29" t="n">
        <x:f>IF('Inputs'!$D$9="Ready",'Inputs'!G14,"n.a.")</x:f>
        <x:v>0</x:v>
      </x:c>
      <x:c r="M10" s="22" t="n">
        <x:f>IF(COUNT(I10:L10)=4,ROUND(I10*J10/12,2),"n.a.")</x:f>
        <x:v>0</x:v>
      </x:c>
      <x:c r="N10" s="22" t="n">
        <x:f>IF(COUNT(I10:M10)=5,MIN(I10+M10,ROUND(MAX(K10,I10*L10+M10),2)),"n.a.")</x:f>
        <x:v>0</x:v>
      </x:c>
      <x:c r="O10" s="30" t="n">
        <x:f>IF(COUNT($I$7:$I$11)&lt;&gt;5,"n.a.",IF(I10=0,6,IF('Inputs'!$D$5=1,COUNTIFS($I$7:$I$11,"&gt;0",$I$7:$I$11,"&lt;"&amp;I10)+COUNTIFS($I$7:I10,I10),COUNTIFS($I$7:$I$11,"&gt;0",$J$7:$J$11,"&gt;"&amp;J10)+COUNTIFS($I$7:I10,"&gt;0",$J$7:J10,J10))))</x:f>
        <x:v>6</x:v>
      </x:c>
      <x:c r="P10" s="22" t="n">
        <x:f>IF(T10="Ready",MIN(U10,MAX(0,G10-SUMIFS($U$7:$U$11,$O$7:$O$11,"&lt;"&amp;O10))),"n.a.")</x:f>
        <x:v>0</x:v>
      </x:c>
      <x:c r="Q10" s="22" t="n">
        <x:f>IF(T10="Ready",ROUND(N10+P10,2),"n.a.")</x:f>
        <x:v>0</x:v>
      </x:c>
      <x:c r="R10" s="22" t="n">
        <x:f>IF(T10="Ready",ROUND(Q10-M10,2),"n.a.")</x:f>
        <x:v>0</x:v>
      </x:c>
      <x:c r="S10" s="22" t="n">
        <x:f>IF(T10="Ready",MAX(0,ROUND(I10+M10-Q10,2)),"n.a.")</x:f>
        <x:v>0</x:v>
      </x:c>
      <x:c r="T10" s="22" t="str">
        <x:f>IF(AND(COUNT($I$7:$I$11)=5,COUNT(E10:F10)=2),IF(E10&gt;=F10,"Ready","Budget below minima"),"Check inputs")</x:f>
        <x:v>Ready</x:v>
      </x:c>
      <x:c r="U10" s="22" t="n">
        <x:f>IF(COUNT(I10,M10,N10)=3,MAX(0,ROUND(I10+M10-N10,2)),"n.a.")</x:f>
        <x:v>0</x:v>
      </x:c>
    </x:row>
    <x:row r="11" ht="22" customHeight="1">
      <x:c r="A11" s="2"/>
      <x:c r="B11" s="2"/>
      <x:c r="C11" s="27" t="n">
        <x:f>1</x:f>
        <x:v>1</x:v>
      </x:c>
      <x:c r="D11" s="28" t="n">
        <x:f>IF(ISNUMBER('Inputs'!$D$7),EDATE('Inputs'!$D$7,0),"n.a.")</x:f>
        <x:v>46327</x:v>
      </x:c>
      <x:c r="E11" s="26" t="n">
        <x:f>IF('Inputs'!$D$9&lt;&gt;"Ready","n.a.",IF(ISNUMBER('Inputs'!E19),IF('Inputs'!E19&gt;=0,'Inputs'!E19,"n.a."),IF('Inputs'!E19="",'Inputs'!$D$6,"n.a.")))</x:f>
        <x:v>500</x:v>
      </x:c>
      <x:c r="F11" s="22" t="n">
        <x:f>IF(COUNT($N$7:$N$11)=5,SUM($N$7:$N$11),"n.a.")</x:f>
        <x:v>303</x:v>
      </x:c>
      <x:c r="G11" s="22" t="n">
        <x:f>IF(COUNT(E11:F11)=2,MAX(0,E11-F11),"n.a.")</x:f>
        <x:v>197</x:v>
      </x:c>
      <x:c r="H11" s="26" t="str">
        <x:f>'Inputs'!C15</x:f>
        <x:v>Unused 5</x:v>
      </x:c>
      <x:c r="I11" s="26" t="n">
        <x:f>IF('Inputs'!$D$9="Ready",'Inputs'!D15,"n.a.")</x:f>
        <x:v>0</x:v>
      </x:c>
      <x:c r="J11" s="29" t="n">
        <x:f>IF('Inputs'!$D$9="Ready",'Inputs'!E15,"n.a.")</x:f>
        <x:v>0</x:v>
      </x:c>
      <x:c r="K11" s="26" t="n">
        <x:f>IF('Inputs'!$D$9="Ready",'Inputs'!F15,"n.a.")</x:f>
        <x:v>0</x:v>
      </x:c>
      <x:c r="L11" s="29" t="n">
        <x:f>IF('Inputs'!$D$9="Ready",'Inputs'!G15,"n.a.")</x:f>
        <x:v>0</x:v>
      </x:c>
      <x:c r="M11" s="22" t="n">
        <x:f>IF(COUNT(I11:L11)=4,ROUND(I11*J11/12,2),"n.a.")</x:f>
        <x:v>0</x:v>
      </x:c>
      <x:c r="N11" s="22" t="n">
        <x:f>IF(COUNT(I11:M11)=5,MIN(I11+M11,ROUND(MAX(K11,I11*L11+M11),2)),"n.a.")</x:f>
        <x:v>0</x:v>
      </x:c>
      <x:c r="O11" s="30" t="n">
        <x:f>IF(COUNT($I$7:$I$11)&lt;&gt;5,"n.a.",IF(I11=0,6,IF('Inputs'!$D$5=1,COUNTIFS($I$7:$I$11,"&gt;0",$I$7:$I$11,"&lt;"&amp;I11)+COUNTIFS($I$7:I11,I11),COUNTIFS($I$7:$I$11,"&gt;0",$J$7:$J$11,"&gt;"&amp;J11)+COUNTIFS($I$7:I11,"&gt;0",$J$7:J11,J11))))</x:f>
        <x:v>6</x:v>
      </x:c>
      <x:c r="P11" s="22" t="n">
        <x:f>IF(T11="Ready",MIN(U11,MAX(0,G11-SUMIFS($U$7:$U$11,$O$7:$O$11,"&lt;"&amp;O11))),"n.a.")</x:f>
        <x:v>0</x:v>
      </x:c>
      <x:c r="Q11" s="22" t="n">
        <x:f>IF(T11="Ready",ROUND(N11+P11,2),"n.a.")</x:f>
        <x:v>0</x:v>
      </x:c>
      <x:c r="R11" s="22" t="n">
        <x:f>IF(T11="Ready",ROUND(Q11-M11,2),"n.a.")</x:f>
        <x:v>0</x:v>
      </x:c>
      <x:c r="S11" s="22" t="n">
        <x:f>IF(T11="Ready",MAX(0,ROUND(I11+M11-Q11,2)),"n.a.")</x:f>
        <x:v>0</x:v>
      </x:c>
      <x:c r="T11" s="22" t="str">
        <x:f>IF(AND(COUNT($I$7:$I$11)=5,COUNT(E11:F11)=2),IF(E11&gt;=F11,"Ready","Budget below minima"),"Check inputs")</x:f>
        <x:v>Ready</x:v>
      </x:c>
      <x:c r="U11" s="22" t="n">
        <x:f>IF(COUNT(I11,M11,N11)=3,MAX(0,ROUND(I11+M11-N11,2)),"n.a.")</x:f>
        <x:v>0</x:v>
      </x:c>
    </x:row>
    <x:row r="12" ht="22" customHeight="1">
      <x:c r="A12" s="2"/>
      <x:c r="B12" s="2"/>
      <x:c r="C12" s="27" t="n">
        <x:f>2</x:f>
        <x:v>2</x:v>
      </x:c>
      <x:c r="D12" s="28" t="n">
        <x:f>IF(ISNUMBER('Inputs'!$D$7),EDATE('Inputs'!$D$7,1),"n.a.")</x:f>
        <x:v>46357</x:v>
      </x:c>
      <x:c r="E12" s="26" t="n">
        <x:f>IF('Inputs'!$D$9&lt;&gt;"Ready","n.a.",IF(ISNUMBER('Inputs'!E20),IF('Inputs'!E20&gt;=0,'Inputs'!E20,"n.a."),IF('Inputs'!E20="",'Inputs'!$D$6,"n.a.")))</x:f>
        <x:v>500</x:v>
      </x:c>
      <x:c r="F12" s="22" t="n">
        <x:f>IF(COUNT($N$12:$N$16)=5,SUM($N$12:$N$16),"n.a.")</x:f>
        <x:v>292.06</x:v>
      </x:c>
      <x:c r="G12" s="22" t="n">
        <x:f>IF(COUNT(E12:F12)=2,MAX(0,E12-F12),"n.a.")</x:f>
        <x:v>207.94</x:v>
      </x:c>
      <x:c r="H12" s="26" t="str">
        <x:f>'Inputs'!C11</x:f>
        <x:v>Card A</x:v>
      </x:c>
      <x:c r="I12" s="26" t="n">
        <x:f>S7</x:f>
        <x:v>979</x:v>
      </x:c>
      <x:c r="J12" s="29" t="n">
        <x:f>IF('Inputs'!$D$9="Ready",'Inputs'!E11,"n.a.")</x:f>
        <x:v>0.24</x:v>
      </x:c>
      <x:c r="K12" s="26" t="n">
        <x:f>IF('Inputs'!$D$9="Ready",'Inputs'!F11,"n.a.")</x:f>
        <x:v>35</x:v>
      </x:c>
      <x:c r="L12" s="29" t="n">
        <x:f>IF('Inputs'!$D$9="Ready",'Inputs'!G11,"n.a.")</x:f>
        <x:v>0.02</x:v>
      </x:c>
      <x:c r="M12" s="22" t="n">
        <x:f>IF(COUNT(I12:L12)=4,ROUND(I12*J12/12,2),"n.a.")</x:f>
        <x:v>19.58</x:v>
      </x:c>
      <x:c r="N12" s="22" t="n">
        <x:f>IF(COUNT(I12:M12)=5,MIN(I12+M12,ROUND(MAX(K12,I12*L12+M12),2)),"n.a.")</x:f>
        <x:v>39.16</x:v>
      </x:c>
      <x:c r="O12" s="30" t="n">
        <x:f>IF(COUNT($I$12:$I$16)&lt;&gt;5,"n.a.",IF(I12=0,6,IF('Inputs'!$D$5=1,COUNTIFS($I$12:$I$16,"&gt;0",$I$12:$I$16,"&lt;"&amp;I12)+COUNTIFS($I$12:I12,I12),COUNTIFS($I$12:$I$16,"&gt;0",$J$12:$J$16,"&gt;"&amp;J12)+COUNTIFS($I$12:I12,"&gt;0",$J$12:J12,J12))))</x:f>
        <x:v>1</x:v>
      </x:c>
      <x:c r="P12" s="22" t="n">
        <x:f>IF(T12="Ready",MIN(U12,MAX(0,G12-SUMIFS($U$12:$U$16,$O$12:$O$16,"&lt;"&amp;O12))),"n.a.")</x:f>
        <x:v>207.94</x:v>
      </x:c>
      <x:c r="Q12" s="22" t="n">
        <x:f>IF(T12="Ready",ROUND(N12+P12,2),"n.a.")</x:f>
        <x:v>247.1</x:v>
      </x:c>
      <x:c r="R12" s="22" t="n">
        <x:f>IF(T12="Ready",ROUND(Q12-M12,2),"n.a.")</x:f>
        <x:v>227.52</x:v>
      </x:c>
      <x:c r="S12" s="22" t="n">
        <x:f>IF(T12="Ready",MAX(0,ROUND(I12+M12-Q12,2)),"n.a.")</x:f>
        <x:v>751.48</x:v>
      </x:c>
      <x:c r="T12" s="22" t="str">
        <x:f>IF(AND(COUNT($I$12:$I$16)=5,COUNT(E12:F12)=2),IF(E12&gt;=F12,"Ready","Budget below minima"),"Check inputs")</x:f>
        <x:v>Ready</x:v>
      </x:c>
      <x:c r="U12" s="22" t="n">
        <x:f>IF(COUNT(I12,M12,N12)=3,MAX(0,ROUND(I12+M12-N12,2)),"n.a.")</x:f>
        <x:v>959.42</x:v>
      </x:c>
    </x:row>
    <x:row r="13" ht="22" customHeight="1">
      <x:c r="A13" s="2"/>
      <x:c r="B13" s="2"/>
      <x:c r="C13" s="27" t="n">
        <x:f>2</x:f>
        <x:v>2</x:v>
      </x:c>
      <x:c r="D13" s="28" t="n">
        <x:f>IF(ISNUMBER('Inputs'!$D$7),EDATE('Inputs'!$D$7,1),"n.a.")</x:f>
        <x:v>46357</x:v>
      </x:c>
      <x:c r="E13" s="26" t="n">
        <x:f>IF('Inputs'!$D$9&lt;&gt;"Ready","n.a.",IF(ISNUMBER('Inputs'!E20),IF('Inputs'!E20&gt;=0,'Inputs'!E20,"n.a."),IF('Inputs'!E20="",'Inputs'!$D$6,"n.a.")))</x:f>
        <x:v>500</x:v>
      </x:c>
      <x:c r="F13" s="22" t="n">
        <x:f>IF(COUNT($N$12:$N$16)=5,SUM($N$12:$N$16),"n.a.")</x:f>
        <x:v>292.06</x:v>
      </x:c>
      <x:c r="G13" s="22" t="n">
        <x:f>IF(COUNT(E13:F13)=2,MAX(0,E13-F13),"n.a.")</x:f>
        <x:v>207.94</x:v>
      </x:c>
      <x:c r="H13" s="26" t="str">
        <x:f>'Inputs'!C12</x:f>
        <x:v>Card B</x:v>
      </x:c>
      <x:c r="I13" s="26" t="n">
        <x:f>S8</x:f>
        <x:v>2940</x:v>
      </x:c>
      <x:c r="J13" s="29" t="n">
        <x:f>IF('Inputs'!$D$9="Ready",'Inputs'!E12,"n.a.")</x:f>
        <x:v>0.18</x:v>
      </x:c>
      <x:c r="K13" s="26" t="n">
        <x:f>IF('Inputs'!$D$9="Ready",'Inputs'!F12,"n.a.")</x:f>
        <x:v>60</x:v>
      </x:c>
      <x:c r="L13" s="29" t="n">
        <x:f>IF('Inputs'!$D$9="Ready",'Inputs'!G12,"n.a.")</x:f>
        <x:v>0.02</x:v>
      </x:c>
      <x:c r="M13" s="22" t="n">
        <x:f>IF(COUNT(I13:L13)=4,ROUND(I13*J13/12,2),"n.a.")</x:f>
        <x:v>44.1</x:v>
      </x:c>
      <x:c r="N13" s="22" t="n">
        <x:f>IF(COUNT(I13:M13)=5,MIN(I13+M13,ROUND(MAX(K13,I13*L13+M13),2)),"n.a.")</x:f>
        <x:v>102.9</x:v>
      </x:c>
      <x:c r="O13" s="30" t="n">
        <x:f>IF(COUNT($I$12:$I$16)&lt;&gt;5,"n.a.",IF(I13=0,6,IF('Inputs'!$D$5=1,COUNTIFS($I$12:$I$16,"&gt;0",$I$12:$I$16,"&lt;"&amp;I13)+COUNTIFS($I$12:I13,I13),COUNTIFS($I$12:$I$16,"&gt;0",$J$12:$J$16,"&gt;"&amp;J13)+COUNTIFS($I$12:I13,"&gt;0",$J$12:J13,J13))))</x:f>
        <x:v>2</x:v>
      </x:c>
      <x:c r="P13" s="22" t="n">
        <x:f>IF(T13="Ready",MIN(U13,MAX(0,G13-SUMIFS($U$12:$U$16,$O$12:$O$16,"&lt;"&amp;O13))),"n.a.")</x:f>
        <x:v>0</x:v>
      </x:c>
      <x:c r="Q13" s="22" t="n">
        <x:f>IF(T13="Ready",ROUND(N13+P13,2),"n.a.")</x:f>
        <x:v>102.9</x:v>
      </x:c>
      <x:c r="R13" s="22" t="n">
        <x:f>IF(T13="Ready",ROUND(Q13-M13,2),"n.a.")</x:f>
        <x:v>58.8</x:v>
      </x:c>
      <x:c r="S13" s="22" t="n">
        <x:f>IF(T13="Ready",MAX(0,ROUND(I13+M13-Q13,2)),"n.a.")</x:f>
        <x:v>2881.2</x:v>
      </x:c>
      <x:c r="T13" s="22" t="str">
        <x:f>IF(AND(COUNT($I$12:$I$16)=5,COUNT(E13:F13)=2),IF(E13&gt;=F13,"Ready","Budget below minima"),"Check inputs")</x:f>
        <x:v>Ready</x:v>
      </x:c>
      <x:c r="U13" s="22" t="n">
        <x:f>IF(COUNT(I13,M13,N13)=3,MAX(0,ROUND(I13+M13-N13,2)),"n.a.")</x:f>
        <x:v>2881.2</x:v>
      </x:c>
    </x:row>
    <x:row r="14" ht="22" customHeight="1">
      <x:c r="A14" s="2"/>
      <x:c r="B14" s="2"/>
      <x:c r="C14" s="27" t="n">
        <x:f>2</x:f>
        <x:v>2</x:v>
      </x:c>
      <x:c r="D14" s="28" t="n">
        <x:f>IF(ISNUMBER('Inputs'!$D$7),EDATE('Inputs'!$D$7,1),"n.a.")</x:f>
        <x:v>46357</x:v>
      </x:c>
      <x:c r="E14" s="26" t="n">
        <x:f>IF('Inputs'!$D$9&lt;&gt;"Ready","n.a.",IF(ISNUMBER('Inputs'!E20),IF('Inputs'!E20&gt;=0,'Inputs'!E20,"n.a."),IF('Inputs'!E20="",'Inputs'!$D$6,"n.a.")))</x:f>
        <x:v>500</x:v>
      </x:c>
      <x:c r="F14" s="22" t="n">
        <x:f>IF(COUNT($N$12:$N$16)=5,SUM($N$12:$N$16),"n.a.")</x:f>
        <x:v>292.06</x:v>
      </x:c>
      <x:c r="G14" s="22" t="n">
        <x:f>IF(COUNT(E14:F14)=2,MAX(0,E14-F14),"n.a.")</x:f>
        <x:v>207.94</x:v>
      </x:c>
      <x:c r="H14" s="26" t="str">
        <x:f>'Inputs'!C13</x:f>
        <x:v>Loan C</x:v>
      </x:c>
      <x:c r="I14" s="26" t="n">
        <x:f>S9</x:f>
        <x:v>4883.33</x:v>
      </x:c>
      <x:c r="J14" s="29" t="n">
        <x:f>IF('Inputs'!$D$9="Ready",'Inputs'!E13,"n.a.")</x:f>
        <x:v>0.08</x:v>
      </x:c>
      <x:c r="K14" s="26" t="n">
        <x:f>IF('Inputs'!$D$9="Ready",'Inputs'!F13,"n.a.")</x:f>
        <x:v>150</x:v>
      </x:c>
      <x:c r="L14" s="29" t="n">
        <x:f>IF('Inputs'!$D$9="Ready",'Inputs'!G13,"n.a.")</x:f>
        <x:v>0</x:v>
      </x:c>
      <x:c r="M14" s="22" t="n">
        <x:f>IF(COUNT(I14:L14)=4,ROUND(I14*J14/12,2),"n.a.")</x:f>
        <x:v>32.56</x:v>
      </x:c>
      <x:c r="N14" s="22" t="n">
        <x:f>IF(COUNT(I14:M14)=5,MIN(I14+M14,ROUND(MAX(K14,I14*L14+M14),2)),"n.a.")</x:f>
        <x:v>150</x:v>
      </x:c>
      <x:c r="O14" s="30" t="n">
        <x:f>IF(COUNT($I$12:$I$16)&lt;&gt;5,"n.a.",IF(I14=0,6,IF('Inputs'!$D$5=1,COUNTIFS($I$12:$I$16,"&gt;0",$I$12:$I$16,"&lt;"&amp;I14)+COUNTIFS($I$12:I14,I14),COUNTIFS($I$12:$I$16,"&gt;0",$J$12:$J$16,"&gt;"&amp;J14)+COUNTIFS($I$12:I14,"&gt;0",$J$12:J14,J14))))</x:f>
        <x:v>3</x:v>
      </x:c>
      <x:c r="P14" s="22" t="n">
        <x:f>IF(T14="Ready",MIN(U14,MAX(0,G14-SUMIFS($U$12:$U$16,$O$12:$O$16,"&lt;"&amp;O14))),"n.a.")</x:f>
        <x:v>0</x:v>
      </x:c>
      <x:c r="Q14" s="22" t="n">
        <x:f>IF(T14="Ready",ROUND(N14+P14,2),"n.a.")</x:f>
        <x:v>150</x:v>
      </x:c>
      <x:c r="R14" s="22" t="n">
        <x:f>IF(T14="Ready",ROUND(Q14-M14,2),"n.a.")</x:f>
        <x:v>117.44</x:v>
      </x:c>
      <x:c r="S14" s="22" t="n">
        <x:f>IF(T14="Ready",MAX(0,ROUND(I14+M14-Q14,2)),"n.a.")</x:f>
        <x:v>4765.89</x:v>
      </x:c>
      <x:c r="T14" s="22" t="str">
        <x:f>IF(AND(COUNT($I$12:$I$16)=5,COUNT(E14:F14)=2),IF(E14&gt;=F14,"Ready","Budget below minima"),"Check inputs")</x:f>
        <x:v>Ready</x:v>
      </x:c>
      <x:c r="U14" s="22" t="n">
        <x:f>IF(COUNT(I14,M14,N14)=3,MAX(0,ROUND(I14+M14-N14,2)),"n.a.")</x:f>
        <x:v>4765.89</x:v>
      </x:c>
    </x:row>
    <x:row r="15" ht="22" customHeight="1">
      <x:c r="A15" s="2"/>
      <x:c r="B15" s="2"/>
      <x:c r="C15" s="27" t="n">
        <x:f>2</x:f>
        <x:v>2</x:v>
      </x:c>
      <x:c r="D15" s="28" t="n">
        <x:f>IF(ISNUMBER('Inputs'!$D$7),EDATE('Inputs'!$D$7,1),"n.a.")</x:f>
        <x:v>46357</x:v>
      </x:c>
      <x:c r="E15" s="26" t="n">
        <x:f>IF('Inputs'!$D$9&lt;&gt;"Ready","n.a.",IF(ISNUMBER('Inputs'!E20),IF('Inputs'!E20&gt;=0,'Inputs'!E20,"n.a."),IF('Inputs'!E20="",'Inputs'!$D$6,"n.a.")))</x:f>
        <x:v>500</x:v>
      </x:c>
      <x:c r="F15" s="22" t="n">
        <x:f>IF(COUNT($N$12:$N$16)=5,SUM($N$12:$N$16),"n.a.")</x:f>
        <x:v>292.06</x:v>
      </x:c>
      <x:c r="G15" s="22" t="n">
        <x:f>IF(COUNT(E15:F15)=2,MAX(0,E15-F15),"n.a.")</x:f>
        <x:v>207.94</x:v>
      </x:c>
      <x:c r="H15" s="26" t="str">
        <x:f>'Inputs'!C14</x:f>
        <x:v>Unused 4</x:v>
      </x:c>
      <x:c r="I15" s="26" t="n">
        <x:f>S10</x:f>
        <x:v>0</x:v>
      </x:c>
      <x:c r="J15" s="29" t="n">
        <x:f>IF('Inputs'!$D$9="Ready",'Inputs'!E14,"n.a.")</x:f>
        <x:v>0</x:v>
      </x:c>
      <x:c r="K15" s="26" t="n">
        <x:f>IF('Inputs'!$D$9="Ready",'Inputs'!F14,"n.a.")</x:f>
        <x:v>0</x:v>
      </x:c>
      <x:c r="L15" s="29" t="n">
        <x:f>IF('Inputs'!$D$9="Ready",'Inputs'!G14,"n.a.")</x:f>
        <x:v>0</x:v>
      </x:c>
      <x:c r="M15" s="22" t="n">
        <x:f>IF(COUNT(I15:L15)=4,ROUND(I15*J15/12,2),"n.a.")</x:f>
        <x:v>0</x:v>
      </x:c>
      <x:c r="N15" s="22" t="n">
        <x:f>IF(COUNT(I15:M15)=5,MIN(I15+M15,ROUND(MAX(K15,I15*L15+M15),2)),"n.a.")</x:f>
        <x:v>0</x:v>
      </x:c>
      <x:c r="O15" s="30" t="n">
        <x:f>IF(COUNT($I$12:$I$16)&lt;&gt;5,"n.a.",IF(I15=0,6,IF('Inputs'!$D$5=1,COUNTIFS($I$12:$I$16,"&gt;0",$I$12:$I$16,"&lt;"&amp;I15)+COUNTIFS($I$12:I15,I15),COUNTIFS($I$12:$I$16,"&gt;0",$J$12:$J$16,"&gt;"&amp;J15)+COUNTIFS($I$12:I15,"&gt;0",$J$12:J15,J15))))</x:f>
        <x:v>6</x:v>
      </x:c>
      <x:c r="P15" s="22" t="n">
        <x:f>IF(T15="Ready",MIN(U15,MAX(0,G15-SUMIFS($U$12:$U$16,$O$12:$O$16,"&lt;"&amp;O15))),"n.a.")</x:f>
        <x:v>0</x:v>
      </x:c>
      <x:c r="Q15" s="22" t="n">
        <x:f>IF(T15="Ready",ROUND(N15+P15,2),"n.a.")</x:f>
        <x:v>0</x:v>
      </x:c>
      <x:c r="R15" s="22" t="n">
        <x:f>IF(T15="Ready",ROUND(Q15-M15,2),"n.a.")</x:f>
        <x:v>0</x:v>
      </x:c>
      <x:c r="S15" s="22" t="n">
        <x:f>IF(T15="Ready",MAX(0,ROUND(I15+M15-Q15,2)),"n.a.")</x:f>
        <x:v>0</x:v>
      </x:c>
      <x:c r="T15" s="22" t="str">
        <x:f>IF(AND(COUNT($I$12:$I$16)=5,COUNT(E15:F15)=2),IF(E15&gt;=F15,"Ready","Budget below minima"),"Check inputs")</x:f>
        <x:v>Ready</x:v>
      </x:c>
      <x:c r="U15" s="22" t="n">
        <x:f>IF(COUNT(I15,M15,N15)=3,MAX(0,ROUND(I15+M15-N15,2)),"n.a.")</x:f>
        <x:v>0</x:v>
      </x:c>
    </x:row>
    <x:row r="16" ht="22" customHeight="1">
      <x:c r="A16" s="2"/>
      <x:c r="B16" s="2"/>
      <x:c r="C16" s="27" t="n">
        <x:f>2</x:f>
        <x:v>2</x:v>
      </x:c>
      <x:c r="D16" s="28" t="n">
        <x:f>IF(ISNUMBER('Inputs'!$D$7),EDATE('Inputs'!$D$7,1),"n.a.")</x:f>
        <x:v>46357</x:v>
      </x:c>
      <x:c r="E16" s="26" t="n">
        <x:f>IF('Inputs'!$D$9&lt;&gt;"Ready","n.a.",IF(ISNUMBER('Inputs'!E20),IF('Inputs'!E20&gt;=0,'Inputs'!E20,"n.a."),IF('Inputs'!E20="",'Inputs'!$D$6,"n.a.")))</x:f>
        <x:v>500</x:v>
      </x:c>
      <x:c r="F16" s="22" t="n">
        <x:f>IF(COUNT($N$12:$N$16)=5,SUM($N$12:$N$16),"n.a.")</x:f>
        <x:v>292.06</x:v>
      </x:c>
      <x:c r="G16" s="22" t="n">
        <x:f>IF(COUNT(E16:F16)=2,MAX(0,E16-F16),"n.a.")</x:f>
        <x:v>207.94</x:v>
      </x:c>
      <x:c r="H16" s="26" t="str">
        <x:f>'Inputs'!C15</x:f>
        <x:v>Unused 5</x:v>
      </x:c>
      <x:c r="I16" s="26" t="n">
        <x:f>S11</x:f>
        <x:v>0</x:v>
      </x:c>
      <x:c r="J16" s="29" t="n">
        <x:f>IF('Inputs'!$D$9="Ready",'Inputs'!E15,"n.a.")</x:f>
        <x:v>0</x:v>
      </x:c>
      <x:c r="K16" s="26" t="n">
        <x:f>IF('Inputs'!$D$9="Ready",'Inputs'!F15,"n.a.")</x:f>
        <x:v>0</x:v>
      </x:c>
      <x:c r="L16" s="29" t="n">
        <x:f>IF('Inputs'!$D$9="Ready",'Inputs'!G15,"n.a.")</x:f>
        <x:v>0</x:v>
      </x:c>
      <x:c r="M16" s="22" t="n">
        <x:f>IF(COUNT(I16:L16)=4,ROUND(I16*J16/12,2),"n.a.")</x:f>
        <x:v>0</x:v>
      </x:c>
      <x:c r="N16" s="22" t="n">
        <x:f>IF(COUNT(I16:M16)=5,MIN(I16+M16,ROUND(MAX(K16,I16*L16+M16),2)),"n.a.")</x:f>
        <x:v>0</x:v>
      </x:c>
      <x:c r="O16" s="30" t="n">
        <x:f>IF(COUNT($I$12:$I$16)&lt;&gt;5,"n.a.",IF(I16=0,6,IF('Inputs'!$D$5=1,COUNTIFS($I$12:$I$16,"&gt;0",$I$12:$I$16,"&lt;"&amp;I16)+COUNTIFS($I$12:I16,I16),COUNTIFS($I$12:$I$16,"&gt;0",$J$12:$J$16,"&gt;"&amp;J16)+COUNTIFS($I$12:I16,"&gt;0",$J$12:J16,J16))))</x:f>
        <x:v>6</x:v>
      </x:c>
      <x:c r="P16" s="22" t="n">
        <x:f>IF(T16="Ready",MIN(U16,MAX(0,G16-SUMIFS($U$12:$U$16,$O$12:$O$16,"&lt;"&amp;O16))),"n.a.")</x:f>
        <x:v>0</x:v>
      </x:c>
      <x:c r="Q16" s="22" t="n">
        <x:f>IF(T16="Ready",ROUND(N16+P16,2),"n.a.")</x:f>
        <x:v>0</x:v>
      </x:c>
      <x:c r="R16" s="22" t="n">
        <x:f>IF(T16="Ready",ROUND(Q16-M16,2),"n.a.")</x:f>
        <x:v>0</x:v>
      </x:c>
      <x:c r="S16" s="22" t="n">
        <x:f>IF(T16="Ready",MAX(0,ROUND(I16+M16-Q16,2)),"n.a.")</x:f>
        <x:v>0</x:v>
      </x:c>
      <x:c r="T16" s="22" t="str">
        <x:f>IF(AND(COUNT($I$12:$I$16)=5,COUNT(E16:F16)=2),IF(E16&gt;=F16,"Ready","Budget below minima"),"Check inputs")</x:f>
        <x:v>Ready</x:v>
      </x:c>
      <x:c r="U16" s="22" t="n">
        <x:f>IF(COUNT(I16,M16,N16)=3,MAX(0,ROUND(I16+M16-N16,2)),"n.a.")</x:f>
        <x:v>0</x:v>
      </x:c>
    </x:row>
    <x:row r="17" ht="22" customHeight="1">
      <x:c r="A17" s="2"/>
      <x:c r="B17" s="2"/>
      <x:c r="C17" s="27" t="n">
        <x:f>3</x:f>
        <x:v>3</x:v>
      </x:c>
      <x:c r="D17" s="28" t="n">
        <x:f>IF(ISNUMBER('Inputs'!$D$7),EDATE('Inputs'!$D$7,2),"n.a.")</x:f>
        <x:v>46388</x:v>
      </x:c>
      <x:c r="E17" s="26" t="n">
        <x:f>IF('Inputs'!$D$9&lt;&gt;"Ready","n.a.",IF(ISNUMBER('Inputs'!E21),IF('Inputs'!E21&gt;=0,'Inputs'!E21,"n.a."),IF('Inputs'!E21="",'Inputs'!$D$6,"n.a.")))</x:f>
        <x:v>500</x:v>
      </x:c>
      <x:c r="F17" s="22" t="n">
        <x:f>IF(COUNT($N$17:$N$21)=5,SUM($N$17:$N$21),"n.a.")</x:f>
        <x:v>285.84000000000003</x:v>
      </x:c>
      <x:c r="G17" s="22" t="n">
        <x:f>IF(COUNT(E17:F17)=2,MAX(0,E17-F17),"n.a.")</x:f>
        <x:v>214.15999999999997</x:v>
      </x:c>
      <x:c r="H17" s="26" t="str">
        <x:f>'Inputs'!C11</x:f>
        <x:v>Card A</x:v>
      </x:c>
      <x:c r="I17" s="26" t="n">
        <x:f>S12</x:f>
        <x:v>751.48</x:v>
      </x:c>
      <x:c r="J17" s="29" t="n">
        <x:f>IF('Inputs'!$D$9="Ready",'Inputs'!E11,"n.a.")</x:f>
        <x:v>0.24</x:v>
      </x:c>
      <x:c r="K17" s="26" t="n">
        <x:f>IF('Inputs'!$D$9="Ready",'Inputs'!F11,"n.a.")</x:f>
        <x:v>35</x:v>
      </x:c>
      <x:c r="L17" s="29" t="n">
        <x:f>IF('Inputs'!$D$9="Ready",'Inputs'!G11,"n.a.")</x:f>
        <x:v>0.02</x:v>
      </x:c>
      <x:c r="M17" s="22" t="n">
        <x:f>IF(COUNT(I17:L17)=4,ROUND(I17*J17/12,2),"n.a.")</x:f>
        <x:v>15.03</x:v>
      </x:c>
      <x:c r="N17" s="22" t="n">
        <x:f>IF(COUNT(I17:M17)=5,MIN(I17+M17,ROUND(MAX(K17,I17*L17+M17),2)),"n.a.")</x:f>
        <x:v>35</x:v>
      </x:c>
      <x:c r="O17" s="30" t="n">
        <x:f>IF(COUNT($I$17:$I$21)&lt;&gt;5,"n.a.",IF(I17=0,6,IF('Inputs'!$D$5=1,COUNTIFS($I$17:$I$21,"&gt;0",$I$17:$I$21,"&lt;"&amp;I17)+COUNTIFS($I$17:I17,I17),COUNTIFS($I$17:$I$21,"&gt;0",$J$17:$J$21,"&gt;"&amp;J17)+COUNTIFS($I$17:I17,"&gt;0",$J$17:J17,J17))))</x:f>
        <x:v>1</x:v>
      </x:c>
      <x:c r="P17" s="22" t="n">
        <x:f>IF(T17="Ready",MIN(U17,MAX(0,G17-SUMIFS($U$17:$U$21,$O$17:$O$21,"&lt;"&amp;O17))),"n.a.")</x:f>
        <x:v>214.15999999999997</x:v>
      </x:c>
      <x:c r="Q17" s="22" t="n">
        <x:f>IF(T17="Ready",ROUND(N17+P17,2),"n.a.")</x:f>
        <x:v>249.16</x:v>
      </x:c>
      <x:c r="R17" s="22" t="n">
        <x:f>IF(T17="Ready",ROUND(Q17-M17,2),"n.a.")</x:f>
        <x:v>234.13</x:v>
      </x:c>
      <x:c r="S17" s="22" t="n">
        <x:f>IF(T17="Ready",MAX(0,ROUND(I17+M17-Q17,2)),"n.a.")</x:f>
        <x:v>517.35</x:v>
      </x:c>
      <x:c r="T17" s="22" t="str">
        <x:f>IF(AND(COUNT($I$17:$I$21)=5,COUNT(E17:F17)=2),IF(E17&gt;=F17,"Ready","Budget below minima"),"Check inputs")</x:f>
        <x:v>Ready</x:v>
      </x:c>
      <x:c r="U17" s="22" t="n">
        <x:f>IF(COUNT(I17,M17,N17)=3,MAX(0,ROUND(I17+M17-N17,2)),"n.a.")</x:f>
        <x:v>731.51</x:v>
      </x:c>
    </x:row>
    <x:row r="18" ht="22" customHeight="1">
      <x:c r="A18" s="2"/>
      <x:c r="B18" s="2"/>
      <x:c r="C18" s="27" t="n">
        <x:f>3</x:f>
        <x:v>3</x:v>
      </x:c>
      <x:c r="D18" s="28" t="n">
        <x:f>IF(ISNUMBER('Inputs'!$D$7),EDATE('Inputs'!$D$7,2),"n.a.")</x:f>
        <x:v>46388</x:v>
      </x:c>
      <x:c r="E18" s="26" t="n">
        <x:f>IF('Inputs'!$D$9&lt;&gt;"Ready","n.a.",IF(ISNUMBER('Inputs'!E21),IF('Inputs'!E21&gt;=0,'Inputs'!E21,"n.a."),IF('Inputs'!E21="",'Inputs'!$D$6,"n.a.")))</x:f>
        <x:v>500</x:v>
      </x:c>
      <x:c r="F18" s="22" t="n">
        <x:f>IF(COUNT($N$17:$N$21)=5,SUM($N$17:$N$21),"n.a.")</x:f>
        <x:v>285.84000000000003</x:v>
      </x:c>
      <x:c r="G18" s="22" t="n">
        <x:f>IF(COUNT(E18:F18)=2,MAX(0,E18-F18),"n.a.")</x:f>
        <x:v>214.15999999999997</x:v>
      </x:c>
      <x:c r="H18" s="26" t="str">
        <x:f>'Inputs'!C12</x:f>
        <x:v>Card B</x:v>
      </x:c>
      <x:c r="I18" s="26" t="n">
        <x:f>S13</x:f>
        <x:v>2881.2</x:v>
      </x:c>
      <x:c r="J18" s="29" t="n">
        <x:f>IF('Inputs'!$D$9="Ready",'Inputs'!E12,"n.a.")</x:f>
        <x:v>0.18</x:v>
      </x:c>
      <x:c r="K18" s="26" t="n">
        <x:f>IF('Inputs'!$D$9="Ready",'Inputs'!F12,"n.a.")</x:f>
        <x:v>60</x:v>
      </x:c>
      <x:c r="L18" s="29" t="n">
        <x:f>IF('Inputs'!$D$9="Ready",'Inputs'!G12,"n.a.")</x:f>
        <x:v>0.02</x:v>
      </x:c>
      <x:c r="M18" s="22" t="n">
        <x:f>IF(COUNT(I18:L18)=4,ROUND(I18*J18/12,2),"n.a.")</x:f>
        <x:v>43.22</x:v>
      </x:c>
      <x:c r="N18" s="22" t="n">
        <x:f>IF(COUNT(I18:M18)=5,MIN(I18+M18,ROUND(MAX(K18,I18*L18+M18),2)),"n.a.")</x:f>
        <x:v>100.84</x:v>
      </x:c>
      <x:c r="O18" s="30" t="n">
        <x:f>IF(COUNT($I$17:$I$21)&lt;&gt;5,"n.a.",IF(I18=0,6,IF('Inputs'!$D$5=1,COUNTIFS($I$17:$I$21,"&gt;0",$I$17:$I$21,"&lt;"&amp;I18)+COUNTIFS($I$17:I18,I18),COUNTIFS($I$17:$I$21,"&gt;0",$J$17:$J$21,"&gt;"&amp;J18)+COUNTIFS($I$17:I18,"&gt;0",$J$17:J18,J18))))</x:f>
        <x:v>2</x:v>
      </x:c>
      <x:c r="P18" s="22" t="n">
        <x:f>IF(T18="Ready",MIN(U18,MAX(0,G18-SUMIFS($U$17:$U$21,$O$17:$O$21,"&lt;"&amp;O18))),"n.a.")</x:f>
        <x:v>0</x:v>
      </x:c>
      <x:c r="Q18" s="22" t="n">
        <x:f>IF(T18="Ready",ROUND(N18+P18,2),"n.a.")</x:f>
        <x:v>100.84</x:v>
      </x:c>
      <x:c r="R18" s="22" t="n">
        <x:f>IF(T18="Ready",ROUND(Q18-M18,2),"n.a.")</x:f>
        <x:v>57.62</x:v>
      </x:c>
      <x:c r="S18" s="22" t="n">
        <x:f>IF(T18="Ready",MAX(0,ROUND(I18+M18-Q18,2)),"n.a.")</x:f>
        <x:v>2823.58</x:v>
      </x:c>
      <x:c r="T18" s="22" t="str">
        <x:f>IF(AND(COUNT($I$17:$I$21)=5,COUNT(E18:F18)=2),IF(E18&gt;=F18,"Ready","Budget below minima"),"Check inputs")</x:f>
        <x:v>Ready</x:v>
      </x:c>
      <x:c r="U18" s="22" t="n">
        <x:f>IF(COUNT(I18,M18,N18)=3,MAX(0,ROUND(I18+M18-N18,2)),"n.a.")</x:f>
        <x:v>2823.58</x:v>
      </x:c>
    </x:row>
    <x:row r="19" ht="22" customHeight="1">
      <x:c r="A19" s="2"/>
      <x:c r="B19" s="2"/>
      <x:c r="C19" s="27" t="n">
        <x:f>3</x:f>
        <x:v>3</x:v>
      </x:c>
      <x:c r="D19" s="28" t="n">
        <x:f>IF(ISNUMBER('Inputs'!$D$7),EDATE('Inputs'!$D$7,2),"n.a.")</x:f>
        <x:v>46388</x:v>
      </x:c>
      <x:c r="E19" s="26" t="n">
        <x:f>IF('Inputs'!$D$9&lt;&gt;"Ready","n.a.",IF(ISNUMBER('Inputs'!E21),IF('Inputs'!E21&gt;=0,'Inputs'!E21,"n.a."),IF('Inputs'!E21="",'Inputs'!$D$6,"n.a.")))</x:f>
        <x:v>500</x:v>
      </x:c>
      <x:c r="F19" s="22" t="n">
        <x:f>IF(COUNT($N$17:$N$21)=5,SUM($N$17:$N$21),"n.a.")</x:f>
        <x:v>285.84000000000003</x:v>
      </x:c>
      <x:c r="G19" s="22" t="n">
        <x:f>IF(COUNT(E19:F19)=2,MAX(0,E19-F19),"n.a.")</x:f>
        <x:v>214.15999999999997</x:v>
      </x:c>
      <x:c r="H19" s="26" t="str">
        <x:f>'Inputs'!C13</x:f>
        <x:v>Loan C</x:v>
      </x:c>
      <x:c r="I19" s="26" t="n">
        <x:f>S14</x:f>
        <x:v>4765.89</x:v>
      </x:c>
      <x:c r="J19" s="29" t="n">
        <x:f>IF('Inputs'!$D$9="Ready",'Inputs'!E13,"n.a.")</x:f>
        <x:v>0.08</x:v>
      </x:c>
      <x:c r="K19" s="26" t="n">
        <x:f>IF('Inputs'!$D$9="Ready",'Inputs'!F13,"n.a.")</x:f>
        <x:v>150</x:v>
      </x:c>
      <x:c r="L19" s="29" t="n">
        <x:f>IF('Inputs'!$D$9="Ready",'Inputs'!G13,"n.a.")</x:f>
        <x:v>0</x:v>
      </x:c>
      <x:c r="M19" s="22" t="n">
        <x:f>IF(COUNT(I19:L19)=4,ROUND(I19*J19/12,2),"n.a.")</x:f>
        <x:v>31.77</x:v>
      </x:c>
      <x:c r="N19" s="22" t="n">
        <x:f>IF(COUNT(I19:M19)=5,MIN(I19+M19,ROUND(MAX(K19,I19*L19+M19),2)),"n.a.")</x:f>
        <x:v>150</x:v>
      </x:c>
      <x:c r="O19" s="30" t="n">
        <x:f>IF(COUNT($I$17:$I$21)&lt;&gt;5,"n.a.",IF(I19=0,6,IF('Inputs'!$D$5=1,COUNTIFS($I$17:$I$21,"&gt;0",$I$17:$I$21,"&lt;"&amp;I19)+COUNTIFS($I$17:I19,I19),COUNTIFS($I$17:$I$21,"&gt;0",$J$17:$J$21,"&gt;"&amp;J19)+COUNTIFS($I$17:I19,"&gt;0",$J$17:J19,J19))))</x:f>
        <x:v>3</x:v>
      </x:c>
      <x:c r="P19" s="22" t="n">
        <x:f>IF(T19="Ready",MIN(U19,MAX(0,G19-SUMIFS($U$17:$U$21,$O$17:$O$21,"&lt;"&amp;O19))),"n.a.")</x:f>
        <x:v>0</x:v>
      </x:c>
      <x:c r="Q19" s="22" t="n">
        <x:f>IF(T19="Ready",ROUND(N19+P19,2),"n.a.")</x:f>
        <x:v>150</x:v>
      </x:c>
      <x:c r="R19" s="22" t="n">
        <x:f>IF(T19="Ready",ROUND(Q19-M19,2),"n.a.")</x:f>
        <x:v>118.23</x:v>
      </x:c>
      <x:c r="S19" s="22" t="n">
        <x:f>IF(T19="Ready",MAX(0,ROUND(I19+M19-Q19,2)),"n.a.")</x:f>
        <x:v>4647.66</x:v>
      </x:c>
      <x:c r="T19" s="22" t="str">
        <x:f>IF(AND(COUNT($I$17:$I$21)=5,COUNT(E19:F19)=2),IF(E19&gt;=F19,"Ready","Budget below minima"),"Check inputs")</x:f>
        <x:v>Ready</x:v>
      </x:c>
      <x:c r="U19" s="22" t="n">
        <x:f>IF(COUNT(I19,M19,N19)=3,MAX(0,ROUND(I19+M19-N19,2)),"n.a.")</x:f>
        <x:v>4647.66</x:v>
      </x:c>
    </x:row>
    <x:row r="20" ht="22" customHeight="1">
      <x:c r="A20" s="2"/>
      <x:c r="B20" s="2"/>
      <x:c r="C20" s="27" t="n">
        <x:f>3</x:f>
        <x:v>3</x:v>
      </x:c>
      <x:c r="D20" s="28" t="n">
        <x:f>IF(ISNUMBER('Inputs'!$D$7),EDATE('Inputs'!$D$7,2),"n.a.")</x:f>
        <x:v>46388</x:v>
      </x:c>
      <x:c r="E20" s="26" t="n">
        <x:f>IF('Inputs'!$D$9&lt;&gt;"Ready","n.a.",IF(ISNUMBER('Inputs'!E21),IF('Inputs'!E21&gt;=0,'Inputs'!E21,"n.a."),IF('Inputs'!E21="",'Inputs'!$D$6,"n.a.")))</x:f>
        <x:v>500</x:v>
      </x:c>
      <x:c r="F20" s="22" t="n">
        <x:f>IF(COUNT($N$17:$N$21)=5,SUM($N$17:$N$21),"n.a.")</x:f>
        <x:v>285.84000000000003</x:v>
      </x:c>
      <x:c r="G20" s="22" t="n">
        <x:f>IF(COUNT(E20:F20)=2,MAX(0,E20-F20),"n.a.")</x:f>
        <x:v>214.15999999999997</x:v>
      </x:c>
      <x:c r="H20" s="26" t="str">
        <x:f>'Inputs'!C14</x:f>
        <x:v>Unused 4</x:v>
      </x:c>
      <x:c r="I20" s="26" t="n">
        <x:f>S15</x:f>
        <x:v>0</x:v>
      </x:c>
      <x:c r="J20" s="29" t="n">
        <x:f>IF('Inputs'!$D$9="Ready",'Inputs'!E14,"n.a.")</x:f>
        <x:v>0</x:v>
      </x:c>
      <x:c r="K20" s="26" t="n">
        <x:f>IF('Inputs'!$D$9="Ready",'Inputs'!F14,"n.a.")</x:f>
        <x:v>0</x:v>
      </x:c>
      <x:c r="L20" s="29" t="n">
        <x:f>IF('Inputs'!$D$9="Ready",'Inputs'!G14,"n.a.")</x:f>
        <x:v>0</x:v>
      </x:c>
      <x:c r="M20" s="22" t="n">
        <x:f>IF(COUNT(I20:L20)=4,ROUND(I20*J20/12,2),"n.a.")</x:f>
        <x:v>0</x:v>
      </x:c>
      <x:c r="N20" s="22" t="n">
        <x:f>IF(COUNT(I20:M20)=5,MIN(I20+M20,ROUND(MAX(K20,I20*L20+M20),2)),"n.a.")</x:f>
        <x:v>0</x:v>
      </x:c>
      <x:c r="O20" s="30" t="n">
        <x:f>IF(COUNT($I$17:$I$21)&lt;&gt;5,"n.a.",IF(I20=0,6,IF('Inputs'!$D$5=1,COUNTIFS($I$17:$I$21,"&gt;0",$I$17:$I$21,"&lt;"&amp;I20)+COUNTIFS($I$17:I20,I20),COUNTIFS($I$17:$I$21,"&gt;0",$J$17:$J$21,"&gt;"&amp;J20)+COUNTIFS($I$17:I20,"&gt;0",$J$17:J20,J20))))</x:f>
        <x:v>6</x:v>
      </x:c>
      <x:c r="P20" s="22" t="n">
        <x:f>IF(T20="Ready",MIN(U20,MAX(0,G20-SUMIFS($U$17:$U$21,$O$17:$O$21,"&lt;"&amp;O20))),"n.a.")</x:f>
        <x:v>0</x:v>
      </x:c>
      <x:c r="Q20" s="22" t="n">
        <x:f>IF(T20="Ready",ROUND(N20+P20,2),"n.a.")</x:f>
        <x:v>0</x:v>
      </x:c>
      <x:c r="R20" s="22" t="n">
        <x:f>IF(T20="Ready",ROUND(Q20-M20,2),"n.a.")</x:f>
        <x:v>0</x:v>
      </x:c>
      <x:c r="S20" s="22" t="n">
        <x:f>IF(T20="Ready",MAX(0,ROUND(I20+M20-Q20,2)),"n.a.")</x:f>
        <x:v>0</x:v>
      </x:c>
      <x:c r="T20" s="22" t="str">
        <x:f>IF(AND(COUNT($I$17:$I$21)=5,COUNT(E20:F20)=2),IF(E20&gt;=F20,"Ready","Budget below minima"),"Check inputs")</x:f>
        <x:v>Ready</x:v>
      </x:c>
      <x:c r="U20" s="22" t="n">
        <x:f>IF(COUNT(I20,M20,N20)=3,MAX(0,ROUND(I20+M20-N20,2)),"n.a.")</x:f>
        <x:v>0</x:v>
      </x:c>
    </x:row>
    <x:row r="21" ht="22" customHeight="1">
      <x:c r="A21" s="2"/>
      <x:c r="B21" s="2"/>
      <x:c r="C21" s="27" t="n">
        <x:f>3</x:f>
        <x:v>3</x:v>
      </x:c>
      <x:c r="D21" s="28" t="n">
        <x:f>IF(ISNUMBER('Inputs'!$D$7),EDATE('Inputs'!$D$7,2),"n.a.")</x:f>
        <x:v>46388</x:v>
      </x:c>
      <x:c r="E21" s="26" t="n">
        <x:f>IF('Inputs'!$D$9&lt;&gt;"Ready","n.a.",IF(ISNUMBER('Inputs'!E21),IF('Inputs'!E21&gt;=0,'Inputs'!E21,"n.a."),IF('Inputs'!E21="",'Inputs'!$D$6,"n.a.")))</x:f>
        <x:v>500</x:v>
      </x:c>
      <x:c r="F21" s="22" t="n">
        <x:f>IF(COUNT($N$17:$N$21)=5,SUM($N$17:$N$21),"n.a.")</x:f>
        <x:v>285.84000000000003</x:v>
      </x:c>
      <x:c r="G21" s="22" t="n">
        <x:f>IF(COUNT(E21:F21)=2,MAX(0,E21-F21),"n.a.")</x:f>
        <x:v>214.15999999999997</x:v>
      </x:c>
      <x:c r="H21" s="26" t="str">
        <x:f>'Inputs'!C15</x:f>
        <x:v>Unused 5</x:v>
      </x:c>
      <x:c r="I21" s="26" t="n">
        <x:f>S16</x:f>
        <x:v>0</x:v>
      </x:c>
      <x:c r="J21" s="29" t="n">
        <x:f>IF('Inputs'!$D$9="Ready",'Inputs'!E15,"n.a.")</x:f>
        <x:v>0</x:v>
      </x:c>
      <x:c r="K21" s="26" t="n">
        <x:f>IF('Inputs'!$D$9="Ready",'Inputs'!F15,"n.a.")</x:f>
        <x:v>0</x:v>
      </x:c>
      <x:c r="L21" s="29" t="n">
        <x:f>IF('Inputs'!$D$9="Ready",'Inputs'!G15,"n.a.")</x:f>
        <x:v>0</x:v>
      </x:c>
      <x:c r="M21" s="22" t="n">
        <x:f>IF(COUNT(I21:L21)=4,ROUND(I21*J21/12,2),"n.a.")</x:f>
        <x:v>0</x:v>
      </x:c>
      <x:c r="N21" s="22" t="n">
        <x:f>IF(COUNT(I21:M21)=5,MIN(I21+M21,ROUND(MAX(K21,I21*L21+M21),2)),"n.a.")</x:f>
        <x:v>0</x:v>
      </x:c>
      <x:c r="O21" s="30" t="n">
        <x:f>IF(COUNT($I$17:$I$21)&lt;&gt;5,"n.a.",IF(I21=0,6,IF('Inputs'!$D$5=1,COUNTIFS($I$17:$I$21,"&gt;0",$I$17:$I$21,"&lt;"&amp;I21)+COUNTIFS($I$17:I21,I21),COUNTIFS($I$17:$I$21,"&gt;0",$J$17:$J$21,"&gt;"&amp;J21)+COUNTIFS($I$17:I21,"&gt;0",$J$17:J21,J21))))</x:f>
        <x:v>6</x:v>
      </x:c>
      <x:c r="P21" s="22" t="n">
        <x:f>IF(T21="Ready",MIN(U21,MAX(0,G21-SUMIFS($U$17:$U$21,$O$17:$O$21,"&lt;"&amp;O21))),"n.a.")</x:f>
        <x:v>0</x:v>
      </x:c>
      <x:c r="Q21" s="22" t="n">
        <x:f>IF(T21="Ready",ROUND(N21+P21,2),"n.a.")</x:f>
        <x:v>0</x:v>
      </x:c>
      <x:c r="R21" s="22" t="n">
        <x:f>IF(T21="Ready",ROUND(Q21-M21,2),"n.a.")</x:f>
        <x:v>0</x:v>
      </x:c>
      <x:c r="S21" s="22" t="n">
        <x:f>IF(T21="Ready",MAX(0,ROUND(I21+M21-Q21,2)),"n.a.")</x:f>
        <x:v>0</x:v>
      </x:c>
      <x:c r="T21" s="22" t="str">
        <x:f>IF(AND(COUNT($I$17:$I$21)=5,COUNT(E21:F21)=2),IF(E21&gt;=F21,"Ready","Budget below minima"),"Check inputs")</x:f>
        <x:v>Ready</x:v>
      </x:c>
      <x:c r="U21" s="22" t="n">
        <x:f>IF(COUNT(I21,M21,N21)=3,MAX(0,ROUND(I21+M21-N21,2)),"n.a.")</x:f>
        <x:v>0</x:v>
      </x:c>
    </x:row>
    <x:row r="22" ht="22" customHeight="1">
      <x:c r="A22" s="2"/>
      <x:c r="B22" s="2"/>
      <x:c r="C22" s="27" t="n">
        <x:f>4</x:f>
        <x:v>4</x:v>
      </x:c>
      <x:c r="D22" s="28" t="n">
        <x:f>IF(ISNUMBER('Inputs'!$D$7),EDATE('Inputs'!$D$7,3),"n.a.")</x:f>
        <x:v>46419</x:v>
      </x:c>
      <x:c r="E22" s="26" t="n">
        <x:f>IF('Inputs'!$D$9&lt;&gt;"Ready","n.a.",IF(ISNUMBER('Inputs'!E22),IF('Inputs'!E22&gt;=0,'Inputs'!E22,"n.a."),IF('Inputs'!E22="",'Inputs'!$D$6,"n.a.")))</x:f>
        <x:v>500</x:v>
      </x:c>
      <x:c r="F22" s="22" t="n">
        <x:f>IF(COUNT($N$22:$N$26)=5,SUM($N$22:$N$26),"n.a.")</x:f>
        <x:v>283.82</x:v>
      </x:c>
      <x:c r="G22" s="22" t="n">
        <x:f>IF(COUNT(E22:F22)=2,MAX(0,E22-F22),"n.a.")</x:f>
        <x:v>216.18</x:v>
      </x:c>
      <x:c r="H22" s="26" t="str">
        <x:f>'Inputs'!C11</x:f>
        <x:v>Card A</x:v>
      </x:c>
      <x:c r="I22" s="26" t="n">
        <x:f>S17</x:f>
        <x:v>517.35</x:v>
      </x:c>
      <x:c r="J22" s="29" t="n">
        <x:f>IF('Inputs'!$D$9="Ready",'Inputs'!E11,"n.a.")</x:f>
        <x:v>0.24</x:v>
      </x:c>
      <x:c r="K22" s="26" t="n">
        <x:f>IF('Inputs'!$D$9="Ready",'Inputs'!F11,"n.a.")</x:f>
        <x:v>35</x:v>
      </x:c>
      <x:c r="L22" s="29" t="n">
        <x:f>IF('Inputs'!$D$9="Ready",'Inputs'!G11,"n.a.")</x:f>
        <x:v>0.02</x:v>
      </x:c>
      <x:c r="M22" s="22" t="n">
        <x:f>IF(COUNT(I22:L22)=4,ROUND(I22*J22/12,2),"n.a.")</x:f>
        <x:v>10.35</x:v>
      </x:c>
      <x:c r="N22" s="22" t="n">
        <x:f>IF(COUNT(I22:M22)=5,MIN(I22+M22,ROUND(MAX(K22,I22*L22+M22),2)),"n.a.")</x:f>
        <x:v>35</x:v>
      </x:c>
      <x:c r="O22" s="30" t="n">
        <x:f>IF(COUNT($I$22:$I$26)&lt;&gt;5,"n.a.",IF(I22=0,6,IF('Inputs'!$D$5=1,COUNTIFS($I$22:$I$26,"&gt;0",$I$22:$I$26,"&lt;"&amp;I22)+COUNTIFS($I$22:I22,I22),COUNTIFS($I$22:$I$26,"&gt;0",$J$22:$J$26,"&gt;"&amp;J22)+COUNTIFS($I$22:I22,"&gt;0",$J$22:J22,J22))))</x:f>
        <x:v>1</x:v>
      </x:c>
      <x:c r="P22" s="22" t="n">
        <x:f>IF(T22="Ready",MIN(U22,MAX(0,G22-SUMIFS($U$22:$U$26,$O$22:$O$26,"&lt;"&amp;O22))),"n.a.")</x:f>
        <x:v>216.18</x:v>
      </x:c>
      <x:c r="Q22" s="22" t="n">
        <x:f>IF(T22="Ready",ROUND(N22+P22,2),"n.a.")</x:f>
        <x:v>251.18</x:v>
      </x:c>
      <x:c r="R22" s="22" t="n">
        <x:f>IF(T22="Ready",ROUND(Q22-M22,2),"n.a.")</x:f>
        <x:v>240.83</x:v>
      </x:c>
      <x:c r="S22" s="22" t="n">
        <x:f>IF(T22="Ready",MAX(0,ROUND(I22+M22-Q22,2)),"n.a.")</x:f>
        <x:v>276.52</x:v>
      </x:c>
      <x:c r="T22" s="22" t="str">
        <x:f>IF(AND(COUNT($I$22:$I$26)=5,COUNT(E22:F22)=2),IF(E22&gt;=F22,"Ready","Budget below minima"),"Check inputs")</x:f>
        <x:v>Ready</x:v>
      </x:c>
      <x:c r="U22" s="22" t="n">
        <x:f>IF(COUNT(I22,M22,N22)=3,MAX(0,ROUND(I22+M22-N22,2)),"n.a.")</x:f>
        <x:v>492.7</x:v>
      </x:c>
    </x:row>
    <x:row r="23" ht="22" customHeight="1">
      <x:c r="A23" s="2"/>
      <x:c r="B23" s="2"/>
      <x:c r="C23" s="27" t="n">
        <x:f>4</x:f>
        <x:v>4</x:v>
      </x:c>
      <x:c r="D23" s="28" t="n">
        <x:f>IF(ISNUMBER('Inputs'!$D$7),EDATE('Inputs'!$D$7,3),"n.a.")</x:f>
        <x:v>46419</x:v>
      </x:c>
      <x:c r="E23" s="26" t="n">
        <x:f>IF('Inputs'!$D$9&lt;&gt;"Ready","n.a.",IF(ISNUMBER('Inputs'!E22),IF('Inputs'!E22&gt;=0,'Inputs'!E22,"n.a."),IF('Inputs'!E22="",'Inputs'!$D$6,"n.a.")))</x:f>
        <x:v>500</x:v>
      </x:c>
      <x:c r="F23" s="22" t="n">
        <x:f>IF(COUNT($N$22:$N$26)=5,SUM($N$22:$N$26),"n.a.")</x:f>
        <x:v>283.82</x:v>
      </x:c>
      <x:c r="G23" s="22" t="n">
        <x:f>IF(COUNT(E23:F23)=2,MAX(0,E23-F23),"n.a.")</x:f>
        <x:v>216.18</x:v>
      </x:c>
      <x:c r="H23" s="26" t="str">
        <x:f>'Inputs'!C12</x:f>
        <x:v>Card B</x:v>
      </x:c>
      <x:c r="I23" s="26" t="n">
        <x:f>S18</x:f>
        <x:v>2823.58</x:v>
      </x:c>
      <x:c r="J23" s="29" t="n">
        <x:f>IF('Inputs'!$D$9="Ready",'Inputs'!E12,"n.a.")</x:f>
        <x:v>0.18</x:v>
      </x:c>
      <x:c r="K23" s="26" t="n">
        <x:f>IF('Inputs'!$D$9="Ready",'Inputs'!F12,"n.a.")</x:f>
        <x:v>60</x:v>
      </x:c>
      <x:c r="L23" s="29" t="n">
        <x:f>IF('Inputs'!$D$9="Ready",'Inputs'!G12,"n.a.")</x:f>
        <x:v>0.02</x:v>
      </x:c>
      <x:c r="M23" s="22" t="n">
        <x:f>IF(COUNT(I23:L23)=4,ROUND(I23*J23/12,2),"n.a.")</x:f>
        <x:v>42.35</x:v>
      </x:c>
      <x:c r="N23" s="22" t="n">
        <x:f>IF(COUNT(I23:M23)=5,MIN(I23+M23,ROUND(MAX(K23,I23*L23+M23),2)),"n.a.")</x:f>
        <x:v>98.82</x:v>
      </x:c>
      <x:c r="O23" s="30" t="n">
        <x:f>IF(COUNT($I$22:$I$26)&lt;&gt;5,"n.a.",IF(I23=0,6,IF('Inputs'!$D$5=1,COUNTIFS($I$22:$I$26,"&gt;0",$I$22:$I$26,"&lt;"&amp;I23)+COUNTIFS($I$22:I23,I23),COUNTIFS($I$22:$I$26,"&gt;0",$J$22:$J$26,"&gt;"&amp;J23)+COUNTIFS($I$22:I23,"&gt;0",$J$22:J23,J23))))</x:f>
        <x:v>2</x:v>
      </x:c>
      <x:c r="P23" s="22" t="n">
        <x:f>IF(T23="Ready",MIN(U23,MAX(0,G23-SUMIFS($U$22:$U$26,$O$22:$O$26,"&lt;"&amp;O23))),"n.a.")</x:f>
        <x:v>0</x:v>
      </x:c>
      <x:c r="Q23" s="22" t="n">
        <x:f>IF(T23="Ready",ROUND(N23+P23,2),"n.a.")</x:f>
        <x:v>98.82</x:v>
      </x:c>
      <x:c r="R23" s="22" t="n">
        <x:f>IF(T23="Ready",ROUND(Q23-M23,2),"n.a.")</x:f>
        <x:v>56.47</x:v>
      </x:c>
      <x:c r="S23" s="22" t="n">
        <x:f>IF(T23="Ready",MAX(0,ROUND(I23+M23-Q23,2)),"n.a.")</x:f>
        <x:v>2767.11</x:v>
      </x:c>
      <x:c r="T23" s="22" t="str">
        <x:f>IF(AND(COUNT($I$22:$I$26)=5,COUNT(E23:F23)=2),IF(E23&gt;=F23,"Ready","Budget below minima"),"Check inputs")</x:f>
        <x:v>Ready</x:v>
      </x:c>
      <x:c r="U23" s="22" t="n">
        <x:f>IF(COUNT(I23,M23,N23)=3,MAX(0,ROUND(I23+M23-N23,2)),"n.a.")</x:f>
        <x:v>2767.11</x:v>
      </x:c>
    </x:row>
    <x:row r="24" ht="22" customHeight="1">
      <x:c r="A24" s="2"/>
      <x:c r="B24" s="2"/>
      <x:c r="C24" s="27" t="n">
        <x:f>4</x:f>
        <x:v>4</x:v>
      </x:c>
      <x:c r="D24" s="28" t="n">
        <x:f>IF(ISNUMBER('Inputs'!$D$7),EDATE('Inputs'!$D$7,3),"n.a.")</x:f>
        <x:v>46419</x:v>
      </x:c>
      <x:c r="E24" s="26" t="n">
        <x:f>IF('Inputs'!$D$9&lt;&gt;"Ready","n.a.",IF(ISNUMBER('Inputs'!E22),IF('Inputs'!E22&gt;=0,'Inputs'!E22,"n.a."),IF('Inputs'!E22="",'Inputs'!$D$6,"n.a.")))</x:f>
        <x:v>500</x:v>
      </x:c>
      <x:c r="F24" s="22" t="n">
        <x:f>IF(COUNT($N$22:$N$26)=5,SUM($N$22:$N$26),"n.a.")</x:f>
        <x:v>283.82</x:v>
      </x:c>
      <x:c r="G24" s="22" t="n">
        <x:f>IF(COUNT(E24:F24)=2,MAX(0,E24-F24),"n.a.")</x:f>
        <x:v>216.18</x:v>
      </x:c>
      <x:c r="H24" s="26" t="str">
        <x:f>'Inputs'!C13</x:f>
        <x:v>Loan C</x:v>
      </x:c>
      <x:c r="I24" s="26" t="n">
        <x:f>S19</x:f>
        <x:v>4647.66</x:v>
      </x:c>
      <x:c r="J24" s="29" t="n">
        <x:f>IF('Inputs'!$D$9="Ready",'Inputs'!E13,"n.a.")</x:f>
        <x:v>0.08</x:v>
      </x:c>
      <x:c r="K24" s="26" t="n">
        <x:f>IF('Inputs'!$D$9="Ready",'Inputs'!F13,"n.a.")</x:f>
        <x:v>150</x:v>
      </x:c>
      <x:c r="L24" s="29" t="n">
        <x:f>IF('Inputs'!$D$9="Ready",'Inputs'!G13,"n.a.")</x:f>
        <x:v>0</x:v>
      </x:c>
      <x:c r="M24" s="22" t="n">
        <x:f>IF(COUNT(I24:L24)=4,ROUND(I24*J24/12,2),"n.a.")</x:f>
        <x:v>30.98</x:v>
      </x:c>
      <x:c r="N24" s="22" t="n">
        <x:f>IF(COUNT(I24:M24)=5,MIN(I24+M24,ROUND(MAX(K24,I24*L24+M24),2)),"n.a.")</x:f>
        <x:v>150</x:v>
      </x:c>
      <x:c r="O24" s="30" t="n">
        <x:f>IF(COUNT($I$22:$I$26)&lt;&gt;5,"n.a.",IF(I24=0,6,IF('Inputs'!$D$5=1,COUNTIFS($I$22:$I$26,"&gt;0",$I$22:$I$26,"&lt;"&amp;I24)+COUNTIFS($I$22:I24,I24),COUNTIFS($I$22:$I$26,"&gt;0",$J$22:$J$26,"&gt;"&amp;J24)+COUNTIFS($I$22:I24,"&gt;0",$J$22:J24,J24))))</x:f>
        <x:v>3</x:v>
      </x:c>
      <x:c r="P24" s="22" t="n">
        <x:f>IF(T24="Ready",MIN(U24,MAX(0,G24-SUMIFS($U$22:$U$26,$O$22:$O$26,"&lt;"&amp;O24))),"n.a.")</x:f>
        <x:v>0</x:v>
      </x:c>
      <x:c r="Q24" s="22" t="n">
        <x:f>IF(T24="Ready",ROUND(N24+P24,2),"n.a.")</x:f>
        <x:v>150</x:v>
      </x:c>
      <x:c r="R24" s="22" t="n">
        <x:f>IF(T24="Ready",ROUND(Q24-M24,2),"n.a.")</x:f>
        <x:v>119.02</x:v>
      </x:c>
      <x:c r="S24" s="22" t="n">
        <x:f>IF(T24="Ready",MAX(0,ROUND(I24+M24-Q24,2)),"n.a.")</x:f>
        <x:v>4528.64</x:v>
      </x:c>
      <x:c r="T24" s="22" t="str">
        <x:f>IF(AND(COUNT($I$22:$I$26)=5,COUNT(E24:F24)=2),IF(E24&gt;=F24,"Ready","Budget below minima"),"Check inputs")</x:f>
        <x:v>Ready</x:v>
      </x:c>
      <x:c r="U24" s="22" t="n">
        <x:f>IF(COUNT(I24,M24,N24)=3,MAX(0,ROUND(I24+M24-N24,2)),"n.a.")</x:f>
        <x:v>4528.64</x:v>
      </x:c>
    </x:row>
    <x:row r="25" ht="22" customHeight="1">
      <x:c r="A25" s="2"/>
      <x:c r="B25" s="2"/>
      <x:c r="C25" s="27" t="n">
        <x:f>4</x:f>
        <x:v>4</x:v>
      </x:c>
      <x:c r="D25" s="28" t="n">
        <x:f>IF(ISNUMBER('Inputs'!$D$7),EDATE('Inputs'!$D$7,3),"n.a.")</x:f>
        <x:v>46419</x:v>
      </x:c>
      <x:c r="E25" s="26" t="n">
        <x:f>IF('Inputs'!$D$9&lt;&gt;"Ready","n.a.",IF(ISNUMBER('Inputs'!E22),IF('Inputs'!E22&gt;=0,'Inputs'!E22,"n.a."),IF('Inputs'!E22="",'Inputs'!$D$6,"n.a.")))</x:f>
        <x:v>500</x:v>
      </x:c>
      <x:c r="F25" s="22" t="n">
        <x:f>IF(COUNT($N$22:$N$26)=5,SUM($N$22:$N$26),"n.a.")</x:f>
        <x:v>283.82</x:v>
      </x:c>
      <x:c r="G25" s="22" t="n">
        <x:f>IF(COUNT(E25:F25)=2,MAX(0,E25-F25),"n.a.")</x:f>
        <x:v>216.18</x:v>
      </x:c>
      <x:c r="H25" s="26" t="str">
        <x:f>'Inputs'!C14</x:f>
        <x:v>Unused 4</x:v>
      </x:c>
      <x:c r="I25" s="26" t="n">
        <x:f>S20</x:f>
        <x:v>0</x:v>
      </x:c>
      <x:c r="J25" s="29" t="n">
        <x:f>IF('Inputs'!$D$9="Ready",'Inputs'!E14,"n.a.")</x:f>
        <x:v>0</x:v>
      </x:c>
      <x:c r="K25" s="26" t="n">
        <x:f>IF('Inputs'!$D$9="Ready",'Inputs'!F14,"n.a.")</x:f>
        <x:v>0</x:v>
      </x:c>
      <x:c r="L25" s="29" t="n">
        <x:f>IF('Inputs'!$D$9="Ready",'Inputs'!G14,"n.a.")</x:f>
        <x:v>0</x:v>
      </x:c>
      <x:c r="M25" s="22" t="n">
        <x:f>IF(COUNT(I25:L25)=4,ROUND(I25*J25/12,2),"n.a.")</x:f>
        <x:v>0</x:v>
      </x:c>
      <x:c r="N25" s="22" t="n">
        <x:f>IF(COUNT(I25:M25)=5,MIN(I25+M25,ROUND(MAX(K25,I25*L25+M25),2)),"n.a.")</x:f>
        <x:v>0</x:v>
      </x:c>
      <x:c r="O25" s="30" t="n">
        <x:f>IF(COUNT($I$22:$I$26)&lt;&gt;5,"n.a.",IF(I25=0,6,IF('Inputs'!$D$5=1,COUNTIFS($I$22:$I$26,"&gt;0",$I$22:$I$26,"&lt;"&amp;I25)+COUNTIFS($I$22:I25,I25),COUNTIFS($I$22:$I$26,"&gt;0",$J$22:$J$26,"&gt;"&amp;J25)+COUNTIFS($I$22:I25,"&gt;0",$J$22:J25,J25))))</x:f>
        <x:v>6</x:v>
      </x:c>
      <x:c r="P25" s="22" t="n">
        <x:f>IF(T25="Ready",MIN(U25,MAX(0,G25-SUMIFS($U$22:$U$26,$O$22:$O$26,"&lt;"&amp;O25))),"n.a.")</x:f>
        <x:v>0</x:v>
      </x:c>
      <x:c r="Q25" s="22" t="n">
        <x:f>IF(T25="Ready",ROUND(N25+P25,2),"n.a.")</x:f>
        <x:v>0</x:v>
      </x:c>
      <x:c r="R25" s="22" t="n">
        <x:f>IF(T25="Ready",ROUND(Q25-M25,2),"n.a.")</x:f>
        <x:v>0</x:v>
      </x:c>
      <x:c r="S25" s="22" t="n">
        <x:f>IF(T25="Ready",MAX(0,ROUND(I25+M25-Q25,2)),"n.a.")</x:f>
        <x:v>0</x:v>
      </x:c>
      <x:c r="T25" s="22" t="str">
        <x:f>IF(AND(COUNT($I$22:$I$26)=5,COUNT(E25:F25)=2),IF(E25&gt;=F25,"Ready","Budget below minima"),"Check inputs")</x:f>
        <x:v>Ready</x:v>
      </x:c>
      <x:c r="U25" s="22" t="n">
        <x:f>IF(COUNT(I25,M25,N25)=3,MAX(0,ROUND(I25+M25-N25,2)),"n.a.")</x:f>
        <x:v>0</x:v>
      </x:c>
    </x:row>
    <x:row r="26" ht="22" customHeight="1">
      <x:c r="A26" s="2"/>
      <x:c r="B26" s="2"/>
      <x:c r="C26" s="27" t="n">
        <x:f>4</x:f>
        <x:v>4</x:v>
      </x:c>
      <x:c r="D26" s="28" t="n">
        <x:f>IF(ISNUMBER('Inputs'!$D$7),EDATE('Inputs'!$D$7,3),"n.a.")</x:f>
        <x:v>46419</x:v>
      </x:c>
      <x:c r="E26" s="26" t="n">
        <x:f>IF('Inputs'!$D$9&lt;&gt;"Ready","n.a.",IF(ISNUMBER('Inputs'!E22),IF('Inputs'!E22&gt;=0,'Inputs'!E22,"n.a."),IF('Inputs'!E22="",'Inputs'!$D$6,"n.a.")))</x:f>
        <x:v>500</x:v>
      </x:c>
      <x:c r="F26" s="22" t="n">
        <x:f>IF(COUNT($N$22:$N$26)=5,SUM($N$22:$N$26),"n.a.")</x:f>
        <x:v>283.82</x:v>
      </x:c>
      <x:c r="G26" s="22" t="n">
        <x:f>IF(COUNT(E26:F26)=2,MAX(0,E26-F26),"n.a.")</x:f>
        <x:v>216.18</x:v>
      </x:c>
      <x:c r="H26" s="26" t="str">
        <x:f>'Inputs'!C15</x:f>
        <x:v>Unused 5</x:v>
      </x:c>
      <x:c r="I26" s="26" t="n">
        <x:f>S21</x:f>
        <x:v>0</x:v>
      </x:c>
      <x:c r="J26" s="29" t="n">
        <x:f>IF('Inputs'!$D$9="Ready",'Inputs'!E15,"n.a.")</x:f>
        <x:v>0</x:v>
      </x:c>
      <x:c r="K26" s="26" t="n">
        <x:f>IF('Inputs'!$D$9="Ready",'Inputs'!F15,"n.a.")</x:f>
        <x:v>0</x:v>
      </x:c>
      <x:c r="L26" s="29" t="n">
        <x:f>IF('Inputs'!$D$9="Ready",'Inputs'!G15,"n.a.")</x:f>
        <x:v>0</x:v>
      </x:c>
      <x:c r="M26" s="22" t="n">
        <x:f>IF(COUNT(I26:L26)=4,ROUND(I26*J26/12,2),"n.a.")</x:f>
        <x:v>0</x:v>
      </x:c>
      <x:c r="N26" s="22" t="n">
        <x:f>IF(COUNT(I26:M26)=5,MIN(I26+M26,ROUND(MAX(K26,I26*L26+M26),2)),"n.a.")</x:f>
        <x:v>0</x:v>
      </x:c>
      <x:c r="O26" s="30" t="n">
        <x:f>IF(COUNT($I$22:$I$26)&lt;&gt;5,"n.a.",IF(I26=0,6,IF('Inputs'!$D$5=1,COUNTIFS($I$22:$I$26,"&gt;0",$I$22:$I$26,"&lt;"&amp;I26)+COUNTIFS($I$22:I26,I26),COUNTIFS($I$22:$I$26,"&gt;0",$J$22:$J$26,"&gt;"&amp;J26)+COUNTIFS($I$22:I26,"&gt;0",$J$22:J26,J26))))</x:f>
        <x:v>6</x:v>
      </x:c>
      <x:c r="P26" s="22" t="n">
        <x:f>IF(T26="Ready",MIN(U26,MAX(0,G26-SUMIFS($U$22:$U$26,$O$22:$O$26,"&lt;"&amp;O26))),"n.a.")</x:f>
        <x:v>0</x:v>
      </x:c>
      <x:c r="Q26" s="22" t="n">
        <x:f>IF(T26="Ready",ROUND(N26+P26,2),"n.a.")</x:f>
        <x:v>0</x:v>
      </x:c>
      <x:c r="R26" s="22" t="n">
        <x:f>IF(T26="Ready",ROUND(Q26-M26,2),"n.a.")</x:f>
        <x:v>0</x:v>
      </x:c>
      <x:c r="S26" s="22" t="n">
        <x:f>IF(T26="Ready",MAX(0,ROUND(I26+M26-Q26,2)),"n.a.")</x:f>
        <x:v>0</x:v>
      </x:c>
      <x:c r="T26" s="22" t="str">
        <x:f>IF(AND(COUNT($I$22:$I$26)=5,COUNT(E26:F26)=2),IF(E26&gt;=F26,"Ready","Budget below minima"),"Check inputs")</x:f>
        <x:v>Ready</x:v>
      </x:c>
      <x:c r="U26" s="22" t="n">
        <x:f>IF(COUNT(I26,M26,N26)=3,MAX(0,ROUND(I26+M26-N26,2)),"n.a.")</x:f>
        <x:v>0</x:v>
      </x:c>
    </x:row>
    <x:row r="27" ht="22" customHeight="1">
      <x:c r="A27" s="2"/>
      <x:c r="B27" s="2"/>
      <x:c r="C27" s="27" t="n">
        <x:f>5</x:f>
        <x:v>5</x:v>
      </x:c>
      <x:c r="D27" s="28" t="n">
        <x:f>IF(ISNUMBER('Inputs'!$D$7),EDATE('Inputs'!$D$7,4),"n.a.")</x:f>
        <x:v>46447</x:v>
      </x:c>
      <x:c r="E27" s="26" t="n">
        <x:f>IF('Inputs'!$D$9&lt;&gt;"Ready","n.a.",IF(ISNUMBER('Inputs'!E23),IF('Inputs'!E23&gt;=0,'Inputs'!E23,"n.a."),IF('Inputs'!E23="",'Inputs'!$D$6,"n.a.")))</x:f>
        <x:v>500</x:v>
      </x:c>
      <x:c r="F27" s="22" t="n">
        <x:f>IF(COUNT($N$27:$N$31)=5,SUM($N$27:$N$31),"n.a.")</x:f>
        <x:v>281.85</x:v>
      </x:c>
      <x:c r="G27" s="22" t="n">
        <x:f>IF(COUNT(E27:F27)=2,MAX(0,E27-F27),"n.a.")</x:f>
        <x:v>218.14999999999998</x:v>
      </x:c>
      <x:c r="H27" s="26" t="str">
        <x:f>'Inputs'!C11</x:f>
        <x:v>Card A</x:v>
      </x:c>
      <x:c r="I27" s="26" t="n">
        <x:f>S22</x:f>
        <x:v>276.52</x:v>
      </x:c>
      <x:c r="J27" s="29" t="n">
        <x:f>IF('Inputs'!$D$9="Ready",'Inputs'!E11,"n.a.")</x:f>
        <x:v>0.24</x:v>
      </x:c>
      <x:c r="K27" s="26" t="n">
        <x:f>IF('Inputs'!$D$9="Ready",'Inputs'!F11,"n.a.")</x:f>
        <x:v>35</x:v>
      </x:c>
      <x:c r="L27" s="29" t="n">
        <x:f>IF('Inputs'!$D$9="Ready",'Inputs'!G11,"n.a.")</x:f>
        <x:v>0.02</x:v>
      </x:c>
      <x:c r="M27" s="22" t="n">
        <x:f>IF(COUNT(I27:L27)=4,ROUND(I27*J27/12,2),"n.a.")</x:f>
        <x:v>5.53</x:v>
      </x:c>
      <x:c r="N27" s="22" t="n">
        <x:f>IF(COUNT(I27:M27)=5,MIN(I27+M27,ROUND(MAX(K27,I27*L27+M27),2)),"n.a.")</x:f>
        <x:v>35</x:v>
      </x:c>
      <x:c r="O27" s="30" t="n">
        <x:f>IF(COUNT($I$27:$I$31)&lt;&gt;5,"n.a.",IF(I27=0,6,IF('Inputs'!$D$5=1,COUNTIFS($I$27:$I$31,"&gt;0",$I$27:$I$31,"&lt;"&amp;I27)+COUNTIFS($I$27:I27,I27),COUNTIFS($I$27:$I$31,"&gt;0",$J$27:$J$31,"&gt;"&amp;J27)+COUNTIFS($I$27:I27,"&gt;0",$J$27:J27,J27))))</x:f>
        <x:v>1</x:v>
      </x:c>
      <x:c r="P27" s="22" t="n">
        <x:f>IF(T27="Ready",MIN(U27,MAX(0,G27-SUMIFS($U$27:$U$31,$O$27:$O$31,"&lt;"&amp;O27))),"n.a.")</x:f>
        <x:v>218.14999999999998</x:v>
      </x:c>
      <x:c r="Q27" s="22" t="n">
        <x:f>IF(T27="Ready",ROUND(N27+P27,2),"n.a.")</x:f>
        <x:v>253.15</x:v>
      </x:c>
      <x:c r="R27" s="22" t="n">
        <x:f>IF(T27="Ready",ROUND(Q27-M27,2),"n.a.")</x:f>
        <x:v>247.62</x:v>
      </x:c>
      <x:c r="S27" s="22" t="n">
        <x:f>IF(T27="Ready",MAX(0,ROUND(I27+M27-Q27,2)),"n.a.")</x:f>
        <x:v>28.9</x:v>
      </x:c>
      <x:c r="T27" s="22" t="str">
        <x:f>IF(AND(COUNT($I$27:$I$31)=5,COUNT(E27:F27)=2),IF(E27&gt;=F27,"Ready","Budget below minima"),"Check inputs")</x:f>
        <x:v>Ready</x:v>
      </x:c>
      <x:c r="U27" s="22" t="n">
        <x:f>IF(COUNT(I27,M27,N27)=3,MAX(0,ROUND(I27+M27-N27,2)),"n.a.")</x:f>
        <x:v>247.05</x:v>
      </x:c>
    </x:row>
    <x:row r="28" ht="22" customHeight="1">
      <x:c r="A28" s="2"/>
      <x:c r="B28" s="2"/>
      <x:c r="C28" s="27" t="n">
        <x:f>5</x:f>
        <x:v>5</x:v>
      </x:c>
      <x:c r="D28" s="28" t="n">
        <x:f>IF(ISNUMBER('Inputs'!$D$7),EDATE('Inputs'!$D$7,4),"n.a.")</x:f>
        <x:v>46447</x:v>
      </x:c>
      <x:c r="E28" s="26" t="n">
        <x:f>IF('Inputs'!$D$9&lt;&gt;"Ready","n.a.",IF(ISNUMBER('Inputs'!E23),IF('Inputs'!E23&gt;=0,'Inputs'!E23,"n.a."),IF('Inputs'!E23="",'Inputs'!$D$6,"n.a.")))</x:f>
        <x:v>500</x:v>
      </x:c>
      <x:c r="F28" s="22" t="n">
        <x:f>IF(COUNT($N$27:$N$31)=5,SUM($N$27:$N$31),"n.a.")</x:f>
        <x:v>281.85</x:v>
      </x:c>
      <x:c r="G28" s="22" t="n">
        <x:f>IF(COUNT(E28:F28)=2,MAX(0,E28-F28),"n.a.")</x:f>
        <x:v>218.14999999999998</x:v>
      </x:c>
      <x:c r="H28" s="26" t="str">
        <x:f>'Inputs'!C12</x:f>
        <x:v>Card B</x:v>
      </x:c>
      <x:c r="I28" s="26" t="n">
        <x:f>S23</x:f>
        <x:v>2767.11</x:v>
      </x:c>
      <x:c r="J28" s="29" t="n">
        <x:f>IF('Inputs'!$D$9="Ready",'Inputs'!E12,"n.a.")</x:f>
        <x:v>0.18</x:v>
      </x:c>
      <x:c r="K28" s="26" t="n">
        <x:f>IF('Inputs'!$D$9="Ready",'Inputs'!F12,"n.a.")</x:f>
        <x:v>60</x:v>
      </x:c>
      <x:c r="L28" s="29" t="n">
        <x:f>IF('Inputs'!$D$9="Ready",'Inputs'!G12,"n.a.")</x:f>
        <x:v>0.02</x:v>
      </x:c>
      <x:c r="M28" s="22" t="n">
        <x:f>IF(COUNT(I28:L28)=4,ROUND(I28*J28/12,2),"n.a.")</x:f>
        <x:v>41.51</x:v>
      </x:c>
      <x:c r="N28" s="22" t="n">
        <x:f>IF(COUNT(I28:M28)=5,MIN(I28+M28,ROUND(MAX(K28,I28*L28+M28),2)),"n.a.")</x:f>
        <x:v>96.85</x:v>
      </x:c>
      <x:c r="O28" s="30" t="n">
        <x:f>IF(COUNT($I$27:$I$31)&lt;&gt;5,"n.a.",IF(I28=0,6,IF('Inputs'!$D$5=1,COUNTIFS($I$27:$I$31,"&gt;0",$I$27:$I$31,"&lt;"&amp;I28)+COUNTIFS($I$27:I28,I28),COUNTIFS($I$27:$I$31,"&gt;0",$J$27:$J$31,"&gt;"&amp;J28)+COUNTIFS($I$27:I28,"&gt;0",$J$27:J28,J28))))</x:f>
        <x:v>2</x:v>
      </x:c>
      <x:c r="P28" s="22" t="n">
        <x:f>IF(T28="Ready",MIN(U28,MAX(0,G28-SUMIFS($U$27:$U$31,$O$27:$O$31,"&lt;"&amp;O28))),"n.a.")</x:f>
        <x:v>0</x:v>
      </x:c>
      <x:c r="Q28" s="22" t="n">
        <x:f>IF(T28="Ready",ROUND(N28+P28,2),"n.a.")</x:f>
        <x:v>96.85</x:v>
      </x:c>
      <x:c r="R28" s="22" t="n">
        <x:f>IF(T28="Ready",ROUND(Q28-M28,2),"n.a.")</x:f>
        <x:v>55.34</x:v>
      </x:c>
      <x:c r="S28" s="22" t="n">
        <x:f>IF(T28="Ready",MAX(0,ROUND(I28+M28-Q28,2)),"n.a.")</x:f>
        <x:v>2711.77</x:v>
      </x:c>
      <x:c r="T28" s="22" t="str">
        <x:f>IF(AND(COUNT($I$27:$I$31)=5,COUNT(E28:F28)=2),IF(E28&gt;=F28,"Ready","Budget below minima"),"Check inputs")</x:f>
        <x:v>Ready</x:v>
      </x:c>
      <x:c r="U28" s="22" t="n">
        <x:f>IF(COUNT(I28,M28,N28)=3,MAX(0,ROUND(I28+M28-N28,2)),"n.a.")</x:f>
        <x:v>2711.77</x:v>
      </x:c>
    </x:row>
    <x:row r="29" ht="22" customHeight="1">
      <x:c r="A29" s="2"/>
      <x:c r="B29" s="2"/>
      <x:c r="C29" s="27" t="n">
        <x:f>5</x:f>
        <x:v>5</x:v>
      </x:c>
      <x:c r="D29" s="28" t="n">
        <x:f>IF(ISNUMBER('Inputs'!$D$7),EDATE('Inputs'!$D$7,4),"n.a.")</x:f>
        <x:v>46447</x:v>
      </x:c>
      <x:c r="E29" s="26" t="n">
        <x:f>IF('Inputs'!$D$9&lt;&gt;"Ready","n.a.",IF(ISNUMBER('Inputs'!E23),IF('Inputs'!E23&gt;=0,'Inputs'!E23,"n.a."),IF('Inputs'!E23="",'Inputs'!$D$6,"n.a.")))</x:f>
        <x:v>500</x:v>
      </x:c>
      <x:c r="F29" s="22" t="n">
        <x:f>IF(COUNT($N$27:$N$31)=5,SUM($N$27:$N$31),"n.a.")</x:f>
        <x:v>281.85</x:v>
      </x:c>
      <x:c r="G29" s="22" t="n">
        <x:f>IF(COUNT(E29:F29)=2,MAX(0,E29-F29),"n.a.")</x:f>
        <x:v>218.14999999999998</x:v>
      </x:c>
      <x:c r="H29" s="26" t="str">
        <x:f>'Inputs'!C13</x:f>
        <x:v>Loan C</x:v>
      </x:c>
      <x:c r="I29" s="26" t="n">
        <x:f>S24</x:f>
        <x:v>4528.64</x:v>
      </x:c>
      <x:c r="J29" s="29" t="n">
        <x:f>IF('Inputs'!$D$9="Ready",'Inputs'!E13,"n.a.")</x:f>
        <x:v>0.08</x:v>
      </x:c>
      <x:c r="K29" s="26" t="n">
        <x:f>IF('Inputs'!$D$9="Ready",'Inputs'!F13,"n.a.")</x:f>
        <x:v>150</x:v>
      </x:c>
      <x:c r="L29" s="29" t="n">
        <x:f>IF('Inputs'!$D$9="Ready",'Inputs'!G13,"n.a.")</x:f>
        <x:v>0</x:v>
      </x:c>
      <x:c r="M29" s="22" t="n">
        <x:f>IF(COUNT(I29:L29)=4,ROUND(I29*J29/12,2),"n.a.")</x:f>
        <x:v>30.19</x:v>
      </x:c>
      <x:c r="N29" s="22" t="n">
        <x:f>IF(COUNT(I29:M29)=5,MIN(I29+M29,ROUND(MAX(K29,I29*L29+M29),2)),"n.a.")</x:f>
        <x:v>150</x:v>
      </x:c>
      <x:c r="O29" s="30" t="n">
        <x:f>IF(COUNT($I$27:$I$31)&lt;&gt;5,"n.a.",IF(I29=0,6,IF('Inputs'!$D$5=1,COUNTIFS($I$27:$I$31,"&gt;0",$I$27:$I$31,"&lt;"&amp;I29)+COUNTIFS($I$27:I29,I29),COUNTIFS($I$27:$I$31,"&gt;0",$J$27:$J$31,"&gt;"&amp;J29)+COUNTIFS($I$27:I29,"&gt;0",$J$27:J29,J29))))</x:f>
        <x:v>3</x:v>
      </x:c>
      <x:c r="P29" s="22" t="n">
        <x:f>IF(T29="Ready",MIN(U29,MAX(0,G29-SUMIFS($U$27:$U$31,$O$27:$O$31,"&lt;"&amp;O29))),"n.a.")</x:f>
        <x:v>0</x:v>
      </x:c>
      <x:c r="Q29" s="22" t="n">
        <x:f>IF(T29="Ready",ROUND(N29+P29,2),"n.a.")</x:f>
        <x:v>150</x:v>
      </x:c>
      <x:c r="R29" s="22" t="n">
        <x:f>IF(T29="Ready",ROUND(Q29-M29,2),"n.a.")</x:f>
        <x:v>119.81</x:v>
      </x:c>
      <x:c r="S29" s="22" t="n">
        <x:f>IF(T29="Ready",MAX(0,ROUND(I29+M29-Q29,2)),"n.a.")</x:f>
        <x:v>4408.83</x:v>
      </x:c>
      <x:c r="T29" s="22" t="str">
        <x:f>IF(AND(COUNT($I$27:$I$31)=5,COUNT(E29:F29)=2),IF(E29&gt;=F29,"Ready","Budget below minima"),"Check inputs")</x:f>
        <x:v>Ready</x:v>
      </x:c>
      <x:c r="U29" s="22" t="n">
        <x:f>IF(COUNT(I29,M29,N29)=3,MAX(0,ROUND(I29+M29-N29,2)),"n.a.")</x:f>
        <x:v>4408.83</x:v>
      </x:c>
    </x:row>
    <x:row r="30" ht="22" customHeight="1">
      <x:c r="A30" s="2"/>
      <x:c r="B30" s="2"/>
      <x:c r="C30" s="27" t="n">
        <x:f>5</x:f>
        <x:v>5</x:v>
      </x:c>
      <x:c r="D30" s="28" t="n">
        <x:f>IF(ISNUMBER('Inputs'!$D$7),EDATE('Inputs'!$D$7,4),"n.a.")</x:f>
        <x:v>46447</x:v>
      </x:c>
      <x:c r="E30" s="26" t="n">
        <x:f>IF('Inputs'!$D$9&lt;&gt;"Ready","n.a.",IF(ISNUMBER('Inputs'!E23),IF('Inputs'!E23&gt;=0,'Inputs'!E23,"n.a."),IF('Inputs'!E23="",'Inputs'!$D$6,"n.a.")))</x:f>
        <x:v>500</x:v>
      </x:c>
      <x:c r="F30" s="22" t="n">
        <x:f>IF(COUNT($N$27:$N$31)=5,SUM($N$27:$N$31),"n.a.")</x:f>
        <x:v>281.85</x:v>
      </x:c>
      <x:c r="G30" s="22" t="n">
        <x:f>IF(COUNT(E30:F30)=2,MAX(0,E30-F30),"n.a.")</x:f>
        <x:v>218.14999999999998</x:v>
      </x:c>
      <x:c r="H30" s="26" t="str">
        <x:f>'Inputs'!C14</x:f>
        <x:v>Unused 4</x:v>
      </x:c>
      <x:c r="I30" s="26" t="n">
        <x:f>S25</x:f>
        <x:v>0</x:v>
      </x:c>
      <x:c r="J30" s="29" t="n">
        <x:f>IF('Inputs'!$D$9="Ready",'Inputs'!E14,"n.a.")</x:f>
        <x:v>0</x:v>
      </x:c>
      <x:c r="K30" s="26" t="n">
        <x:f>IF('Inputs'!$D$9="Ready",'Inputs'!F14,"n.a.")</x:f>
        <x:v>0</x:v>
      </x:c>
      <x:c r="L30" s="29" t="n">
        <x:f>IF('Inputs'!$D$9="Ready",'Inputs'!G14,"n.a.")</x:f>
        <x:v>0</x:v>
      </x:c>
      <x:c r="M30" s="22" t="n">
        <x:f>IF(COUNT(I30:L30)=4,ROUND(I30*J30/12,2),"n.a.")</x:f>
        <x:v>0</x:v>
      </x:c>
      <x:c r="N30" s="22" t="n">
        <x:f>IF(COUNT(I30:M30)=5,MIN(I30+M30,ROUND(MAX(K30,I30*L30+M30),2)),"n.a.")</x:f>
        <x:v>0</x:v>
      </x:c>
      <x:c r="O30" s="30" t="n">
        <x:f>IF(COUNT($I$27:$I$31)&lt;&gt;5,"n.a.",IF(I30=0,6,IF('Inputs'!$D$5=1,COUNTIFS($I$27:$I$31,"&gt;0",$I$27:$I$31,"&lt;"&amp;I30)+COUNTIFS($I$27:I30,I30),COUNTIFS($I$27:$I$31,"&gt;0",$J$27:$J$31,"&gt;"&amp;J30)+COUNTIFS($I$27:I30,"&gt;0",$J$27:J30,J30))))</x:f>
        <x:v>6</x:v>
      </x:c>
      <x:c r="P30" s="22" t="n">
        <x:f>IF(T30="Ready",MIN(U30,MAX(0,G30-SUMIFS($U$27:$U$31,$O$27:$O$31,"&lt;"&amp;O30))),"n.a.")</x:f>
        <x:v>0</x:v>
      </x:c>
      <x:c r="Q30" s="22" t="n">
        <x:f>IF(T30="Ready",ROUND(N30+P30,2),"n.a.")</x:f>
        <x:v>0</x:v>
      </x:c>
      <x:c r="R30" s="22" t="n">
        <x:f>IF(T30="Ready",ROUND(Q30-M30,2),"n.a.")</x:f>
        <x:v>0</x:v>
      </x:c>
      <x:c r="S30" s="22" t="n">
        <x:f>IF(T30="Ready",MAX(0,ROUND(I30+M30-Q30,2)),"n.a.")</x:f>
        <x:v>0</x:v>
      </x:c>
      <x:c r="T30" s="22" t="str">
        <x:f>IF(AND(COUNT($I$27:$I$31)=5,COUNT(E30:F30)=2),IF(E30&gt;=F30,"Ready","Budget below minima"),"Check inputs")</x:f>
        <x:v>Ready</x:v>
      </x:c>
      <x:c r="U30" s="22" t="n">
        <x:f>IF(COUNT(I30,M30,N30)=3,MAX(0,ROUND(I30+M30-N30,2)),"n.a.")</x:f>
        <x:v>0</x:v>
      </x:c>
    </x:row>
    <x:row r="31" ht="22" customHeight="1">
      <x:c r="A31" s="2"/>
      <x:c r="B31" s="2"/>
      <x:c r="C31" s="27" t="n">
        <x:f>5</x:f>
        <x:v>5</x:v>
      </x:c>
      <x:c r="D31" s="28" t="n">
        <x:f>IF(ISNUMBER('Inputs'!$D$7),EDATE('Inputs'!$D$7,4),"n.a.")</x:f>
        <x:v>46447</x:v>
      </x:c>
      <x:c r="E31" s="26" t="n">
        <x:f>IF('Inputs'!$D$9&lt;&gt;"Ready","n.a.",IF(ISNUMBER('Inputs'!E23),IF('Inputs'!E23&gt;=0,'Inputs'!E23,"n.a."),IF('Inputs'!E23="",'Inputs'!$D$6,"n.a.")))</x:f>
        <x:v>500</x:v>
      </x:c>
      <x:c r="F31" s="22" t="n">
        <x:f>IF(COUNT($N$27:$N$31)=5,SUM($N$27:$N$31),"n.a.")</x:f>
        <x:v>281.85</x:v>
      </x:c>
      <x:c r="G31" s="22" t="n">
        <x:f>IF(COUNT(E31:F31)=2,MAX(0,E31-F31),"n.a.")</x:f>
        <x:v>218.14999999999998</x:v>
      </x:c>
      <x:c r="H31" s="26" t="str">
        <x:f>'Inputs'!C15</x:f>
        <x:v>Unused 5</x:v>
      </x:c>
      <x:c r="I31" s="26" t="n">
        <x:f>S26</x:f>
        <x:v>0</x:v>
      </x:c>
      <x:c r="J31" s="29" t="n">
        <x:f>IF('Inputs'!$D$9="Ready",'Inputs'!E15,"n.a.")</x:f>
        <x:v>0</x:v>
      </x:c>
      <x:c r="K31" s="26" t="n">
        <x:f>IF('Inputs'!$D$9="Ready",'Inputs'!F15,"n.a.")</x:f>
        <x:v>0</x:v>
      </x:c>
      <x:c r="L31" s="29" t="n">
        <x:f>IF('Inputs'!$D$9="Ready",'Inputs'!G15,"n.a.")</x:f>
        <x:v>0</x:v>
      </x:c>
      <x:c r="M31" s="22" t="n">
        <x:f>IF(COUNT(I31:L31)=4,ROUND(I31*J31/12,2),"n.a.")</x:f>
        <x:v>0</x:v>
      </x:c>
      <x:c r="N31" s="22" t="n">
        <x:f>IF(COUNT(I31:M31)=5,MIN(I31+M31,ROUND(MAX(K31,I31*L31+M31),2)),"n.a.")</x:f>
        <x:v>0</x:v>
      </x:c>
      <x:c r="O31" s="30" t="n">
        <x:f>IF(COUNT($I$27:$I$31)&lt;&gt;5,"n.a.",IF(I31=0,6,IF('Inputs'!$D$5=1,COUNTIFS($I$27:$I$31,"&gt;0",$I$27:$I$31,"&lt;"&amp;I31)+COUNTIFS($I$27:I31,I31),COUNTIFS($I$27:$I$31,"&gt;0",$J$27:$J$31,"&gt;"&amp;J31)+COUNTIFS($I$27:I31,"&gt;0",$J$27:J31,J31))))</x:f>
        <x:v>6</x:v>
      </x:c>
      <x:c r="P31" s="22" t="n">
        <x:f>IF(T31="Ready",MIN(U31,MAX(0,G31-SUMIFS($U$27:$U$31,$O$27:$O$31,"&lt;"&amp;O31))),"n.a.")</x:f>
        <x:v>0</x:v>
      </x:c>
      <x:c r="Q31" s="22" t="n">
        <x:f>IF(T31="Ready",ROUND(N31+P31,2),"n.a.")</x:f>
        <x:v>0</x:v>
      </x:c>
      <x:c r="R31" s="22" t="n">
        <x:f>IF(T31="Ready",ROUND(Q31-M31,2),"n.a.")</x:f>
        <x:v>0</x:v>
      </x:c>
      <x:c r="S31" s="22" t="n">
        <x:f>IF(T31="Ready",MAX(0,ROUND(I31+M31-Q31,2)),"n.a.")</x:f>
        <x:v>0</x:v>
      </x:c>
      <x:c r="T31" s="22" t="str">
        <x:f>IF(AND(COUNT($I$27:$I$31)=5,COUNT(E31:F31)=2),IF(E31&gt;=F31,"Ready","Budget below minima"),"Check inputs")</x:f>
        <x:v>Ready</x:v>
      </x:c>
      <x:c r="U31" s="22" t="n">
        <x:f>IF(COUNT(I31,M31,N31)=3,MAX(0,ROUND(I31+M31-N31,2)),"n.a.")</x:f>
        <x:v>0</x:v>
      </x:c>
    </x:row>
    <x:row r="32" ht="22" customHeight="1">
      <x:c r="A32" s="2"/>
      <x:c r="B32" s="2"/>
      <x:c r="C32" s="27" t="n">
        <x:f>6</x:f>
        <x:v>6</x:v>
      </x:c>
      <x:c r="D32" s="28" t="n">
        <x:f>IF(ISNUMBER('Inputs'!$D$7),EDATE('Inputs'!$D$7,5),"n.a.")</x:f>
        <x:v>46478</x:v>
      </x:c>
      <x:c r="E32" s="26" t="n">
        <x:f>IF('Inputs'!$D$9&lt;&gt;"Ready","n.a.",IF(ISNUMBER('Inputs'!E24),IF('Inputs'!E24&gt;=0,'Inputs'!E24,"n.a."),IF('Inputs'!E24="",'Inputs'!$D$6,"n.a.")))</x:f>
        <x:v>500</x:v>
      </x:c>
      <x:c r="F32" s="22" t="n">
        <x:f>IF(COUNT($N$32:$N$36)=5,SUM($N$32:$N$36),"n.a.")</x:f>
        <x:v>274.4</x:v>
      </x:c>
      <x:c r="G32" s="22" t="n">
        <x:f>IF(COUNT(E32:F32)=2,MAX(0,E32-F32),"n.a.")</x:f>
        <x:v>225.60000000000002</x:v>
      </x:c>
      <x:c r="H32" s="26" t="str">
        <x:f>'Inputs'!C11</x:f>
        <x:v>Card A</x:v>
      </x:c>
      <x:c r="I32" s="26" t="n">
        <x:f>S27</x:f>
        <x:v>28.9</x:v>
      </x:c>
      <x:c r="J32" s="29" t="n">
        <x:f>IF('Inputs'!$D$9="Ready",'Inputs'!E11,"n.a.")</x:f>
        <x:v>0.24</x:v>
      </x:c>
      <x:c r="K32" s="26" t="n">
        <x:f>IF('Inputs'!$D$9="Ready",'Inputs'!F11,"n.a.")</x:f>
        <x:v>35</x:v>
      </x:c>
      <x:c r="L32" s="29" t="n">
        <x:f>IF('Inputs'!$D$9="Ready",'Inputs'!G11,"n.a.")</x:f>
        <x:v>0.02</x:v>
      </x:c>
      <x:c r="M32" s="22" t="n">
        <x:f>IF(COUNT(I32:L32)=4,ROUND(I32*J32/12,2),"n.a.")</x:f>
        <x:v>0.58</x:v>
      </x:c>
      <x:c r="N32" s="22" t="n">
        <x:f>IF(COUNT(I32:M32)=5,MIN(I32+M32,ROUND(MAX(K32,I32*L32+M32),2)),"n.a.")</x:f>
        <x:v>29.479999999999997</x:v>
      </x:c>
      <x:c r="O32" s="30" t="n">
        <x:f>IF(COUNT($I$32:$I$36)&lt;&gt;5,"n.a.",IF(I32=0,6,IF('Inputs'!$D$5=1,COUNTIFS($I$32:$I$36,"&gt;0",$I$32:$I$36,"&lt;"&amp;I32)+COUNTIFS($I$32:I32,I32),COUNTIFS($I$32:$I$36,"&gt;0",$J$32:$J$36,"&gt;"&amp;J32)+COUNTIFS($I$32:I32,"&gt;0",$J$32:J32,J32))))</x:f>
        <x:v>1</x:v>
      </x:c>
      <x:c r="P32" s="22" t="n">
        <x:f>IF(T32="Ready",MIN(U32,MAX(0,G32-SUMIFS($U$32:$U$36,$O$32:$O$36,"&lt;"&amp;O32))),"n.a.")</x:f>
        <x:v>0</x:v>
      </x:c>
      <x:c r="Q32" s="22" t="n">
        <x:f>IF(T32="Ready",ROUND(N32+P32,2),"n.a.")</x:f>
        <x:v>29.48</x:v>
      </x:c>
      <x:c r="R32" s="22" t="n">
        <x:f>IF(T32="Ready",ROUND(Q32-M32,2),"n.a.")</x:f>
        <x:v>28.9</x:v>
      </x:c>
      <x:c r="S32" s="22" t="n">
        <x:f>IF(T32="Ready",MAX(0,ROUND(I32+M32-Q32,2)),"n.a.")</x:f>
        <x:v>0</x:v>
      </x:c>
      <x:c r="T32" s="22" t="str">
        <x:f>IF(AND(COUNT($I$32:$I$36)=5,COUNT(E32:F32)=2),IF(E32&gt;=F32,"Ready","Budget below minima"),"Check inputs")</x:f>
        <x:v>Ready</x:v>
      </x:c>
      <x:c r="U32" s="22" t="n">
        <x:f>IF(COUNT(I32,M32,N32)=3,MAX(0,ROUND(I32+M32-N32,2)),"n.a.")</x:f>
        <x:v>0</x:v>
      </x:c>
    </x:row>
    <x:row r="33" ht="22" customHeight="1">
      <x:c r="A33" s="2"/>
      <x:c r="B33" s="2"/>
      <x:c r="C33" s="27" t="n">
        <x:f>6</x:f>
        <x:v>6</x:v>
      </x:c>
      <x:c r="D33" s="28" t="n">
        <x:f>IF(ISNUMBER('Inputs'!$D$7),EDATE('Inputs'!$D$7,5),"n.a.")</x:f>
        <x:v>46478</x:v>
      </x:c>
      <x:c r="E33" s="26" t="n">
        <x:f>IF('Inputs'!$D$9&lt;&gt;"Ready","n.a.",IF(ISNUMBER('Inputs'!E24),IF('Inputs'!E24&gt;=0,'Inputs'!E24,"n.a."),IF('Inputs'!E24="",'Inputs'!$D$6,"n.a.")))</x:f>
        <x:v>500</x:v>
      </x:c>
      <x:c r="F33" s="22" t="n">
        <x:f>IF(COUNT($N$32:$N$36)=5,SUM($N$32:$N$36),"n.a.")</x:f>
        <x:v>274.4</x:v>
      </x:c>
      <x:c r="G33" s="22" t="n">
        <x:f>IF(COUNT(E33:F33)=2,MAX(0,E33-F33),"n.a.")</x:f>
        <x:v>225.60000000000002</x:v>
      </x:c>
      <x:c r="H33" s="26" t="str">
        <x:f>'Inputs'!C12</x:f>
        <x:v>Card B</x:v>
      </x:c>
      <x:c r="I33" s="26" t="n">
        <x:f>S28</x:f>
        <x:v>2711.77</x:v>
      </x:c>
      <x:c r="J33" s="29" t="n">
        <x:f>IF('Inputs'!$D$9="Ready",'Inputs'!E12,"n.a.")</x:f>
        <x:v>0.18</x:v>
      </x:c>
      <x:c r="K33" s="26" t="n">
        <x:f>IF('Inputs'!$D$9="Ready",'Inputs'!F12,"n.a.")</x:f>
        <x:v>60</x:v>
      </x:c>
      <x:c r="L33" s="29" t="n">
        <x:f>IF('Inputs'!$D$9="Ready",'Inputs'!G12,"n.a.")</x:f>
        <x:v>0.02</x:v>
      </x:c>
      <x:c r="M33" s="22" t="n">
        <x:f>IF(COUNT(I33:L33)=4,ROUND(I33*J33/12,2),"n.a.")</x:f>
        <x:v>40.68</x:v>
      </x:c>
      <x:c r="N33" s="22" t="n">
        <x:f>IF(COUNT(I33:M33)=5,MIN(I33+M33,ROUND(MAX(K33,I33*L33+M33),2)),"n.a.")</x:f>
        <x:v>94.92</x:v>
      </x:c>
      <x:c r="O33" s="30" t="n">
        <x:f>IF(COUNT($I$32:$I$36)&lt;&gt;5,"n.a.",IF(I33=0,6,IF('Inputs'!$D$5=1,COUNTIFS($I$32:$I$36,"&gt;0",$I$32:$I$36,"&lt;"&amp;I33)+COUNTIFS($I$32:I33,I33),COUNTIFS($I$32:$I$36,"&gt;0",$J$32:$J$36,"&gt;"&amp;J33)+COUNTIFS($I$32:I33,"&gt;0",$J$32:J33,J33))))</x:f>
        <x:v>2</x:v>
      </x:c>
      <x:c r="P33" s="22" t="n">
        <x:f>IF(T33="Ready",MIN(U33,MAX(0,G33-SUMIFS($U$32:$U$36,$O$32:$O$36,"&lt;"&amp;O33))),"n.a.")</x:f>
        <x:v>225.60000000000002</x:v>
      </x:c>
      <x:c r="Q33" s="22" t="n">
        <x:f>IF(T33="Ready",ROUND(N33+P33,2),"n.a.")</x:f>
        <x:v>320.52</x:v>
      </x:c>
      <x:c r="R33" s="22" t="n">
        <x:f>IF(T33="Ready",ROUND(Q33-M33,2),"n.a.")</x:f>
        <x:v>279.84</x:v>
      </x:c>
      <x:c r="S33" s="22" t="n">
        <x:f>IF(T33="Ready",MAX(0,ROUND(I33+M33-Q33,2)),"n.a.")</x:f>
        <x:v>2431.93</x:v>
      </x:c>
      <x:c r="T33" s="22" t="str">
        <x:f>IF(AND(COUNT($I$32:$I$36)=5,COUNT(E33:F33)=2),IF(E33&gt;=F33,"Ready","Budget below minima"),"Check inputs")</x:f>
        <x:v>Ready</x:v>
      </x:c>
      <x:c r="U33" s="22" t="n">
        <x:f>IF(COUNT(I33,M33,N33)=3,MAX(0,ROUND(I33+M33-N33,2)),"n.a.")</x:f>
        <x:v>2657.53</x:v>
      </x:c>
    </x:row>
    <x:row r="34" ht="22" customHeight="1">
      <x:c r="A34" s="2"/>
      <x:c r="B34" s="2"/>
      <x:c r="C34" s="27" t="n">
        <x:f>6</x:f>
        <x:v>6</x:v>
      </x:c>
      <x:c r="D34" s="28" t="n">
        <x:f>IF(ISNUMBER('Inputs'!$D$7),EDATE('Inputs'!$D$7,5),"n.a.")</x:f>
        <x:v>46478</x:v>
      </x:c>
      <x:c r="E34" s="26" t="n">
        <x:f>IF('Inputs'!$D$9&lt;&gt;"Ready","n.a.",IF(ISNUMBER('Inputs'!E24),IF('Inputs'!E24&gt;=0,'Inputs'!E24,"n.a."),IF('Inputs'!E24="",'Inputs'!$D$6,"n.a.")))</x:f>
        <x:v>500</x:v>
      </x:c>
      <x:c r="F34" s="22" t="n">
        <x:f>IF(COUNT($N$32:$N$36)=5,SUM($N$32:$N$36),"n.a.")</x:f>
        <x:v>274.4</x:v>
      </x:c>
      <x:c r="G34" s="22" t="n">
        <x:f>IF(COUNT(E34:F34)=2,MAX(0,E34-F34),"n.a.")</x:f>
        <x:v>225.60000000000002</x:v>
      </x:c>
      <x:c r="H34" s="26" t="str">
        <x:f>'Inputs'!C13</x:f>
        <x:v>Loan C</x:v>
      </x:c>
      <x:c r="I34" s="26" t="n">
        <x:f>S29</x:f>
        <x:v>4408.83</x:v>
      </x:c>
      <x:c r="J34" s="29" t="n">
        <x:f>IF('Inputs'!$D$9="Ready",'Inputs'!E13,"n.a.")</x:f>
        <x:v>0.08</x:v>
      </x:c>
      <x:c r="K34" s="26" t="n">
        <x:f>IF('Inputs'!$D$9="Ready",'Inputs'!F13,"n.a.")</x:f>
        <x:v>150</x:v>
      </x:c>
      <x:c r="L34" s="29" t="n">
        <x:f>IF('Inputs'!$D$9="Ready",'Inputs'!G13,"n.a.")</x:f>
        <x:v>0</x:v>
      </x:c>
      <x:c r="M34" s="22" t="n">
        <x:f>IF(COUNT(I34:L34)=4,ROUND(I34*J34/12,2),"n.a.")</x:f>
        <x:v>29.39</x:v>
      </x:c>
      <x:c r="N34" s="22" t="n">
        <x:f>IF(COUNT(I34:M34)=5,MIN(I34+M34,ROUND(MAX(K34,I34*L34+M34),2)),"n.a.")</x:f>
        <x:v>150</x:v>
      </x:c>
      <x:c r="O34" s="30" t="n">
        <x:f>IF(COUNT($I$32:$I$36)&lt;&gt;5,"n.a.",IF(I34=0,6,IF('Inputs'!$D$5=1,COUNTIFS($I$32:$I$36,"&gt;0",$I$32:$I$36,"&lt;"&amp;I34)+COUNTIFS($I$32:I34,I34),COUNTIFS($I$32:$I$36,"&gt;0",$J$32:$J$36,"&gt;"&amp;J34)+COUNTIFS($I$32:I34,"&gt;0",$J$32:J34,J34))))</x:f>
        <x:v>3</x:v>
      </x:c>
      <x:c r="P34" s="22" t="n">
        <x:f>IF(T34="Ready",MIN(U34,MAX(0,G34-SUMIFS($U$32:$U$36,$O$32:$O$36,"&lt;"&amp;O34))),"n.a.")</x:f>
        <x:v>0</x:v>
      </x:c>
      <x:c r="Q34" s="22" t="n">
        <x:f>IF(T34="Ready",ROUND(N34+P34,2),"n.a.")</x:f>
        <x:v>150</x:v>
      </x:c>
      <x:c r="R34" s="22" t="n">
        <x:f>IF(T34="Ready",ROUND(Q34-M34,2),"n.a.")</x:f>
        <x:v>120.61</x:v>
      </x:c>
      <x:c r="S34" s="22" t="n">
        <x:f>IF(T34="Ready",MAX(0,ROUND(I34+M34-Q34,2)),"n.a.")</x:f>
        <x:v>4288.22</x:v>
      </x:c>
      <x:c r="T34" s="22" t="str">
        <x:f>IF(AND(COUNT($I$32:$I$36)=5,COUNT(E34:F34)=2),IF(E34&gt;=F34,"Ready","Budget below minima"),"Check inputs")</x:f>
        <x:v>Ready</x:v>
      </x:c>
      <x:c r="U34" s="22" t="n">
        <x:f>IF(COUNT(I34,M34,N34)=3,MAX(0,ROUND(I34+M34-N34,2)),"n.a.")</x:f>
        <x:v>4288.22</x:v>
      </x:c>
    </x:row>
    <x:row r="35" ht="22" customHeight="1">
      <x:c r="A35" s="2"/>
      <x:c r="B35" s="2"/>
      <x:c r="C35" s="27" t="n">
        <x:f>6</x:f>
        <x:v>6</x:v>
      </x:c>
      <x:c r="D35" s="28" t="n">
        <x:f>IF(ISNUMBER('Inputs'!$D$7),EDATE('Inputs'!$D$7,5),"n.a.")</x:f>
        <x:v>46478</x:v>
      </x:c>
      <x:c r="E35" s="26" t="n">
        <x:f>IF('Inputs'!$D$9&lt;&gt;"Ready","n.a.",IF(ISNUMBER('Inputs'!E24),IF('Inputs'!E24&gt;=0,'Inputs'!E24,"n.a."),IF('Inputs'!E24="",'Inputs'!$D$6,"n.a.")))</x:f>
        <x:v>500</x:v>
      </x:c>
      <x:c r="F35" s="22" t="n">
        <x:f>IF(COUNT($N$32:$N$36)=5,SUM($N$32:$N$36),"n.a.")</x:f>
        <x:v>274.4</x:v>
      </x:c>
      <x:c r="G35" s="22" t="n">
        <x:f>IF(COUNT(E35:F35)=2,MAX(0,E35-F35),"n.a.")</x:f>
        <x:v>225.60000000000002</x:v>
      </x:c>
      <x:c r="H35" s="26" t="str">
        <x:f>'Inputs'!C14</x:f>
        <x:v>Unused 4</x:v>
      </x:c>
      <x:c r="I35" s="26" t="n">
        <x:f>S30</x:f>
        <x:v>0</x:v>
      </x:c>
      <x:c r="J35" s="29" t="n">
        <x:f>IF('Inputs'!$D$9="Ready",'Inputs'!E14,"n.a.")</x:f>
        <x:v>0</x:v>
      </x:c>
      <x:c r="K35" s="26" t="n">
        <x:f>IF('Inputs'!$D$9="Ready",'Inputs'!F14,"n.a.")</x:f>
        <x:v>0</x:v>
      </x:c>
      <x:c r="L35" s="29" t="n">
        <x:f>IF('Inputs'!$D$9="Ready",'Inputs'!G14,"n.a.")</x:f>
        <x:v>0</x:v>
      </x:c>
      <x:c r="M35" s="22" t="n">
        <x:f>IF(COUNT(I35:L35)=4,ROUND(I35*J35/12,2),"n.a.")</x:f>
        <x:v>0</x:v>
      </x:c>
      <x:c r="N35" s="22" t="n">
        <x:f>IF(COUNT(I35:M35)=5,MIN(I35+M35,ROUND(MAX(K35,I35*L35+M35),2)),"n.a.")</x:f>
        <x:v>0</x:v>
      </x:c>
      <x:c r="O35" s="30" t="n">
        <x:f>IF(COUNT($I$32:$I$36)&lt;&gt;5,"n.a.",IF(I35=0,6,IF('Inputs'!$D$5=1,COUNTIFS($I$32:$I$36,"&gt;0",$I$32:$I$36,"&lt;"&amp;I35)+COUNTIFS($I$32:I35,I35),COUNTIFS($I$32:$I$36,"&gt;0",$J$32:$J$36,"&gt;"&amp;J35)+COUNTIFS($I$32:I35,"&gt;0",$J$32:J35,J35))))</x:f>
        <x:v>6</x:v>
      </x:c>
      <x:c r="P35" s="22" t="n">
        <x:f>IF(T35="Ready",MIN(U35,MAX(0,G35-SUMIFS($U$32:$U$36,$O$32:$O$36,"&lt;"&amp;O35))),"n.a.")</x:f>
        <x:v>0</x:v>
      </x:c>
      <x:c r="Q35" s="22" t="n">
        <x:f>IF(T35="Ready",ROUND(N35+P35,2),"n.a.")</x:f>
        <x:v>0</x:v>
      </x:c>
      <x:c r="R35" s="22" t="n">
        <x:f>IF(T35="Ready",ROUND(Q35-M35,2),"n.a.")</x:f>
        <x:v>0</x:v>
      </x:c>
      <x:c r="S35" s="22" t="n">
        <x:f>IF(T35="Ready",MAX(0,ROUND(I35+M35-Q35,2)),"n.a.")</x:f>
        <x:v>0</x:v>
      </x:c>
      <x:c r="T35" s="22" t="str">
        <x:f>IF(AND(COUNT($I$32:$I$36)=5,COUNT(E35:F35)=2),IF(E35&gt;=F35,"Ready","Budget below minima"),"Check inputs")</x:f>
        <x:v>Ready</x:v>
      </x:c>
      <x:c r="U35" s="22" t="n">
        <x:f>IF(COUNT(I35,M35,N35)=3,MAX(0,ROUND(I35+M35-N35,2)),"n.a.")</x:f>
        <x:v>0</x:v>
      </x:c>
    </x:row>
    <x:row r="36" ht="22" customHeight="1">
      <x:c r="A36" s="2"/>
      <x:c r="B36" s="2"/>
      <x:c r="C36" s="27" t="n">
        <x:f>6</x:f>
        <x:v>6</x:v>
      </x:c>
      <x:c r="D36" s="28" t="n">
        <x:f>IF(ISNUMBER('Inputs'!$D$7),EDATE('Inputs'!$D$7,5),"n.a.")</x:f>
        <x:v>46478</x:v>
      </x:c>
      <x:c r="E36" s="26" t="n">
        <x:f>IF('Inputs'!$D$9&lt;&gt;"Ready","n.a.",IF(ISNUMBER('Inputs'!E24),IF('Inputs'!E24&gt;=0,'Inputs'!E24,"n.a."),IF('Inputs'!E24="",'Inputs'!$D$6,"n.a.")))</x:f>
        <x:v>500</x:v>
      </x:c>
      <x:c r="F36" s="22" t="n">
        <x:f>IF(COUNT($N$32:$N$36)=5,SUM($N$32:$N$36),"n.a.")</x:f>
        <x:v>274.4</x:v>
      </x:c>
      <x:c r="G36" s="22" t="n">
        <x:f>IF(COUNT(E36:F36)=2,MAX(0,E36-F36),"n.a.")</x:f>
        <x:v>225.60000000000002</x:v>
      </x:c>
      <x:c r="H36" s="26" t="str">
        <x:f>'Inputs'!C15</x:f>
        <x:v>Unused 5</x:v>
      </x:c>
      <x:c r="I36" s="26" t="n">
        <x:f>S31</x:f>
        <x:v>0</x:v>
      </x:c>
      <x:c r="J36" s="29" t="n">
        <x:f>IF('Inputs'!$D$9="Ready",'Inputs'!E15,"n.a.")</x:f>
        <x:v>0</x:v>
      </x:c>
      <x:c r="K36" s="26" t="n">
        <x:f>IF('Inputs'!$D$9="Ready",'Inputs'!F15,"n.a.")</x:f>
        <x:v>0</x:v>
      </x:c>
      <x:c r="L36" s="29" t="n">
        <x:f>IF('Inputs'!$D$9="Ready",'Inputs'!G15,"n.a.")</x:f>
        <x:v>0</x:v>
      </x:c>
      <x:c r="M36" s="22" t="n">
        <x:f>IF(COUNT(I36:L36)=4,ROUND(I36*J36/12,2),"n.a.")</x:f>
        <x:v>0</x:v>
      </x:c>
      <x:c r="N36" s="22" t="n">
        <x:f>IF(COUNT(I36:M36)=5,MIN(I36+M36,ROUND(MAX(K36,I36*L36+M36),2)),"n.a.")</x:f>
        <x:v>0</x:v>
      </x:c>
      <x:c r="O36" s="30" t="n">
        <x:f>IF(COUNT($I$32:$I$36)&lt;&gt;5,"n.a.",IF(I36=0,6,IF('Inputs'!$D$5=1,COUNTIFS($I$32:$I$36,"&gt;0",$I$32:$I$36,"&lt;"&amp;I36)+COUNTIFS($I$32:I36,I36),COUNTIFS($I$32:$I$36,"&gt;0",$J$32:$J$36,"&gt;"&amp;J36)+COUNTIFS($I$32:I36,"&gt;0",$J$32:J36,J36))))</x:f>
        <x:v>6</x:v>
      </x:c>
      <x:c r="P36" s="22" t="n">
        <x:f>IF(T36="Ready",MIN(U36,MAX(0,G36-SUMIFS($U$32:$U$36,$O$32:$O$36,"&lt;"&amp;O36))),"n.a.")</x:f>
        <x:v>0</x:v>
      </x:c>
      <x:c r="Q36" s="22" t="n">
        <x:f>IF(T36="Ready",ROUND(N36+P36,2),"n.a.")</x:f>
        <x:v>0</x:v>
      </x:c>
      <x:c r="R36" s="22" t="n">
        <x:f>IF(T36="Ready",ROUND(Q36-M36,2),"n.a.")</x:f>
        <x:v>0</x:v>
      </x:c>
      <x:c r="S36" s="22" t="n">
        <x:f>IF(T36="Ready",MAX(0,ROUND(I36+M36-Q36,2)),"n.a.")</x:f>
        <x:v>0</x:v>
      </x:c>
      <x:c r="T36" s="22" t="str">
        <x:f>IF(AND(COUNT($I$32:$I$36)=5,COUNT(E36:F36)=2),IF(E36&gt;=F36,"Ready","Budget below minima"),"Check inputs")</x:f>
        <x:v>Ready</x:v>
      </x:c>
      <x:c r="U36" s="22" t="n">
        <x:f>IF(COUNT(I36,M36,N36)=3,MAX(0,ROUND(I36+M36-N36,2)),"n.a.")</x:f>
        <x:v>0</x:v>
      </x:c>
    </x:row>
    <x:row r="37" ht="22" customHeight="1">
      <x:c r="A37" s="2"/>
      <x:c r="B37" s="2"/>
      <x:c r="C37" s="27" t="n">
        <x:f>7</x:f>
        <x:v>7</x:v>
      </x:c>
      <x:c r="D37" s="28" t="n">
        <x:f>IF(ISNUMBER('Inputs'!$D$7),EDATE('Inputs'!$D$7,6),"n.a.")</x:f>
        <x:v>46508</x:v>
      </x:c>
      <x:c r="E37" s="26" t="n">
        <x:f>IF('Inputs'!$D$9&lt;&gt;"Ready","n.a.",IF(ISNUMBER('Inputs'!E25),IF('Inputs'!E25&gt;=0,'Inputs'!E25,"n.a."),IF('Inputs'!E25="",'Inputs'!$D$6,"n.a.")))</x:f>
        <x:v>500</x:v>
      </x:c>
      <x:c r="F37" s="22" t="n">
        <x:f>IF(COUNT($N$37:$N$41)=5,SUM($N$37:$N$41),"n.a.")</x:f>
        <x:v>235.12</x:v>
      </x:c>
      <x:c r="G37" s="22" t="n">
        <x:f>IF(COUNT(E37:F37)=2,MAX(0,E37-F37),"n.a.")</x:f>
        <x:v>264.88</x:v>
      </x:c>
      <x:c r="H37" s="26" t="str">
        <x:f>'Inputs'!C11</x:f>
        <x:v>Card A</x:v>
      </x:c>
      <x:c r="I37" s="26" t="n">
        <x:f>S32</x:f>
        <x:v>0</x:v>
      </x:c>
      <x:c r="J37" s="29" t="n">
        <x:f>IF('Inputs'!$D$9="Ready",'Inputs'!E11,"n.a.")</x:f>
        <x:v>0.24</x:v>
      </x:c>
      <x:c r="K37" s="26" t="n">
        <x:f>IF('Inputs'!$D$9="Ready",'Inputs'!F11,"n.a.")</x:f>
        <x:v>35</x:v>
      </x:c>
      <x:c r="L37" s="29" t="n">
        <x:f>IF('Inputs'!$D$9="Ready",'Inputs'!G11,"n.a.")</x:f>
        <x:v>0.02</x:v>
      </x:c>
      <x:c r="M37" s="22" t="n">
        <x:f>IF(COUNT(I37:L37)=4,ROUND(I37*J37/12,2),"n.a.")</x:f>
        <x:v>0</x:v>
      </x:c>
      <x:c r="N37" s="22" t="n">
        <x:f>IF(COUNT(I37:M37)=5,MIN(I37+M37,ROUND(MAX(K37,I37*L37+M37),2)),"n.a.")</x:f>
        <x:v>0</x:v>
      </x:c>
      <x:c r="O37" s="30" t="n">
        <x:f>IF(COUNT($I$37:$I$41)&lt;&gt;5,"n.a.",IF(I37=0,6,IF('Inputs'!$D$5=1,COUNTIFS($I$37:$I$41,"&gt;0",$I$37:$I$41,"&lt;"&amp;I37)+COUNTIFS($I$37:I37,I37),COUNTIFS($I$37:$I$41,"&gt;0",$J$37:$J$41,"&gt;"&amp;J37)+COUNTIFS($I$37:I37,"&gt;0",$J$37:J37,J37))))</x:f>
        <x:v>6</x:v>
      </x:c>
      <x:c r="P37" s="22" t="n">
        <x:f>IF(T37="Ready",MIN(U37,MAX(0,G37-SUMIFS($U$37:$U$41,$O$37:$O$41,"&lt;"&amp;O37))),"n.a.")</x:f>
        <x:v>0</x:v>
      </x:c>
      <x:c r="Q37" s="22" t="n">
        <x:f>IF(T37="Ready",ROUND(N37+P37,2),"n.a.")</x:f>
        <x:v>0</x:v>
      </x:c>
      <x:c r="R37" s="22" t="n">
        <x:f>IF(T37="Ready",ROUND(Q37-M37,2),"n.a.")</x:f>
        <x:v>0</x:v>
      </x:c>
      <x:c r="S37" s="22" t="n">
        <x:f>IF(T37="Ready",MAX(0,ROUND(I37+M37-Q37,2)),"n.a.")</x:f>
        <x:v>0</x:v>
      </x:c>
      <x:c r="T37" s="22" t="str">
        <x:f>IF(AND(COUNT($I$37:$I$41)=5,COUNT(E37:F37)=2),IF(E37&gt;=F37,"Ready","Budget below minima"),"Check inputs")</x:f>
        <x:v>Ready</x:v>
      </x:c>
      <x:c r="U37" s="22" t="n">
        <x:f>IF(COUNT(I37,M37,N37)=3,MAX(0,ROUND(I37+M37-N37,2)),"n.a.")</x:f>
        <x:v>0</x:v>
      </x:c>
    </x:row>
    <x:row r="38" ht="22" customHeight="1">
      <x:c r="A38" s="2"/>
      <x:c r="B38" s="2"/>
      <x:c r="C38" s="27" t="n">
        <x:f>7</x:f>
        <x:v>7</x:v>
      </x:c>
      <x:c r="D38" s="28" t="n">
        <x:f>IF(ISNUMBER('Inputs'!$D$7),EDATE('Inputs'!$D$7,6),"n.a.")</x:f>
        <x:v>46508</x:v>
      </x:c>
      <x:c r="E38" s="26" t="n">
        <x:f>IF('Inputs'!$D$9&lt;&gt;"Ready","n.a.",IF(ISNUMBER('Inputs'!E25),IF('Inputs'!E25&gt;=0,'Inputs'!E25,"n.a."),IF('Inputs'!E25="",'Inputs'!$D$6,"n.a.")))</x:f>
        <x:v>500</x:v>
      </x:c>
      <x:c r="F38" s="22" t="n">
        <x:f>IF(COUNT($N$37:$N$41)=5,SUM($N$37:$N$41),"n.a.")</x:f>
        <x:v>235.12</x:v>
      </x:c>
      <x:c r="G38" s="22" t="n">
        <x:f>IF(COUNT(E38:F38)=2,MAX(0,E38-F38),"n.a.")</x:f>
        <x:v>264.88</x:v>
      </x:c>
      <x:c r="H38" s="26" t="str">
        <x:f>'Inputs'!C12</x:f>
        <x:v>Card B</x:v>
      </x:c>
      <x:c r="I38" s="26" t="n">
        <x:f>S33</x:f>
        <x:v>2431.93</x:v>
      </x:c>
      <x:c r="J38" s="29" t="n">
        <x:f>IF('Inputs'!$D$9="Ready",'Inputs'!E12,"n.a.")</x:f>
        <x:v>0.18</x:v>
      </x:c>
      <x:c r="K38" s="26" t="n">
        <x:f>IF('Inputs'!$D$9="Ready",'Inputs'!F12,"n.a.")</x:f>
        <x:v>60</x:v>
      </x:c>
      <x:c r="L38" s="29" t="n">
        <x:f>IF('Inputs'!$D$9="Ready",'Inputs'!G12,"n.a.")</x:f>
        <x:v>0.02</x:v>
      </x:c>
      <x:c r="M38" s="22" t="n">
        <x:f>IF(COUNT(I38:L38)=4,ROUND(I38*J38/12,2),"n.a.")</x:f>
        <x:v>36.48</x:v>
      </x:c>
      <x:c r="N38" s="22" t="n">
        <x:f>IF(COUNT(I38:M38)=5,MIN(I38+M38,ROUND(MAX(K38,I38*L38+M38),2)),"n.a.")</x:f>
        <x:v>85.12</x:v>
      </x:c>
      <x:c r="O38" s="30" t="n">
        <x:f>IF(COUNT($I$37:$I$41)&lt;&gt;5,"n.a.",IF(I38=0,6,IF('Inputs'!$D$5=1,COUNTIFS($I$37:$I$41,"&gt;0",$I$37:$I$41,"&lt;"&amp;I38)+COUNTIFS($I$37:I38,I38),COUNTIFS($I$37:$I$41,"&gt;0",$J$37:$J$41,"&gt;"&amp;J38)+COUNTIFS($I$37:I38,"&gt;0",$J$37:J38,J38))))</x:f>
        <x:v>1</x:v>
      </x:c>
      <x:c r="P38" s="22" t="n">
        <x:f>IF(T38="Ready",MIN(U38,MAX(0,G38-SUMIFS($U$37:$U$41,$O$37:$O$41,"&lt;"&amp;O38))),"n.a.")</x:f>
        <x:v>264.88</x:v>
      </x:c>
      <x:c r="Q38" s="22" t="n">
        <x:f>IF(T38="Ready",ROUND(N38+P38,2),"n.a.")</x:f>
        <x:v>350</x:v>
      </x:c>
      <x:c r="R38" s="22" t="n">
        <x:f>IF(T38="Ready",ROUND(Q38-M38,2),"n.a.")</x:f>
        <x:v>313.52</x:v>
      </x:c>
      <x:c r="S38" s="22" t="n">
        <x:f>IF(T38="Ready",MAX(0,ROUND(I38+M38-Q38,2)),"n.a.")</x:f>
        <x:v>2118.41</x:v>
      </x:c>
      <x:c r="T38" s="22" t="str">
        <x:f>IF(AND(COUNT($I$37:$I$41)=5,COUNT(E38:F38)=2),IF(E38&gt;=F38,"Ready","Budget below minima"),"Check inputs")</x:f>
        <x:v>Ready</x:v>
      </x:c>
      <x:c r="U38" s="22" t="n">
        <x:f>IF(COUNT(I38,M38,N38)=3,MAX(0,ROUND(I38+M38-N38,2)),"n.a.")</x:f>
        <x:v>2383.29</x:v>
      </x:c>
    </x:row>
    <x:row r="39" ht="22" customHeight="1">
      <x:c r="A39" s="2"/>
      <x:c r="B39" s="2"/>
      <x:c r="C39" s="27" t="n">
        <x:f>7</x:f>
        <x:v>7</x:v>
      </x:c>
      <x:c r="D39" s="28" t="n">
        <x:f>IF(ISNUMBER('Inputs'!$D$7),EDATE('Inputs'!$D$7,6),"n.a.")</x:f>
        <x:v>46508</x:v>
      </x:c>
      <x:c r="E39" s="26" t="n">
        <x:f>IF('Inputs'!$D$9&lt;&gt;"Ready","n.a.",IF(ISNUMBER('Inputs'!E25),IF('Inputs'!E25&gt;=0,'Inputs'!E25,"n.a."),IF('Inputs'!E25="",'Inputs'!$D$6,"n.a.")))</x:f>
        <x:v>500</x:v>
      </x:c>
      <x:c r="F39" s="22" t="n">
        <x:f>IF(COUNT($N$37:$N$41)=5,SUM($N$37:$N$41),"n.a.")</x:f>
        <x:v>235.12</x:v>
      </x:c>
      <x:c r="G39" s="22" t="n">
        <x:f>IF(COUNT(E39:F39)=2,MAX(0,E39-F39),"n.a.")</x:f>
        <x:v>264.88</x:v>
      </x:c>
      <x:c r="H39" s="26" t="str">
        <x:f>'Inputs'!C13</x:f>
        <x:v>Loan C</x:v>
      </x:c>
      <x:c r="I39" s="26" t="n">
        <x:f>S34</x:f>
        <x:v>4288.22</x:v>
      </x:c>
      <x:c r="J39" s="29" t="n">
        <x:f>IF('Inputs'!$D$9="Ready",'Inputs'!E13,"n.a.")</x:f>
        <x:v>0.08</x:v>
      </x:c>
      <x:c r="K39" s="26" t="n">
        <x:f>IF('Inputs'!$D$9="Ready",'Inputs'!F13,"n.a.")</x:f>
        <x:v>150</x:v>
      </x:c>
      <x:c r="L39" s="29" t="n">
        <x:f>IF('Inputs'!$D$9="Ready",'Inputs'!G13,"n.a.")</x:f>
        <x:v>0</x:v>
      </x:c>
      <x:c r="M39" s="22" t="n">
        <x:f>IF(COUNT(I39:L39)=4,ROUND(I39*J39/12,2),"n.a.")</x:f>
        <x:v>28.59</x:v>
      </x:c>
      <x:c r="N39" s="22" t="n">
        <x:f>IF(COUNT(I39:M39)=5,MIN(I39+M39,ROUND(MAX(K39,I39*L39+M39),2)),"n.a.")</x:f>
        <x:v>150</x:v>
      </x:c>
      <x:c r="O39" s="30" t="n">
        <x:f>IF(COUNT($I$37:$I$41)&lt;&gt;5,"n.a.",IF(I39=0,6,IF('Inputs'!$D$5=1,COUNTIFS($I$37:$I$41,"&gt;0",$I$37:$I$41,"&lt;"&amp;I39)+COUNTIFS($I$37:I39,I39),COUNTIFS($I$37:$I$41,"&gt;0",$J$37:$J$41,"&gt;"&amp;J39)+COUNTIFS($I$37:I39,"&gt;0",$J$37:J39,J39))))</x:f>
        <x:v>2</x:v>
      </x:c>
      <x:c r="P39" s="22" t="n">
        <x:f>IF(T39="Ready",MIN(U39,MAX(0,G39-SUMIFS($U$37:$U$41,$O$37:$O$41,"&lt;"&amp;O39))),"n.a.")</x:f>
        <x:v>0</x:v>
      </x:c>
      <x:c r="Q39" s="22" t="n">
        <x:f>IF(T39="Ready",ROUND(N39+P39,2),"n.a.")</x:f>
        <x:v>150</x:v>
      </x:c>
      <x:c r="R39" s="22" t="n">
        <x:f>IF(T39="Ready",ROUND(Q39-M39,2),"n.a.")</x:f>
        <x:v>121.41</x:v>
      </x:c>
      <x:c r="S39" s="22" t="n">
        <x:f>IF(T39="Ready",MAX(0,ROUND(I39+M39-Q39,2)),"n.a.")</x:f>
        <x:v>4166.81</x:v>
      </x:c>
      <x:c r="T39" s="22" t="str">
        <x:f>IF(AND(COUNT($I$37:$I$41)=5,COUNT(E39:F39)=2),IF(E39&gt;=F39,"Ready","Budget below minima"),"Check inputs")</x:f>
        <x:v>Ready</x:v>
      </x:c>
      <x:c r="U39" s="22" t="n">
        <x:f>IF(COUNT(I39,M39,N39)=3,MAX(0,ROUND(I39+M39-N39,2)),"n.a.")</x:f>
        <x:v>4166.81</x:v>
      </x:c>
    </x:row>
    <x:row r="40" ht="22" customHeight="1">
      <x:c r="A40" s="2"/>
      <x:c r="B40" s="2"/>
      <x:c r="C40" s="27" t="n">
        <x:f>7</x:f>
        <x:v>7</x:v>
      </x:c>
      <x:c r="D40" s="28" t="n">
        <x:f>IF(ISNUMBER('Inputs'!$D$7),EDATE('Inputs'!$D$7,6),"n.a.")</x:f>
        <x:v>46508</x:v>
      </x:c>
      <x:c r="E40" s="26" t="n">
        <x:f>IF('Inputs'!$D$9&lt;&gt;"Ready","n.a.",IF(ISNUMBER('Inputs'!E25),IF('Inputs'!E25&gt;=0,'Inputs'!E25,"n.a."),IF('Inputs'!E25="",'Inputs'!$D$6,"n.a.")))</x:f>
        <x:v>500</x:v>
      </x:c>
      <x:c r="F40" s="22" t="n">
        <x:f>IF(COUNT($N$37:$N$41)=5,SUM($N$37:$N$41),"n.a.")</x:f>
        <x:v>235.12</x:v>
      </x:c>
      <x:c r="G40" s="22" t="n">
        <x:f>IF(COUNT(E40:F40)=2,MAX(0,E40-F40),"n.a.")</x:f>
        <x:v>264.88</x:v>
      </x:c>
      <x:c r="H40" s="26" t="str">
        <x:f>'Inputs'!C14</x:f>
        <x:v>Unused 4</x:v>
      </x:c>
      <x:c r="I40" s="26" t="n">
        <x:f>S35</x:f>
        <x:v>0</x:v>
      </x:c>
      <x:c r="J40" s="29" t="n">
        <x:f>IF('Inputs'!$D$9="Ready",'Inputs'!E14,"n.a.")</x:f>
        <x:v>0</x:v>
      </x:c>
      <x:c r="K40" s="26" t="n">
        <x:f>IF('Inputs'!$D$9="Ready",'Inputs'!F14,"n.a.")</x:f>
        <x:v>0</x:v>
      </x:c>
      <x:c r="L40" s="29" t="n">
        <x:f>IF('Inputs'!$D$9="Ready",'Inputs'!G14,"n.a.")</x:f>
        <x:v>0</x:v>
      </x:c>
      <x:c r="M40" s="22" t="n">
        <x:f>IF(COUNT(I40:L40)=4,ROUND(I40*J40/12,2),"n.a.")</x:f>
        <x:v>0</x:v>
      </x:c>
      <x:c r="N40" s="22" t="n">
        <x:f>IF(COUNT(I40:M40)=5,MIN(I40+M40,ROUND(MAX(K40,I40*L40+M40),2)),"n.a.")</x:f>
        <x:v>0</x:v>
      </x:c>
      <x:c r="O40" s="30" t="n">
        <x:f>IF(COUNT($I$37:$I$41)&lt;&gt;5,"n.a.",IF(I40=0,6,IF('Inputs'!$D$5=1,COUNTIFS($I$37:$I$41,"&gt;0",$I$37:$I$41,"&lt;"&amp;I40)+COUNTIFS($I$37:I40,I40),COUNTIFS($I$37:$I$41,"&gt;0",$J$37:$J$41,"&gt;"&amp;J40)+COUNTIFS($I$37:I40,"&gt;0",$J$37:J40,J40))))</x:f>
        <x:v>6</x:v>
      </x:c>
      <x:c r="P40" s="22" t="n">
        <x:f>IF(T40="Ready",MIN(U40,MAX(0,G40-SUMIFS($U$37:$U$41,$O$37:$O$41,"&lt;"&amp;O40))),"n.a.")</x:f>
        <x:v>0</x:v>
      </x:c>
      <x:c r="Q40" s="22" t="n">
        <x:f>IF(T40="Ready",ROUND(N40+P40,2),"n.a.")</x:f>
        <x:v>0</x:v>
      </x:c>
      <x:c r="R40" s="22" t="n">
        <x:f>IF(T40="Ready",ROUND(Q40-M40,2),"n.a.")</x:f>
        <x:v>0</x:v>
      </x:c>
      <x:c r="S40" s="22" t="n">
        <x:f>IF(T40="Ready",MAX(0,ROUND(I40+M40-Q40,2)),"n.a.")</x:f>
        <x:v>0</x:v>
      </x:c>
      <x:c r="T40" s="22" t="str">
        <x:f>IF(AND(COUNT($I$37:$I$41)=5,COUNT(E40:F40)=2),IF(E40&gt;=F40,"Ready","Budget below minima"),"Check inputs")</x:f>
        <x:v>Ready</x:v>
      </x:c>
      <x:c r="U40" s="22" t="n">
        <x:f>IF(COUNT(I40,M40,N40)=3,MAX(0,ROUND(I40+M40-N40,2)),"n.a.")</x:f>
        <x:v>0</x:v>
      </x:c>
    </x:row>
    <x:row r="41" ht="22" customHeight="1">
      <x:c r="A41" s="2"/>
      <x:c r="B41" s="2"/>
      <x:c r="C41" s="27" t="n">
        <x:f>7</x:f>
        <x:v>7</x:v>
      </x:c>
      <x:c r="D41" s="28" t="n">
        <x:f>IF(ISNUMBER('Inputs'!$D$7),EDATE('Inputs'!$D$7,6),"n.a.")</x:f>
        <x:v>46508</x:v>
      </x:c>
      <x:c r="E41" s="26" t="n">
        <x:f>IF('Inputs'!$D$9&lt;&gt;"Ready","n.a.",IF(ISNUMBER('Inputs'!E25),IF('Inputs'!E25&gt;=0,'Inputs'!E25,"n.a."),IF('Inputs'!E25="",'Inputs'!$D$6,"n.a.")))</x:f>
        <x:v>500</x:v>
      </x:c>
      <x:c r="F41" s="22" t="n">
        <x:f>IF(COUNT($N$37:$N$41)=5,SUM($N$37:$N$41),"n.a.")</x:f>
        <x:v>235.12</x:v>
      </x:c>
      <x:c r="G41" s="22" t="n">
        <x:f>IF(COUNT(E41:F41)=2,MAX(0,E41-F41),"n.a.")</x:f>
        <x:v>264.88</x:v>
      </x:c>
      <x:c r="H41" s="26" t="str">
        <x:f>'Inputs'!C15</x:f>
        <x:v>Unused 5</x:v>
      </x:c>
      <x:c r="I41" s="26" t="n">
        <x:f>S36</x:f>
        <x:v>0</x:v>
      </x:c>
      <x:c r="J41" s="29" t="n">
        <x:f>IF('Inputs'!$D$9="Ready",'Inputs'!E15,"n.a.")</x:f>
        <x:v>0</x:v>
      </x:c>
      <x:c r="K41" s="26" t="n">
        <x:f>IF('Inputs'!$D$9="Ready",'Inputs'!F15,"n.a.")</x:f>
        <x:v>0</x:v>
      </x:c>
      <x:c r="L41" s="29" t="n">
        <x:f>IF('Inputs'!$D$9="Ready",'Inputs'!G15,"n.a.")</x:f>
        <x:v>0</x:v>
      </x:c>
      <x:c r="M41" s="22" t="n">
        <x:f>IF(COUNT(I41:L41)=4,ROUND(I41*J41/12,2),"n.a.")</x:f>
        <x:v>0</x:v>
      </x:c>
      <x:c r="N41" s="22" t="n">
        <x:f>IF(COUNT(I41:M41)=5,MIN(I41+M41,ROUND(MAX(K41,I41*L41+M41),2)),"n.a.")</x:f>
        <x:v>0</x:v>
      </x:c>
      <x:c r="O41" s="30" t="n">
        <x:f>IF(COUNT($I$37:$I$41)&lt;&gt;5,"n.a.",IF(I41=0,6,IF('Inputs'!$D$5=1,COUNTIFS($I$37:$I$41,"&gt;0",$I$37:$I$41,"&lt;"&amp;I41)+COUNTIFS($I$37:I41,I41),COUNTIFS($I$37:$I$41,"&gt;0",$J$37:$J$41,"&gt;"&amp;J41)+COUNTIFS($I$37:I41,"&gt;0",$J$37:J41,J41))))</x:f>
        <x:v>6</x:v>
      </x:c>
      <x:c r="P41" s="22" t="n">
        <x:f>IF(T41="Ready",MIN(U41,MAX(0,G41-SUMIFS($U$37:$U$41,$O$37:$O$41,"&lt;"&amp;O41))),"n.a.")</x:f>
        <x:v>0</x:v>
      </x:c>
      <x:c r="Q41" s="22" t="n">
        <x:f>IF(T41="Ready",ROUND(N41+P41,2),"n.a.")</x:f>
        <x:v>0</x:v>
      </x:c>
      <x:c r="R41" s="22" t="n">
        <x:f>IF(T41="Ready",ROUND(Q41-M41,2),"n.a.")</x:f>
        <x:v>0</x:v>
      </x:c>
      <x:c r="S41" s="22" t="n">
        <x:f>IF(T41="Ready",MAX(0,ROUND(I41+M41-Q41,2)),"n.a.")</x:f>
        <x:v>0</x:v>
      </x:c>
      <x:c r="T41" s="22" t="str">
        <x:f>IF(AND(COUNT($I$37:$I$41)=5,COUNT(E41:F41)=2),IF(E41&gt;=F41,"Ready","Budget below minima"),"Check inputs")</x:f>
        <x:v>Ready</x:v>
      </x:c>
      <x:c r="U41" s="22" t="n">
        <x:f>IF(COUNT(I41,M41,N41)=3,MAX(0,ROUND(I41+M41-N41,2)),"n.a.")</x:f>
        <x:v>0</x:v>
      </x:c>
    </x:row>
    <x:row r="42" ht="22" customHeight="1">
      <x:c r="A42" s="2"/>
      <x:c r="B42" s="2"/>
      <x:c r="C42" s="27" t="n">
        <x:f>8</x:f>
        <x:v>8</x:v>
      </x:c>
      <x:c r="D42" s="28" t="n">
        <x:f>IF(ISNUMBER('Inputs'!$D$7),EDATE('Inputs'!$D$7,7),"n.a.")</x:f>
        <x:v>46539</x:v>
      </x:c>
      <x:c r="E42" s="26" t="n">
        <x:f>IF('Inputs'!$D$9&lt;&gt;"Ready","n.a.",IF(ISNUMBER('Inputs'!E26),IF('Inputs'!E26&gt;=0,'Inputs'!E26,"n.a."),IF('Inputs'!E26="",'Inputs'!$D$6,"n.a.")))</x:f>
        <x:v>500</x:v>
      </x:c>
      <x:c r="F42" s="22" t="n">
        <x:f>IF(COUNT($N$42:$N$46)=5,SUM($N$42:$N$46),"n.a.")</x:f>
        <x:v>224.15</x:v>
      </x:c>
      <x:c r="G42" s="22" t="n">
        <x:f>IF(COUNT(E42:F42)=2,MAX(0,E42-F42),"n.a.")</x:f>
        <x:v>275.85</x:v>
      </x:c>
      <x:c r="H42" s="26" t="str">
        <x:f>'Inputs'!C11</x:f>
        <x:v>Card A</x:v>
      </x:c>
      <x:c r="I42" s="26" t="n">
        <x:f>S37</x:f>
        <x:v>0</x:v>
      </x:c>
      <x:c r="J42" s="29" t="n">
        <x:f>IF('Inputs'!$D$9="Ready",'Inputs'!E11,"n.a.")</x:f>
        <x:v>0.24</x:v>
      </x:c>
      <x:c r="K42" s="26" t="n">
        <x:f>IF('Inputs'!$D$9="Ready",'Inputs'!F11,"n.a.")</x:f>
        <x:v>35</x:v>
      </x:c>
      <x:c r="L42" s="29" t="n">
        <x:f>IF('Inputs'!$D$9="Ready",'Inputs'!G11,"n.a.")</x:f>
        <x:v>0.02</x:v>
      </x:c>
      <x:c r="M42" s="22" t="n">
        <x:f>IF(COUNT(I42:L42)=4,ROUND(I42*J42/12,2),"n.a.")</x:f>
        <x:v>0</x:v>
      </x:c>
      <x:c r="N42" s="22" t="n">
        <x:f>IF(COUNT(I42:M42)=5,MIN(I42+M42,ROUND(MAX(K42,I42*L42+M42),2)),"n.a.")</x:f>
        <x:v>0</x:v>
      </x:c>
      <x:c r="O42" s="30" t="n">
        <x:f>IF(COUNT($I$42:$I$46)&lt;&gt;5,"n.a.",IF(I42=0,6,IF('Inputs'!$D$5=1,COUNTIFS($I$42:$I$46,"&gt;0",$I$42:$I$46,"&lt;"&amp;I42)+COUNTIFS($I$42:I42,I42),COUNTIFS($I$42:$I$46,"&gt;0",$J$42:$J$46,"&gt;"&amp;J42)+COUNTIFS($I$42:I42,"&gt;0",$J$42:J42,J42))))</x:f>
        <x:v>6</x:v>
      </x:c>
      <x:c r="P42" s="22" t="n">
        <x:f>IF(T42="Ready",MIN(U42,MAX(0,G42-SUMIFS($U$42:$U$46,$O$42:$O$46,"&lt;"&amp;O42))),"n.a.")</x:f>
        <x:v>0</x:v>
      </x:c>
      <x:c r="Q42" s="22" t="n">
        <x:f>IF(T42="Ready",ROUND(N42+P42,2),"n.a.")</x:f>
        <x:v>0</x:v>
      </x:c>
      <x:c r="R42" s="22" t="n">
        <x:f>IF(T42="Ready",ROUND(Q42-M42,2),"n.a.")</x:f>
        <x:v>0</x:v>
      </x:c>
      <x:c r="S42" s="22" t="n">
        <x:f>IF(T42="Ready",MAX(0,ROUND(I42+M42-Q42,2)),"n.a.")</x:f>
        <x:v>0</x:v>
      </x:c>
      <x:c r="T42" s="22" t="str">
        <x:f>IF(AND(COUNT($I$42:$I$46)=5,COUNT(E42:F42)=2),IF(E42&gt;=F42,"Ready","Budget below minima"),"Check inputs")</x:f>
        <x:v>Ready</x:v>
      </x:c>
      <x:c r="U42" s="22" t="n">
        <x:f>IF(COUNT(I42,M42,N42)=3,MAX(0,ROUND(I42+M42-N42,2)),"n.a.")</x:f>
        <x:v>0</x:v>
      </x:c>
    </x:row>
    <x:row r="43" ht="22" customHeight="1">
      <x:c r="A43" s="2"/>
      <x:c r="B43" s="2"/>
      <x:c r="C43" s="27" t="n">
        <x:f>8</x:f>
        <x:v>8</x:v>
      </x:c>
      <x:c r="D43" s="28" t="n">
        <x:f>IF(ISNUMBER('Inputs'!$D$7),EDATE('Inputs'!$D$7,7),"n.a.")</x:f>
        <x:v>46539</x:v>
      </x:c>
      <x:c r="E43" s="26" t="n">
        <x:f>IF('Inputs'!$D$9&lt;&gt;"Ready","n.a.",IF(ISNUMBER('Inputs'!E26),IF('Inputs'!E26&gt;=0,'Inputs'!E26,"n.a."),IF('Inputs'!E26="",'Inputs'!$D$6,"n.a.")))</x:f>
        <x:v>500</x:v>
      </x:c>
      <x:c r="F43" s="22" t="n">
        <x:f>IF(COUNT($N$42:$N$46)=5,SUM($N$42:$N$46),"n.a.")</x:f>
        <x:v>224.15</x:v>
      </x:c>
      <x:c r="G43" s="22" t="n">
        <x:f>IF(COUNT(E43:F43)=2,MAX(0,E43-F43),"n.a.")</x:f>
        <x:v>275.85</x:v>
      </x:c>
      <x:c r="H43" s="26" t="str">
        <x:f>'Inputs'!C12</x:f>
        <x:v>Card B</x:v>
      </x:c>
      <x:c r="I43" s="26" t="n">
        <x:f>S38</x:f>
        <x:v>2118.41</x:v>
      </x:c>
      <x:c r="J43" s="29" t="n">
        <x:f>IF('Inputs'!$D$9="Ready",'Inputs'!E12,"n.a.")</x:f>
        <x:v>0.18</x:v>
      </x:c>
      <x:c r="K43" s="26" t="n">
        <x:f>IF('Inputs'!$D$9="Ready",'Inputs'!F12,"n.a.")</x:f>
        <x:v>60</x:v>
      </x:c>
      <x:c r="L43" s="29" t="n">
        <x:f>IF('Inputs'!$D$9="Ready",'Inputs'!G12,"n.a.")</x:f>
        <x:v>0.02</x:v>
      </x:c>
      <x:c r="M43" s="22" t="n">
        <x:f>IF(COUNT(I43:L43)=4,ROUND(I43*J43/12,2),"n.a.")</x:f>
        <x:v>31.78</x:v>
      </x:c>
      <x:c r="N43" s="22" t="n">
        <x:f>IF(COUNT(I43:M43)=5,MIN(I43+M43,ROUND(MAX(K43,I43*L43+M43),2)),"n.a.")</x:f>
        <x:v>74.15</x:v>
      </x:c>
      <x:c r="O43" s="30" t="n">
        <x:f>IF(COUNT($I$42:$I$46)&lt;&gt;5,"n.a.",IF(I43=0,6,IF('Inputs'!$D$5=1,COUNTIFS($I$42:$I$46,"&gt;0",$I$42:$I$46,"&lt;"&amp;I43)+COUNTIFS($I$42:I43,I43),COUNTIFS($I$42:$I$46,"&gt;0",$J$42:$J$46,"&gt;"&amp;J43)+COUNTIFS($I$42:I43,"&gt;0",$J$42:J43,J43))))</x:f>
        <x:v>1</x:v>
      </x:c>
      <x:c r="P43" s="22" t="n">
        <x:f>IF(T43="Ready",MIN(U43,MAX(0,G43-SUMIFS($U$42:$U$46,$O$42:$O$46,"&lt;"&amp;O43))),"n.a.")</x:f>
        <x:v>275.85</x:v>
      </x:c>
      <x:c r="Q43" s="22" t="n">
        <x:f>IF(T43="Ready",ROUND(N43+P43,2),"n.a.")</x:f>
        <x:v>350</x:v>
      </x:c>
      <x:c r="R43" s="22" t="n">
        <x:f>IF(T43="Ready",ROUND(Q43-M43,2),"n.a.")</x:f>
        <x:v>318.22</x:v>
      </x:c>
      <x:c r="S43" s="22" t="n">
        <x:f>IF(T43="Ready",MAX(0,ROUND(I43+M43-Q43,2)),"n.a.")</x:f>
        <x:v>1800.19</x:v>
      </x:c>
      <x:c r="T43" s="22" t="str">
        <x:f>IF(AND(COUNT($I$42:$I$46)=5,COUNT(E43:F43)=2),IF(E43&gt;=F43,"Ready","Budget below minima"),"Check inputs")</x:f>
        <x:v>Ready</x:v>
      </x:c>
      <x:c r="U43" s="22" t="n">
        <x:f>IF(COUNT(I43,M43,N43)=3,MAX(0,ROUND(I43+M43-N43,2)),"n.a.")</x:f>
        <x:v>2076.04</x:v>
      </x:c>
    </x:row>
    <x:row r="44" ht="22" customHeight="1">
      <x:c r="A44" s="2"/>
      <x:c r="B44" s="2"/>
      <x:c r="C44" s="27" t="n">
        <x:f>8</x:f>
        <x:v>8</x:v>
      </x:c>
      <x:c r="D44" s="28" t="n">
        <x:f>IF(ISNUMBER('Inputs'!$D$7),EDATE('Inputs'!$D$7,7),"n.a.")</x:f>
        <x:v>46539</x:v>
      </x:c>
      <x:c r="E44" s="26" t="n">
        <x:f>IF('Inputs'!$D$9&lt;&gt;"Ready","n.a.",IF(ISNUMBER('Inputs'!E26),IF('Inputs'!E26&gt;=0,'Inputs'!E26,"n.a."),IF('Inputs'!E26="",'Inputs'!$D$6,"n.a.")))</x:f>
        <x:v>500</x:v>
      </x:c>
      <x:c r="F44" s="22" t="n">
        <x:f>IF(COUNT($N$42:$N$46)=5,SUM($N$42:$N$46),"n.a.")</x:f>
        <x:v>224.15</x:v>
      </x:c>
      <x:c r="G44" s="22" t="n">
        <x:f>IF(COUNT(E44:F44)=2,MAX(0,E44-F44),"n.a.")</x:f>
        <x:v>275.85</x:v>
      </x:c>
      <x:c r="H44" s="26" t="str">
        <x:f>'Inputs'!C13</x:f>
        <x:v>Loan C</x:v>
      </x:c>
      <x:c r="I44" s="26" t="n">
        <x:f>S39</x:f>
        <x:v>4166.81</x:v>
      </x:c>
      <x:c r="J44" s="29" t="n">
        <x:f>IF('Inputs'!$D$9="Ready",'Inputs'!E13,"n.a.")</x:f>
        <x:v>0.08</x:v>
      </x:c>
      <x:c r="K44" s="26" t="n">
        <x:f>IF('Inputs'!$D$9="Ready",'Inputs'!F13,"n.a.")</x:f>
        <x:v>150</x:v>
      </x:c>
      <x:c r="L44" s="29" t="n">
        <x:f>IF('Inputs'!$D$9="Ready",'Inputs'!G13,"n.a.")</x:f>
        <x:v>0</x:v>
      </x:c>
      <x:c r="M44" s="22" t="n">
        <x:f>IF(COUNT(I44:L44)=4,ROUND(I44*J44/12,2),"n.a.")</x:f>
        <x:v>27.78</x:v>
      </x:c>
      <x:c r="N44" s="22" t="n">
        <x:f>IF(COUNT(I44:M44)=5,MIN(I44+M44,ROUND(MAX(K44,I44*L44+M44),2)),"n.a.")</x:f>
        <x:v>150</x:v>
      </x:c>
      <x:c r="O44" s="30" t="n">
        <x:f>IF(COUNT($I$42:$I$46)&lt;&gt;5,"n.a.",IF(I44=0,6,IF('Inputs'!$D$5=1,COUNTIFS($I$42:$I$46,"&gt;0",$I$42:$I$46,"&lt;"&amp;I44)+COUNTIFS($I$42:I44,I44),COUNTIFS($I$42:$I$46,"&gt;0",$J$42:$J$46,"&gt;"&amp;J44)+COUNTIFS($I$42:I44,"&gt;0",$J$42:J44,J44))))</x:f>
        <x:v>2</x:v>
      </x:c>
      <x:c r="P44" s="22" t="n">
        <x:f>IF(T44="Ready",MIN(U44,MAX(0,G44-SUMIFS($U$42:$U$46,$O$42:$O$46,"&lt;"&amp;O44))),"n.a.")</x:f>
        <x:v>0</x:v>
      </x:c>
      <x:c r="Q44" s="22" t="n">
        <x:f>IF(T44="Ready",ROUND(N44+P44,2),"n.a.")</x:f>
        <x:v>150</x:v>
      </x:c>
      <x:c r="R44" s="22" t="n">
        <x:f>IF(T44="Ready",ROUND(Q44-M44,2),"n.a.")</x:f>
        <x:v>122.22</x:v>
      </x:c>
      <x:c r="S44" s="22" t="n">
        <x:f>IF(T44="Ready",MAX(0,ROUND(I44+M44-Q44,2)),"n.a.")</x:f>
        <x:v>4044.59</x:v>
      </x:c>
      <x:c r="T44" s="22" t="str">
        <x:f>IF(AND(COUNT($I$42:$I$46)=5,COUNT(E44:F44)=2),IF(E44&gt;=F44,"Ready","Budget below minima"),"Check inputs")</x:f>
        <x:v>Ready</x:v>
      </x:c>
      <x:c r="U44" s="22" t="n">
        <x:f>IF(COUNT(I44,M44,N44)=3,MAX(0,ROUND(I44+M44-N44,2)),"n.a.")</x:f>
        <x:v>4044.59</x:v>
      </x:c>
    </x:row>
    <x:row r="45" ht="22" customHeight="1">
      <x:c r="A45" s="2"/>
      <x:c r="B45" s="2"/>
      <x:c r="C45" s="27" t="n">
        <x:f>8</x:f>
        <x:v>8</x:v>
      </x:c>
      <x:c r="D45" s="28" t="n">
        <x:f>IF(ISNUMBER('Inputs'!$D$7),EDATE('Inputs'!$D$7,7),"n.a.")</x:f>
        <x:v>46539</x:v>
      </x:c>
      <x:c r="E45" s="26" t="n">
        <x:f>IF('Inputs'!$D$9&lt;&gt;"Ready","n.a.",IF(ISNUMBER('Inputs'!E26),IF('Inputs'!E26&gt;=0,'Inputs'!E26,"n.a."),IF('Inputs'!E26="",'Inputs'!$D$6,"n.a.")))</x:f>
        <x:v>500</x:v>
      </x:c>
      <x:c r="F45" s="22" t="n">
        <x:f>IF(COUNT($N$42:$N$46)=5,SUM($N$42:$N$46),"n.a.")</x:f>
        <x:v>224.15</x:v>
      </x:c>
      <x:c r="G45" s="22" t="n">
        <x:f>IF(COUNT(E45:F45)=2,MAX(0,E45-F45),"n.a.")</x:f>
        <x:v>275.85</x:v>
      </x:c>
      <x:c r="H45" s="26" t="str">
        <x:f>'Inputs'!C14</x:f>
        <x:v>Unused 4</x:v>
      </x:c>
      <x:c r="I45" s="26" t="n">
        <x:f>S40</x:f>
        <x:v>0</x:v>
      </x:c>
      <x:c r="J45" s="29" t="n">
        <x:f>IF('Inputs'!$D$9="Ready",'Inputs'!E14,"n.a.")</x:f>
        <x:v>0</x:v>
      </x:c>
      <x:c r="K45" s="26" t="n">
        <x:f>IF('Inputs'!$D$9="Ready",'Inputs'!F14,"n.a.")</x:f>
        <x:v>0</x:v>
      </x:c>
      <x:c r="L45" s="29" t="n">
        <x:f>IF('Inputs'!$D$9="Ready",'Inputs'!G14,"n.a.")</x:f>
        <x:v>0</x:v>
      </x:c>
      <x:c r="M45" s="22" t="n">
        <x:f>IF(COUNT(I45:L45)=4,ROUND(I45*J45/12,2),"n.a.")</x:f>
        <x:v>0</x:v>
      </x:c>
      <x:c r="N45" s="22" t="n">
        <x:f>IF(COUNT(I45:M45)=5,MIN(I45+M45,ROUND(MAX(K45,I45*L45+M45),2)),"n.a.")</x:f>
        <x:v>0</x:v>
      </x:c>
      <x:c r="O45" s="30" t="n">
        <x:f>IF(COUNT($I$42:$I$46)&lt;&gt;5,"n.a.",IF(I45=0,6,IF('Inputs'!$D$5=1,COUNTIFS($I$42:$I$46,"&gt;0",$I$42:$I$46,"&lt;"&amp;I45)+COUNTIFS($I$42:I45,I45),COUNTIFS($I$42:$I$46,"&gt;0",$J$42:$J$46,"&gt;"&amp;J45)+COUNTIFS($I$42:I45,"&gt;0",$J$42:J45,J45))))</x:f>
        <x:v>6</x:v>
      </x:c>
      <x:c r="P45" s="22" t="n">
        <x:f>IF(T45="Ready",MIN(U45,MAX(0,G45-SUMIFS($U$42:$U$46,$O$42:$O$46,"&lt;"&amp;O45))),"n.a.")</x:f>
        <x:v>0</x:v>
      </x:c>
      <x:c r="Q45" s="22" t="n">
        <x:f>IF(T45="Ready",ROUND(N45+P45,2),"n.a.")</x:f>
        <x:v>0</x:v>
      </x:c>
      <x:c r="R45" s="22" t="n">
        <x:f>IF(T45="Ready",ROUND(Q45-M45,2),"n.a.")</x:f>
        <x:v>0</x:v>
      </x:c>
      <x:c r="S45" s="22" t="n">
        <x:f>IF(T45="Ready",MAX(0,ROUND(I45+M45-Q45,2)),"n.a.")</x:f>
        <x:v>0</x:v>
      </x:c>
      <x:c r="T45" s="22" t="str">
        <x:f>IF(AND(COUNT($I$42:$I$46)=5,COUNT(E45:F45)=2),IF(E45&gt;=F45,"Ready","Budget below minima"),"Check inputs")</x:f>
        <x:v>Ready</x:v>
      </x:c>
      <x:c r="U45" s="22" t="n">
        <x:f>IF(COUNT(I45,M45,N45)=3,MAX(0,ROUND(I45+M45-N45,2)),"n.a.")</x:f>
        <x:v>0</x:v>
      </x:c>
    </x:row>
    <x:row r="46" ht="22" customHeight="1">
      <x:c r="A46" s="2"/>
      <x:c r="B46" s="2"/>
      <x:c r="C46" s="27" t="n">
        <x:f>8</x:f>
        <x:v>8</x:v>
      </x:c>
      <x:c r="D46" s="28" t="n">
        <x:f>IF(ISNUMBER('Inputs'!$D$7),EDATE('Inputs'!$D$7,7),"n.a.")</x:f>
        <x:v>46539</x:v>
      </x:c>
      <x:c r="E46" s="26" t="n">
        <x:f>IF('Inputs'!$D$9&lt;&gt;"Ready","n.a.",IF(ISNUMBER('Inputs'!E26),IF('Inputs'!E26&gt;=0,'Inputs'!E26,"n.a."),IF('Inputs'!E26="",'Inputs'!$D$6,"n.a.")))</x:f>
        <x:v>500</x:v>
      </x:c>
      <x:c r="F46" s="22" t="n">
        <x:f>IF(COUNT($N$42:$N$46)=5,SUM($N$42:$N$46),"n.a.")</x:f>
        <x:v>224.15</x:v>
      </x:c>
      <x:c r="G46" s="22" t="n">
        <x:f>IF(COUNT(E46:F46)=2,MAX(0,E46-F46),"n.a.")</x:f>
        <x:v>275.85</x:v>
      </x:c>
      <x:c r="H46" s="26" t="str">
        <x:f>'Inputs'!C15</x:f>
        <x:v>Unused 5</x:v>
      </x:c>
      <x:c r="I46" s="26" t="n">
        <x:f>S41</x:f>
        <x:v>0</x:v>
      </x:c>
      <x:c r="J46" s="29" t="n">
        <x:f>IF('Inputs'!$D$9="Ready",'Inputs'!E15,"n.a.")</x:f>
        <x:v>0</x:v>
      </x:c>
      <x:c r="K46" s="26" t="n">
        <x:f>IF('Inputs'!$D$9="Ready",'Inputs'!F15,"n.a.")</x:f>
        <x:v>0</x:v>
      </x:c>
      <x:c r="L46" s="29" t="n">
        <x:f>IF('Inputs'!$D$9="Ready",'Inputs'!G15,"n.a.")</x:f>
        <x:v>0</x:v>
      </x:c>
      <x:c r="M46" s="22" t="n">
        <x:f>IF(COUNT(I46:L46)=4,ROUND(I46*J46/12,2),"n.a.")</x:f>
        <x:v>0</x:v>
      </x:c>
      <x:c r="N46" s="22" t="n">
        <x:f>IF(COUNT(I46:M46)=5,MIN(I46+M46,ROUND(MAX(K46,I46*L46+M46),2)),"n.a.")</x:f>
        <x:v>0</x:v>
      </x:c>
      <x:c r="O46" s="30" t="n">
        <x:f>IF(COUNT($I$42:$I$46)&lt;&gt;5,"n.a.",IF(I46=0,6,IF('Inputs'!$D$5=1,COUNTIFS($I$42:$I$46,"&gt;0",$I$42:$I$46,"&lt;"&amp;I46)+COUNTIFS($I$42:I46,I46),COUNTIFS($I$42:$I$46,"&gt;0",$J$42:$J$46,"&gt;"&amp;J46)+COUNTIFS($I$42:I46,"&gt;0",$J$42:J46,J46))))</x:f>
        <x:v>6</x:v>
      </x:c>
      <x:c r="P46" s="22" t="n">
        <x:f>IF(T46="Ready",MIN(U46,MAX(0,G46-SUMIFS($U$42:$U$46,$O$42:$O$46,"&lt;"&amp;O46))),"n.a.")</x:f>
        <x:v>0</x:v>
      </x:c>
      <x:c r="Q46" s="22" t="n">
        <x:f>IF(T46="Ready",ROUND(N46+P46,2),"n.a.")</x:f>
        <x:v>0</x:v>
      </x:c>
      <x:c r="R46" s="22" t="n">
        <x:f>IF(T46="Ready",ROUND(Q46-M46,2),"n.a.")</x:f>
        <x:v>0</x:v>
      </x:c>
      <x:c r="S46" s="22" t="n">
        <x:f>IF(T46="Ready",MAX(0,ROUND(I46+M46-Q46,2)),"n.a.")</x:f>
        <x:v>0</x:v>
      </x:c>
      <x:c r="T46" s="22" t="str">
        <x:f>IF(AND(COUNT($I$42:$I$46)=5,COUNT(E46:F46)=2),IF(E46&gt;=F46,"Ready","Budget below minima"),"Check inputs")</x:f>
        <x:v>Ready</x:v>
      </x:c>
      <x:c r="U46" s="22" t="n">
        <x:f>IF(COUNT(I46,M46,N46)=3,MAX(0,ROUND(I46+M46-N46,2)),"n.a.")</x:f>
        <x:v>0</x:v>
      </x:c>
    </x:row>
    <x:row r="47" ht="22" customHeight="1">
      <x:c r="A47" s="2"/>
      <x:c r="B47" s="2"/>
      <x:c r="C47" s="27" t="n">
        <x:f>9</x:f>
        <x:v>9</x:v>
      </x:c>
      <x:c r="D47" s="28" t="n">
        <x:f>IF(ISNUMBER('Inputs'!$D$7),EDATE('Inputs'!$D$7,8),"n.a.")</x:f>
        <x:v>46569</x:v>
      </x:c>
      <x:c r="E47" s="26" t="n">
        <x:f>IF('Inputs'!$D$9&lt;&gt;"Ready","n.a.",IF(ISNUMBER('Inputs'!E27),IF('Inputs'!E27&gt;=0,'Inputs'!E27,"n.a."),IF('Inputs'!E27="",'Inputs'!$D$6,"n.a.")))</x:f>
        <x:v>500</x:v>
      </x:c>
      <x:c r="F47" s="22" t="n">
        <x:f>IF(COUNT($N$47:$N$51)=5,SUM($N$47:$N$51),"n.a.")</x:f>
        <x:v>213</x:v>
      </x:c>
      <x:c r="G47" s="22" t="n">
        <x:f>IF(COUNT(E47:F47)=2,MAX(0,E47-F47),"n.a.")</x:f>
        <x:v>287</x:v>
      </x:c>
      <x:c r="H47" s="26" t="str">
        <x:f>'Inputs'!C11</x:f>
        <x:v>Card A</x:v>
      </x:c>
      <x:c r="I47" s="26" t="n">
        <x:f>S42</x:f>
        <x:v>0</x:v>
      </x:c>
      <x:c r="J47" s="29" t="n">
        <x:f>IF('Inputs'!$D$9="Ready",'Inputs'!E11,"n.a.")</x:f>
        <x:v>0.24</x:v>
      </x:c>
      <x:c r="K47" s="26" t="n">
        <x:f>IF('Inputs'!$D$9="Ready",'Inputs'!F11,"n.a.")</x:f>
        <x:v>35</x:v>
      </x:c>
      <x:c r="L47" s="29" t="n">
        <x:f>IF('Inputs'!$D$9="Ready",'Inputs'!G11,"n.a.")</x:f>
        <x:v>0.02</x:v>
      </x:c>
      <x:c r="M47" s="22" t="n">
        <x:f>IF(COUNT(I47:L47)=4,ROUND(I47*J47/12,2),"n.a.")</x:f>
        <x:v>0</x:v>
      </x:c>
      <x:c r="N47" s="22" t="n">
        <x:f>IF(COUNT(I47:M47)=5,MIN(I47+M47,ROUND(MAX(K47,I47*L47+M47),2)),"n.a.")</x:f>
        <x:v>0</x:v>
      </x:c>
      <x:c r="O47" s="30" t="n">
        <x:f>IF(COUNT($I$47:$I$51)&lt;&gt;5,"n.a.",IF(I47=0,6,IF('Inputs'!$D$5=1,COUNTIFS($I$47:$I$51,"&gt;0",$I$47:$I$51,"&lt;"&amp;I47)+COUNTIFS($I$47:I47,I47),COUNTIFS($I$47:$I$51,"&gt;0",$J$47:$J$51,"&gt;"&amp;J47)+COUNTIFS($I$47:I47,"&gt;0",$J$47:J47,J47))))</x:f>
        <x:v>6</x:v>
      </x:c>
      <x:c r="P47" s="22" t="n">
        <x:f>IF(T47="Ready",MIN(U47,MAX(0,G47-SUMIFS($U$47:$U$51,$O$47:$O$51,"&lt;"&amp;O47))),"n.a.")</x:f>
        <x:v>0</x:v>
      </x:c>
      <x:c r="Q47" s="22" t="n">
        <x:f>IF(T47="Ready",ROUND(N47+P47,2),"n.a.")</x:f>
        <x:v>0</x:v>
      </x:c>
      <x:c r="R47" s="22" t="n">
        <x:f>IF(T47="Ready",ROUND(Q47-M47,2),"n.a.")</x:f>
        <x:v>0</x:v>
      </x:c>
      <x:c r="S47" s="22" t="n">
        <x:f>IF(T47="Ready",MAX(0,ROUND(I47+M47-Q47,2)),"n.a.")</x:f>
        <x:v>0</x:v>
      </x:c>
      <x:c r="T47" s="22" t="str">
        <x:f>IF(AND(COUNT($I$47:$I$51)=5,COUNT(E47:F47)=2),IF(E47&gt;=F47,"Ready","Budget below minima"),"Check inputs")</x:f>
        <x:v>Ready</x:v>
      </x:c>
      <x:c r="U47" s="22" t="n">
        <x:f>IF(COUNT(I47,M47,N47)=3,MAX(0,ROUND(I47+M47-N47,2)),"n.a.")</x:f>
        <x:v>0</x:v>
      </x:c>
    </x:row>
    <x:row r="48" ht="22" customHeight="1">
      <x:c r="A48" s="2"/>
      <x:c r="B48" s="2"/>
      <x:c r="C48" s="27" t="n">
        <x:f>9</x:f>
        <x:v>9</x:v>
      </x:c>
      <x:c r="D48" s="28" t="n">
        <x:f>IF(ISNUMBER('Inputs'!$D$7),EDATE('Inputs'!$D$7,8),"n.a.")</x:f>
        <x:v>46569</x:v>
      </x:c>
      <x:c r="E48" s="26" t="n">
        <x:f>IF('Inputs'!$D$9&lt;&gt;"Ready","n.a.",IF(ISNUMBER('Inputs'!E27),IF('Inputs'!E27&gt;=0,'Inputs'!E27,"n.a."),IF('Inputs'!E27="",'Inputs'!$D$6,"n.a.")))</x:f>
        <x:v>500</x:v>
      </x:c>
      <x:c r="F48" s="22" t="n">
        <x:f>IF(COUNT($N$47:$N$51)=5,SUM($N$47:$N$51),"n.a.")</x:f>
        <x:v>213</x:v>
      </x:c>
      <x:c r="G48" s="22" t="n">
        <x:f>IF(COUNT(E48:F48)=2,MAX(0,E48-F48),"n.a.")</x:f>
        <x:v>287</x:v>
      </x:c>
      <x:c r="H48" s="26" t="str">
        <x:f>'Inputs'!C12</x:f>
        <x:v>Card B</x:v>
      </x:c>
      <x:c r="I48" s="26" t="n">
        <x:f>S43</x:f>
        <x:v>1800.19</x:v>
      </x:c>
      <x:c r="J48" s="29" t="n">
        <x:f>IF('Inputs'!$D$9="Ready",'Inputs'!E12,"n.a.")</x:f>
        <x:v>0.18</x:v>
      </x:c>
      <x:c r="K48" s="26" t="n">
        <x:f>IF('Inputs'!$D$9="Ready",'Inputs'!F12,"n.a.")</x:f>
        <x:v>60</x:v>
      </x:c>
      <x:c r="L48" s="29" t="n">
        <x:f>IF('Inputs'!$D$9="Ready",'Inputs'!G12,"n.a.")</x:f>
        <x:v>0.02</x:v>
      </x:c>
      <x:c r="M48" s="22" t="n">
        <x:f>IF(COUNT(I48:L48)=4,ROUND(I48*J48/12,2),"n.a.")</x:f>
        <x:v>27</x:v>
      </x:c>
      <x:c r="N48" s="22" t="n">
        <x:f>IF(COUNT(I48:M48)=5,MIN(I48+M48,ROUND(MAX(K48,I48*L48+M48),2)),"n.a.")</x:f>
        <x:v>63</x:v>
      </x:c>
      <x:c r="O48" s="30" t="n">
        <x:f>IF(COUNT($I$47:$I$51)&lt;&gt;5,"n.a.",IF(I48=0,6,IF('Inputs'!$D$5=1,COUNTIFS($I$47:$I$51,"&gt;0",$I$47:$I$51,"&lt;"&amp;I48)+COUNTIFS($I$47:I48,I48),COUNTIFS($I$47:$I$51,"&gt;0",$J$47:$J$51,"&gt;"&amp;J48)+COUNTIFS($I$47:I48,"&gt;0",$J$47:J48,J48))))</x:f>
        <x:v>1</x:v>
      </x:c>
      <x:c r="P48" s="22" t="n">
        <x:f>IF(T48="Ready",MIN(U48,MAX(0,G48-SUMIFS($U$47:$U$51,$O$47:$O$51,"&lt;"&amp;O48))),"n.a.")</x:f>
        <x:v>287</x:v>
      </x:c>
      <x:c r="Q48" s="22" t="n">
        <x:f>IF(T48="Ready",ROUND(N48+P48,2),"n.a.")</x:f>
        <x:v>350</x:v>
      </x:c>
      <x:c r="R48" s="22" t="n">
        <x:f>IF(T48="Ready",ROUND(Q48-M48,2),"n.a.")</x:f>
        <x:v>323</x:v>
      </x:c>
      <x:c r="S48" s="22" t="n">
        <x:f>IF(T48="Ready",MAX(0,ROUND(I48+M48-Q48,2)),"n.a.")</x:f>
        <x:v>1477.19</x:v>
      </x:c>
      <x:c r="T48" s="22" t="str">
        <x:f>IF(AND(COUNT($I$47:$I$51)=5,COUNT(E48:F48)=2),IF(E48&gt;=F48,"Ready","Budget below minima"),"Check inputs")</x:f>
        <x:v>Ready</x:v>
      </x:c>
      <x:c r="U48" s="22" t="n">
        <x:f>IF(COUNT(I48,M48,N48)=3,MAX(0,ROUND(I48+M48-N48,2)),"n.a.")</x:f>
        <x:v>1764.19</x:v>
      </x:c>
    </x:row>
    <x:row r="49" ht="22" customHeight="1">
      <x:c r="A49" s="2"/>
      <x:c r="B49" s="2"/>
      <x:c r="C49" s="27" t="n">
        <x:f>9</x:f>
        <x:v>9</x:v>
      </x:c>
      <x:c r="D49" s="28" t="n">
        <x:f>IF(ISNUMBER('Inputs'!$D$7),EDATE('Inputs'!$D$7,8),"n.a.")</x:f>
        <x:v>46569</x:v>
      </x:c>
      <x:c r="E49" s="26" t="n">
        <x:f>IF('Inputs'!$D$9&lt;&gt;"Ready","n.a.",IF(ISNUMBER('Inputs'!E27),IF('Inputs'!E27&gt;=0,'Inputs'!E27,"n.a."),IF('Inputs'!E27="",'Inputs'!$D$6,"n.a.")))</x:f>
        <x:v>500</x:v>
      </x:c>
      <x:c r="F49" s="22" t="n">
        <x:f>IF(COUNT($N$47:$N$51)=5,SUM($N$47:$N$51),"n.a.")</x:f>
        <x:v>213</x:v>
      </x:c>
      <x:c r="G49" s="22" t="n">
        <x:f>IF(COUNT(E49:F49)=2,MAX(0,E49-F49),"n.a.")</x:f>
        <x:v>287</x:v>
      </x:c>
      <x:c r="H49" s="26" t="str">
        <x:f>'Inputs'!C13</x:f>
        <x:v>Loan C</x:v>
      </x:c>
      <x:c r="I49" s="26" t="n">
        <x:f>S44</x:f>
        <x:v>4044.59</x:v>
      </x:c>
      <x:c r="J49" s="29" t="n">
        <x:f>IF('Inputs'!$D$9="Ready",'Inputs'!E13,"n.a.")</x:f>
        <x:v>0.08</x:v>
      </x:c>
      <x:c r="K49" s="26" t="n">
        <x:f>IF('Inputs'!$D$9="Ready",'Inputs'!F13,"n.a.")</x:f>
        <x:v>150</x:v>
      </x:c>
      <x:c r="L49" s="29" t="n">
        <x:f>IF('Inputs'!$D$9="Ready",'Inputs'!G13,"n.a.")</x:f>
        <x:v>0</x:v>
      </x:c>
      <x:c r="M49" s="22" t="n">
        <x:f>IF(COUNT(I49:L49)=4,ROUND(I49*J49/12,2),"n.a.")</x:f>
        <x:v>26.96</x:v>
      </x:c>
      <x:c r="N49" s="22" t="n">
        <x:f>IF(COUNT(I49:M49)=5,MIN(I49+M49,ROUND(MAX(K49,I49*L49+M49),2)),"n.a.")</x:f>
        <x:v>150</x:v>
      </x:c>
      <x:c r="O49" s="30" t="n">
        <x:f>IF(COUNT($I$47:$I$51)&lt;&gt;5,"n.a.",IF(I49=0,6,IF('Inputs'!$D$5=1,COUNTIFS($I$47:$I$51,"&gt;0",$I$47:$I$51,"&lt;"&amp;I49)+COUNTIFS($I$47:I49,I49),COUNTIFS($I$47:$I$51,"&gt;0",$J$47:$J$51,"&gt;"&amp;J49)+COUNTIFS($I$47:I49,"&gt;0",$J$47:J49,J49))))</x:f>
        <x:v>2</x:v>
      </x:c>
      <x:c r="P49" s="22" t="n">
        <x:f>IF(T49="Ready",MIN(U49,MAX(0,G49-SUMIFS($U$47:$U$51,$O$47:$O$51,"&lt;"&amp;O49))),"n.a.")</x:f>
        <x:v>0</x:v>
      </x:c>
      <x:c r="Q49" s="22" t="n">
        <x:f>IF(T49="Ready",ROUND(N49+P49,2),"n.a.")</x:f>
        <x:v>150</x:v>
      </x:c>
      <x:c r="R49" s="22" t="n">
        <x:f>IF(T49="Ready",ROUND(Q49-M49,2),"n.a.")</x:f>
        <x:v>123.04</x:v>
      </x:c>
      <x:c r="S49" s="22" t="n">
        <x:f>IF(T49="Ready",MAX(0,ROUND(I49+M49-Q49,2)),"n.a.")</x:f>
        <x:v>3921.55</x:v>
      </x:c>
      <x:c r="T49" s="22" t="str">
        <x:f>IF(AND(COUNT($I$47:$I$51)=5,COUNT(E49:F49)=2),IF(E49&gt;=F49,"Ready","Budget below minima"),"Check inputs")</x:f>
        <x:v>Ready</x:v>
      </x:c>
      <x:c r="U49" s="22" t="n">
        <x:f>IF(COUNT(I49,M49,N49)=3,MAX(0,ROUND(I49+M49-N49,2)),"n.a.")</x:f>
        <x:v>3921.55</x:v>
      </x:c>
    </x:row>
    <x:row r="50" ht="22" customHeight="1">
      <x:c r="A50" s="2"/>
      <x:c r="B50" s="2"/>
      <x:c r="C50" s="27" t="n">
        <x:f>9</x:f>
        <x:v>9</x:v>
      </x:c>
      <x:c r="D50" s="28" t="n">
        <x:f>IF(ISNUMBER('Inputs'!$D$7),EDATE('Inputs'!$D$7,8),"n.a.")</x:f>
        <x:v>46569</x:v>
      </x:c>
      <x:c r="E50" s="26" t="n">
        <x:f>IF('Inputs'!$D$9&lt;&gt;"Ready","n.a.",IF(ISNUMBER('Inputs'!E27),IF('Inputs'!E27&gt;=0,'Inputs'!E27,"n.a."),IF('Inputs'!E27="",'Inputs'!$D$6,"n.a.")))</x:f>
        <x:v>500</x:v>
      </x:c>
      <x:c r="F50" s="22" t="n">
        <x:f>IF(COUNT($N$47:$N$51)=5,SUM($N$47:$N$51),"n.a.")</x:f>
        <x:v>213</x:v>
      </x:c>
      <x:c r="G50" s="22" t="n">
        <x:f>IF(COUNT(E50:F50)=2,MAX(0,E50-F50),"n.a.")</x:f>
        <x:v>287</x:v>
      </x:c>
      <x:c r="H50" s="26" t="str">
        <x:f>'Inputs'!C14</x:f>
        <x:v>Unused 4</x:v>
      </x:c>
      <x:c r="I50" s="26" t="n">
        <x:f>S45</x:f>
        <x:v>0</x:v>
      </x:c>
      <x:c r="J50" s="29" t="n">
        <x:f>IF('Inputs'!$D$9="Ready",'Inputs'!E14,"n.a.")</x:f>
        <x:v>0</x:v>
      </x:c>
      <x:c r="K50" s="26" t="n">
        <x:f>IF('Inputs'!$D$9="Ready",'Inputs'!F14,"n.a.")</x:f>
        <x:v>0</x:v>
      </x:c>
      <x:c r="L50" s="29" t="n">
        <x:f>IF('Inputs'!$D$9="Ready",'Inputs'!G14,"n.a.")</x:f>
        <x:v>0</x:v>
      </x:c>
      <x:c r="M50" s="22" t="n">
        <x:f>IF(COUNT(I50:L50)=4,ROUND(I50*J50/12,2),"n.a.")</x:f>
        <x:v>0</x:v>
      </x:c>
      <x:c r="N50" s="22" t="n">
        <x:f>IF(COUNT(I50:M50)=5,MIN(I50+M50,ROUND(MAX(K50,I50*L50+M50),2)),"n.a.")</x:f>
        <x:v>0</x:v>
      </x:c>
      <x:c r="O50" s="30" t="n">
        <x:f>IF(COUNT($I$47:$I$51)&lt;&gt;5,"n.a.",IF(I50=0,6,IF('Inputs'!$D$5=1,COUNTIFS($I$47:$I$51,"&gt;0",$I$47:$I$51,"&lt;"&amp;I50)+COUNTIFS($I$47:I50,I50),COUNTIFS($I$47:$I$51,"&gt;0",$J$47:$J$51,"&gt;"&amp;J50)+COUNTIFS($I$47:I50,"&gt;0",$J$47:J50,J50))))</x:f>
        <x:v>6</x:v>
      </x:c>
      <x:c r="P50" s="22" t="n">
        <x:f>IF(T50="Ready",MIN(U50,MAX(0,G50-SUMIFS($U$47:$U$51,$O$47:$O$51,"&lt;"&amp;O50))),"n.a.")</x:f>
        <x:v>0</x:v>
      </x:c>
      <x:c r="Q50" s="22" t="n">
        <x:f>IF(T50="Ready",ROUND(N50+P50,2),"n.a.")</x:f>
        <x:v>0</x:v>
      </x:c>
      <x:c r="R50" s="22" t="n">
        <x:f>IF(T50="Ready",ROUND(Q50-M50,2),"n.a.")</x:f>
        <x:v>0</x:v>
      </x:c>
      <x:c r="S50" s="22" t="n">
        <x:f>IF(T50="Ready",MAX(0,ROUND(I50+M50-Q50,2)),"n.a.")</x:f>
        <x:v>0</x:v>
      </x:c>
      <x:c r="T50" s="22" t="str">
        <x:f>IF(AND(COUNT($I$47:$I$51)=5,COUNT(E50:F50)=2),IF(E50&gt;=F50,"Ready","Budget below minima"),"Check inputs")</x:f>
        <x:v>Ready</x:v>
      </x:c>
      <x:c r="U50" s="22" t="n">
        <x:f>IF(COUNT(I50,M50,N50)=3,MAX(0,ROUND(I50+M50-N50,2)),"n.a.")</x:f>
        <x:v>0</x:v>
      </x:c>
    </x:row>
    <x:row r="51" ht="22" customHeight="1">
      <x:c r="A51" s="2"/>
      <x:c r="B51" s="2"/>
      <x:c r="C51" s="27" t="n">
        <x:f>9</x:f>
        <x:v>9</x:v>
      </x:c>
      <x:c r="D51" s="28" t="n">
        <x:f>IF(ISNUMBER('Inputs'!$D$7),EDATE('Inputs'!$D$7,8),"n.a.")</x:f>
        <x:v>46569</x:v>
      </x:c>
      <x:c r="E51" s="26" t="n">
        <x:f>IF('Inputs'!$D$9&lt;&gt;"Ready","n.a.",IF(ISNUMBER('Inputs'!E27),IF('Inputs'!E27&gt;=0,'Inputs'!E27,"n.a."),IF('Inputs'!E27="",'Inputs'!$D$6,"n.a.")))</x:f>
        <x:v>500</x:v>
      </x:c>
      <x:c r="F51" s="22" t="n">
        <x:f>IF(COUNT($N$47:$N$51)=5,SUM($N$47:$N$51),"n.a.")</x:f>
        <x:v>213</x:v>
      </x:c>
      <x:c r="G51" s="22" t="n">
        <x:f>IF(COUNT(E51:F51)=2,MAX(0,E51-F51),"n.a.")</x:f>
        <x:v>287</x:v>
      </x:c>
      <x:c r="H51" s="26" t="str">
        <x:f>'Inputs'!C15</x:f>
        <x:v>Unused 5</x:v>
      </x:c>
      <x:c r="I51" s="26" t="n">
        <x:f>S46</x:f>
        <x:v>0</x:v>
      </x:c>
      <x:c r="J51" s="29" t="n">
        <x:f>IF('Inputs'!$D$9="Ready",'Inputs'!E15,"n.a.")</x:f>
        <x:v>0</x:v>
      </x:c>
      <x:c r="K51" s="26" t="n">
        <x:f>IF('Inputs'!$D$9="Ready",'Inputs'!F15,"n.a.")</x:f>
        <x:v>0</x:v>
      </x:c>
      <x:c r="L51" s="29" t="n">
        <x:f>IF('Inputs'!$D$9="Ready",'Inputs'!G15,"n.a.")</x:f>
        <x:v>0</x:v>
      </x:c>
      <x:c r="M51" s="22" t="n">
        <x:f>IF(COUNT(I51:L51)=4,ROUND(I51*J51/12,2),"n.a.")</x:f>
        <x:v>0</x:v>
      </x:c>
      <x:c r="N51" s="22" t="n">
        <x:f>IF(COUNT(I51:M51)=5,MIN(I51+M51,ROUND(MAX(K51,I51*L51+M51),2)),"n.a.")</x:f>
        <x:v>0</x:v>
      </x:c>
      <x:c r="O51" s="30" t="n">
        <x:f>IF(COUNT($I$47:$I$51)&lt;&gt;5,"n.a.",IF(I51=0,6,IF('Inputs'!$D$5=1,COUNTIFS($I$47:$I$51,"&gt;0",$I$47:$I$51,"&lt;"&amp;I51)+COUNTIFS($I$47:I51,I51),COUNTIFS($I$47:$I$51,"&gt;0",$J$47:$J$51,"&gt;"&amp;J51)+COUNTIFS($I$47:I51,"&gt;0",$J$47:J51,J51))))</x:f>
        <x:v>6</x:v>
      </x:c>
      <x:c r="P51" s="22" t="n">
        <x:f>IF(T51="Ready",MIN(U51,MAX(0,G51-SUMIFS($U$47:$U$51,$O$47:$O$51,"&lt;"&amp;O51))),"n.a.")</x:f>
        <x:v>0</x:v>
      </x:c>
      <x:c r="Q51" s="22" t="n">
        <x:f>IF(T51="Ready",ROUND(N51+P51,2),"n.a.")</x:f>
        <x:v>0</x:v>
      </x:c>
      <x:c r="R51" s="22" t="n">
        <x:f>IF(T51="Ready",ROUND(Q51-M51,2),"n.a.")</x:f>
        <x:v>0</x:v>
      </x:c>
      <x:c r="S51" s="22" t="n">
        <x:f>IF(T51="Ready",MAX(0,ROUND(I51+M51-Q51,2)),"n.a.")</x:f>
        <x:v>0</x:v>
      </x:c>
      <x:c r="T51" s="22" t="str">
        <x:f>IF(AND(COUNT($I$47:$I$51)=5,COUNT(E51:F51)=2),IF(E51&gt;=F51,"Ready","Budget below minima"),"Check inputs")</x:f>
        <x:v>Ready</x:v>
      </x:c>
      <x:c r="U51" s="22" t="n">
        <x:f>IF(COUNT(I51,M51,N51)=3,MAX(0,ROUND(I51+M51-N51,2)),"n.a.")</x:f>
        <x:v>0</x:v>
      </x:c>
    </x:row>
    <x:row r="52" ht="22" customHeight="1">
      <x:c r="A52" s="2"/>
      <x:c r="B52" s="2"/>
      <x:c r="C52" s="27" t="n">
        <x:f>10</x:f>
        <x:v>10</x:v>
      </x:c>
      <x:c r="D52" s="28" t="n">
        <x:f>IF(ISNUMBER('Inputs'!$D$7),EDATE('Inputs'!$D$7,9),"n.a.")</x:f>
        <x:v>46600</x:v>
      </x:c>
      <x:c r="E52" s="26" t="n">
        <x:f>IF('Inputs'!$D$9&lt;&gt;"Ready","n.a.",IF(ISNUMBER('Inputs'!E28),IF('Inputs'!E28&gt;=0,'Inputs'!E28,"n.a."),IF('Inputs'!E28="",'Inputs'!$D$6,"n.a.")))</x:f>
        <x:v>500</x:v>
      </x:c>
      <x:c r="F52" s="22" t="n">
        <x:f>IF(COUNT($N$52:$N$56)=5,SUM($N$52:$N$56),"n.a.")</x:f>
        <x:v>210</x:v>
      </x:c>
      <x:c r="G52" s="22" t="n">
        <x:f>IF(COUNT(E52:F52)=2,MAX(0,E52-F52),"n.a.")</x:f>
        <x:v>290</x:v>
      </x:c>
      <x:c r="H52" s="26" t="str">
        <x:f>'Inputs'!C11</x:f>
        <x:v>Card A</x:v>
      </x:c>
      <x:c r="I52" s="26" t="n">
        <x:f>S47</x:f>
        <x:v>0</x:v>
      </x:c>
      <x:c r="J52" s="29" t="n">
        <x:f>IF('Inputs'!$D$9="Ready",'Inputs'!E11,"n.a.")</x:f>
        <x:v>0.24</x:v>
      </x:c>
      <x:c r="K52" s="26" t="n">
        <x:f>IF('Inputs'!$D$9="Ready",'Inputs'!F11,"n.a.")</x:f>
        <x:v>35</x:v>
      </x:c>
      <x:c r="L52" s="29" t="n">
        <x:f>IF('Inputs'!$D$9="Ready",'Inputs'!G11,"n.a.")</x:f>
        <x:v>0.02</x:v>
      </x:c>
      <x:c r="M52" s="22" t="n">
        <x:f>IF(COUNT(I52:L52)=4,ROUND(I52*J52/12,2),"n.a.")</x:f>
        <x:v>0</x:v>
      </x:c>
      <x:c r="N52" s="22" t="n">
        <x:f>IF(COUNT(I52:M52)=5,MIN(I52+M52,ROUND(MAX(K52,I52*L52+M52),2)),"n.a.")</x:f>
        <x:v>0</x:v>
      </x:c>
      <x:c r="O52" s="30" t="n">
        <x:f>IF(COUNT($I$52:$I$56)&lt;&gt;5,"n.a.",IF(I52=0,6,IF('Inputs'!$D$5=1,COUNTIFS($I$52:$I$56,"&gt;0",$I$52:$I$56,"&lt;"&amp;I52)+COUNTIFS($I$52:I52,I52),COUNTIFS($I$52:$I$56,"&gt;0",$J$52:$J$56,"&gt;"&amp;J52)+COUNTIFS($I$52:I52,"&gt;0",$J$52:J52,J52))))</x:f>
        <x:v>6</x:v>
      </x:c>
      <x:c r="P52" s="22" t="n">
        <x:f>IF(T52="Ready",MIN(U52,MAX(0,G52-SUMIFS($U$52:$U$56,$O$52:$O$56,"&lt;"&amp;O52))),"n.a.")</x:f>
        <x:v>0</x:v>
      </x:c>
      <x:c r="Q52" s="22" t="n">
        <x:f>IF(T52="Ready",ROUND(N52+P52,2),"n.a.")</x:f>
        <x:v>0</x:v>
      </x:c>
      <x:c r="R52" s="22" t="n">
        <x:f>IF(T52="Ready",ROUND(Q52-M52,2),"n.a.")</x:f>
        <x:v>0</x:v>
      </x:c>
      <x:c r="S52" s="22" t="n">
        <x:f>IF(T52="Ready",MAX(0,ROUND(I52+M52-Q52,2)),"n.a.")</x:f>
        <x:v>0</x:v>
      </x:c>
      <x:c r="T52" s="22" t="str">
        <x:f>IF(AND(COUNT($I$52:$I$56)=5,COUNT(E52:F52)=2),IF(E52&gt;=F52,"Ready","Budget below minima"),"Check inputs")</x:f>
        <x:v>Ready</x:v>
      </x:c>
      <x:c r="U52" s="22" t="n">
        <x:f>IF(COUNT(I52,M52,N52)=3,MAX(0,ROUND(I52+M52-N52,2)),"n.a.")</x:f>
        <x:v>0</x:v>
      </x:c>
    </x:row>
    <x:row r="53" ht="22" customHeight="1">
      <x:c r="A53" s="2"/>
      <x:c r="B53" s="2"/>
      <x:c r="C53" s="27" t="n">
        <x:f>10</x:f>
        <x:v>10</x:v>
      </x:c>
      <x:c r="D53" s="28" t="n">
        <x:f>IF(ISNUMBER('Inputs'!$D$7),EDATE('Inputs'!$D$7,9),"n.a.")</x:f>
        <x:v>46600</x:v>
      </x:c>
      <x:c r="E53" s="26" t="n">
        <x:f>IF('Inputs'!$D$9&lt;&gt;"Ready","n.a.",IF(ISNUMBER('Inputs'!E28),IF('Inputs'!E28&gt;=0,'Inputs'!E28,"n.a."),IF('Inputs'!E28="",'Inputs'!$D$6,"n.a.")))</x:f>
        <x:v>500</x:v>
      </x:c>
      <x:c r="F53" s="22" t="n">
        <x:f>IF(COUNT($N$52:$N$56)=5,SUM($N$52:$N$56),"n.a.")</x:f>
        <x:v>210</x:v>
      </x:c>
      <x:c r="G53" s="22" t="n">
        <x:f>IF(COUNT(E53:F53)=2,MAX(0,E53-F53),"n.a.")</x:f>
        <x:v>290</x:v>
      </x:c>
      <x:c r="H53" s="26" t="str">
        <x:f>'Inputs'!C12</x:f>
        <x:v>Card B</x:v>
      </x:c>
      <x:c r="I53" s="26" t="n">
        <x:f>S48</x:f>
        <x:v>1477.19</x:v>
      </x:c>
      <x:c r="J53" s="29" t="n">
        <x:f>IF('Inputs'!$D$9="Ready",'Inputs'!E12,"n.a.")</x:f>
        <x:v>0.18</x:v>
      </x:c>
      <x:c r="K53" s="26" t="n">
        <x:f>IF('Inputs'!$D$9="Ready",'Inputs'!F12,"n.a.")</x:f>
        <x:v>60</x:v>
      </x:c>
      <x:c r="L53" s="29" t="n">
        <x:f>IF('Inputs'!$D$9="Ready",'Inputs'!G12,"n.a.")</x:f>
        <x:v>0.02</x:v>
      </x:c>
      <x:c r="M53" s="22" t="n">
        <x:f>IF(COUNT(I53:L53)=4,ROUND(I53*J53/12,2),"n.a.")</x:f>
        <x:v>22.16</x:v>
      </x:c>
      <x:c r="N53" s="22" t="n">
        <x:f>IF(COUNT(I53:M53)=5,MIN(I53+M53,ROUND(MAX(K53,I53*L53+M53),2)),"n.a.")</x:f>
        <x:v>60</x:v>
      </x:c>
      <x:c r="O53" s="30" t="n">
        <x:f>IF(COUNT($I$52:$I$56)&lt;&gt;5,"n.a.",IF(I53=0,6,IF('Inputs'!$D$5=1,COUNTIFS($I$52:$I$56,"&gt;0",$I$52:$I$56,"&lt;"&amp;I53)+COUNTIFS($I$52:I53,I53),COUNTIFS($I$52:$I$56,"&gt;0",$J$52:$J$56,"&gt;"&amp;J53)+COUNTIFS($I$52:I53,"&gt;0",$J$52:J53,J53))))</x:f>
        <x:v>1</x:v>
      </x:c>
      <x:c r="P53" s="22" t="n">
        <x:f>IF(T53="Ready",MIN(U53,MAX(0,G53-SUMIFS($U$52:$U$56,$O$52:$O$56,"&lt;"&amp;O53))),"n.a.")</x:f>
        <x:v>290</x:v>
      </x:c>
      <x:c r="Q53" s="22" t="n">
        <x:f>IF(T53="Ready",ROUND(N53+P53,2),"n.a.")</x:f>
        <x:v>350</x:v>
      </x:c>
      <x:c r="R53" s="22" t="n">
        <x:f>IF(T53="Ready",ROUND(Q53-M53,2),"n.a.")</x:f>
        <x:v>327.84</x:v>
      </x:c>
      <x:c r="S53" s="22" t="n">
        <x:f>IF(T53="Ready",MAX(0,ROUND(I53+M53-Q53,2)),"n.a.")</x:f>
        <x:v>1149.35</x:v>
      </x:c>
      <x:c r="T53" s="22" t="str">
        <x:f>IF(AND(COUNT($I$52:$I$56)=5,COUNT(E53:F53)=2),IF(E53&gt;=F53,"Ready","Budget below minima"),"Check inputs")</x:f>
        <x:v>Ready</x:v>
      </x:c>
      <x:c r="U53" s="22" t="n">
        <x:f>IF(COUNT(I53,M53,N53)=3,MAX(0,ROUND(I53+M53-N53,2)),"n.a.")</x:f>
        <x:v>1439.35</x:v>
      </x:c>
    </x:row>
    <x:row r="54" ht="22" customHeight="1">
      <x:c r="A54" s="2"/>
      <x:c r="B54" s="2"/>
      <x:c r="C54" s="27" t="n">
        <x:f>10</x:f>
        <x:v>10</x:v>
      </x:c>
      <x:c r="D54" s="28" t="n">
        <x:f>IF(ISNUMBER('Inputs'!$D$7),EDATE('Inputs'!$D$7,9),"n.a.")</x:f>
        <x:v>46600</x:v>
      </x:c>
      <x:c r="E54" s="26" t="n">
        <x:f>IF('Inputs'!$D$9&lt;&gt;"Ready","n.a.",IF(ISNUMBER('Inputs'!E28),IF('Inputs'!E28&gt;=0,'Inputs'!E28,"n.a."),IF('Inputs'!E28="",'Inputs'!$D$6,"n.a.")))</x:f>
        <x:v>500</x:v>
      </x:c>
      <x:c r="F54" s="22" t="n">
        <x:f>IF(COUNT($N$52:$N$56)=5,SUM($N$52:$N$56),"n.a.")</x:f>
        <x:v>210</x:v>
      </x:c>
      <x:c r="G54" s="22" t="n">
        <x:f>IF(COUNT(E54:F54)=2,MAX(0,E54-F54),"n.a.")</x:f>
        <x:v>290</x:v>
      </x:c>
      <x:c r="H54" s="26" t="str">
        <x:f>'Inputs'!C13</x:f>
        <x:v>Loan C</x:v>
      </x:c>
      <x:c r="I54" s="26" t="n">
        <x:f>S49</x:f>
        <x:v>3921.55</x:v>
      </x:c>
      <x:c r="J54" s="29" t="n">
        <x:f>IF('Inputs'!$D$9="Ready",'Inputs'!E13,"n.a.")</x:f>
        <x:v>0.08</x:v>
      </x:c>
      <x:c r="K54" s="26" t="n">
        <x:f>IF('Inputs'!$D$9="Ready",'Inputs'!F13,"n.a.")</x:f>
        <x:v>150</x:v>
      </x:c>
      <x:c r="L54" s="29" t="n">
        <x:f>IF('Inputs'!$D$9="Ready",'Inputs'!G13,"n.a.")</x:f>
        <x:v>0</x:v>
      </x:c>
      <x:c r="M54" s="22" t="n">
        <x:f>IF(COUNT(I54:L54)=4,ROUND(I54*J54/12,2),"n.a.")</x:f>
        <x:v>26.14</x:v>
      </x:c>
      <x:c r="N54" s="22" t="n">
        <x:f>IF(COUNT(I54:M54)=5,MIN(I54+M54,ROUND(MAX(K54,I54*L54+M54),2)),"n.a.")</x:f>
        <x:v>150</x:v>
      </x:c>
      <x:c r="O54" s="30" t="n">
        <x:f>IF(COUNT($I$52:$I$56)&lt;&gt;5,"n.a.",IF(I54=0,6,IF('Inputs'!$D$5=1,COUNTIFS($I$52:$I$56,"&gt;0",$I$52:$I$56,"&lt;"&amp;I54)+COUNTIFS($I$52:I54,I54),COUNTIFS($I$52:$I$56,"&gt;0",$J$52:$J$56,"&gt;"&amp;J54)+COUNTIFS($I$52:I54,"&gt;0",$J$52:J54,J54))))</x:f>
        <x:v>2</x:v>
      </x:c>
      <x:c r="P54" s="22" t="n">
        <x:f>IF(T54="Ready",MIN(U54,MAX(0,G54-SUMIFS($U$52:$U$56,$O$52:$O$56,"&lt;"&amp;O54))),"n.a.")</x:f>
        <x:v>0</x:v>
      </x:c>
      <x:c r="Q54" s="22" t="n">
        <x:f>IF(T54="Ready",ROUND(N54+P54,2),"n.a.")</x:f>
        <x:v>150</x:v>
      </x:c>
      <x:c r="R54" s="22" t="n">
        <x:f>IF(T54="Ready",ROUND(Q54-M54,2),"n.a.")</x:f>
        <x:v>123.86</x:v>
      </x:c>
      <x:c r="S54" s="22" t="n">
        <x:f>IF(T54="Ready",MAX(0,ROUND(I54+M54-Q54,2)),"n.a.")</x:f>
        <x:v>3797.69</x:v>
      </x:c>
      <x:c r="T54" s="22" t="str">
        <x:f>IF(AND(COUNT($I$52:$I$56)=5,COUNT(E54:F54)=2),IF(E54&gt;=F54,"Ready","Budget below minima"),"Check inputs")</x:f>
        <x:v>Ready</x:v>
      </x:c>
      <x:c r="U54" s="22" t="n">
        <x:f>IF(COUNT(I54,M54,N54)=3,MAX(0,ROUND(I54+M54-N54,2)),"n.a.")</x:f>
        <x:v>3797.69</x:v>
      </x:c>
    </x:row>
    <x:row r="55" ht="22" customHeight="1">
      <x:c r="A55" s="2"/>
      <x:c r="B55" s="2"/>
      <x:c r="C55" s="27" t="n">
        <x:f>10</x:f>
        <x:v>10</x:v>
      </x:c>
      <x:c r="D55" s="28" t="n">
        <x:f>IF(ISNUMBER('Inputs'!$D$7),EDATE('Inputs'!$D$7,9),"n.a.")</x:f>
        <x:v>46600</x:v>
      </x:c>
      <x:c r="E55" s="26" t="n">
        <x:f>IF('Inputs'!$D$9&lt;&gt;"Ready","n.a.",IF(ISNUMBER('Inputs'!E28),IF('Inputs'!E28&gt;=0,'Inputs'!E28,"n.a."),IF('Inputs'!E28="",'Inputs'!$D$6,"n.a.")))</x:f>
        <x:v>500</x:v>
      </x:c>
      <x:c r="F55" s="22" t="n">
        <x:f>IF(COUNT($N$52:$N$56)=5,SUM($N$52:$N$56),"n.a.")</x:f>
        <x:v>210</x:v>
      </x:c>
      <x:c r="G55" s="22" t="n">
        <x:f>IF(COUNT(E55:F55)=2,MAX(0,E55-F55),"n.a.")</x:f>
        <x:v>290</x:v>
      </x:c>
      <x:c r="H55" s="26" t="str">
        <x:f>'Inputs'!C14</x:f>
        <x:v>Unused 4</x:v>
      </x:c>
      <x:c r="I55" s="26" t="n">
        <x:f>S50</x:f>
        <x:v>0</x:v>
      </x:c>
      <x:c r="J55" s="29" t="n">
        <x:f>IF('Inputs'!$D$9="Ready",'Inputs'!E14,"n.a.")</x:f>
        <x:v>0</x:v>
      </x:c>
      <x:c r="K55" s="26" t="n">
        <x:f>IF('Inputs'!$D$9="Ready",'Inputs'!F14,"n.a.")</x:f>
        <x:v>0</x:v>
      </x:c>
      <x:c r="L55" s="29" t="n">
        <x:f>IF('Inputs'!$D$9="Ready",'Inputs'!G14,"n.a.")</x:f>
        <x:v>0</x:v>
      </x:c>
      <x:c r="M55" s="22" t="n">
        <x:f>IF(COUNT(I55:L55)=4,ROUND(I55*J55/12,2),"n.a.")</x:f>
        <x:v>0</x:v>
      </x:c>
      <x:c r="N55" s="22" t="n">
        <x:f>IF(COUNT(I55:M55)=5,MIN(I55+M55,ROUND(MAX(K55,I55*L55+M55),2)),"n.a.")</x:f>
        <x:v>0</x:v>
      </x:c>
      <x:c r="O55" s="30" t="n">
        <x:f>IF(COUNT($I$52:$I$56)&lt;&gt;5,"n.a.",IF(I55=0,6,IF('Inputs'!$D$5=1,COUNTIFS($I$52:$I$56,"&gt;0",$I$52:$I$56,"&lt;"&amp;I55)+COUNTIFS($I$52:I55,I55),COUNTIFS($I$52:$I$56,"&gt;0",$J$52:$J$56,"&gt;"&amp;J55)+COUNTIFS($I$52:I55,"&gt;0",$J$52:J55,J55))))</x:f>
        <x:v>6</x:v>
      </x:c>
      <x:c r="P55" s="22" t="n">
        <x:f>IF(T55="Ready",MIN(U55,MAX(0,G55-SUMIFS($U$52:$U$56,$O$52:$O$56,"&lt;"&amp;O55))),"n.a.")</x:f>
        <x:v>0</x:v>
      </x:c>
      <x:c r="Q55" s="22" t="n">
        <x:f>IF(T55="Ready",ROUND(N55+P55,2),"n.a.")</x:f>
        <x:v>0</x:v>
      </x:c>
      <x:c r="R55" s="22" t="n">
        <x:f>IF(T55="Ready",ROUND(Q55-M55,2),"n.a.")</x:f>
        <x:v>0</x:v>
      </x:c>
      <x:c r="S55" s="22" t="n">
        <x:f>IF(T55="Ready",MAX(0,ROUND(I55+M55-Q55,2)),"n.a.")</x:f>
        <x:v>0</x:v>
      </x:c>
      <x:c r="T55" s="22" t="str">
        <x:f>IF(AND(COUNT($I$52:$I$56)=5,COUNT(E55:F55)=2),IF(E55&gt;=F55,"Ready","Budget below minima"),"Check inputs")</x:f>
        <x:v>Ready</x:v>
      </x:c>
      <x:c r="U55" s="22" t="n">
        <x:f>IF(COUNT(I55,M55,N55)=3,MAX(0,ROUND(I55+M55-N55,2)),"n.a.")</x:f>
        <x:v>0</x:v>
      </x:c>
    </x:row>
    <x:row r="56" ht="22" customHeight="1">
      <x:c r="A56" s="2"/>
      <x:c r="B56" s="2"/>
      <x:c r="C56" s="27" t="n">
        <x:f>10</x:f>
        <x:v>10</x:v>
      </x:c>
      <x:c r="D56" s="28" t="n">
        <x:f>IF(ISNUMBER('Inputs'!$D$7),EDATE('Inputs'!$D$7,9),"n.a.")</x:f>
        <x:v>46600</x:v>
      </x:c>
      <x:c r="E56" s="26" t="n">
        <x:f>IF('Inputs'!$D$9&lt;&gt;"Ready","n.a.",IF(ISNUMBER('Inputs'!E28),IF('Inputs'!E28&gt;=0,'Inputs'!E28,"n.a."),IF('Inputs'!E28="",'Inputs'!$D$6,"n.a.")))</x:f>
        <x:v>500</x:v>
      </x:c>
      <x:c r="F56" s="22" t="n">
        <x:f>IF(COUNT($N$52:$N$56)=5,SUM($N$52:$N$56),"n.a.")</x:f>
        <x:v>210</x:v>
      </x:c>
      <x:c r="G56" s="22" t="n">
        <x:f>IF(COUNT(E56:F56)=2,MAX(0,E56-F56),"n.a.")</x:f>
        <x:v>290</x:v>
      </x:c>
      <x:c r="H56" s="26" t="str">
        <x:f>'Inputs'!C15</x:f>
        <x:v>Unused 5</x:v>
      </x:c>
      <x:c r="I56" s="26" t="n">
        <x:f>S51</x:f>
        <x:v>0</x:v>
      </x:c>
      <x:c r="J56" s="29" t="n">
        <x:f>IF('Inputs'!$D$9="Ready",'Inputs'!E15,"n.a.")</x:f>
        <x:v>0</x:v>
      </x:c>
      <x:c r="K56" s="26" t="n">
        <x:f>IF('Inputs'!$D$9="Ready",'Inputs'!F15,"n.a.")</x:f>
        <x:v>0</x:v>
      </x:c>
      <x:c r="L56" s="29" t="n">
        <x:f>IF('Inputs'!$D$9="Ready",'Inputs'!G15,"n.a.")</x:f>
        <x:v>0</x:v>
      </x:c>
      <x:c r="M56" s="22" t="n">
        <x:f>IF(COUNT(I56:L56)=4,ROUND(I56*J56/12,2),"n.a.")</x:f>
        <x:v>0</x:v>
      </x:c>
      <x:c r="N56" s="22" t="n">
        <x:f>IF(COUNT(I56:M56)=5,MIN(I56+M56,ROUND(MAX(K56,I56*L56+M56),2)),"n.a.")</x:f>
        <x:v>0</x:v>
      </x:c>
      <x:c r="O56" s="30" t="n">
        <x:f>IF(COUNT($I$52:$I$56)&lt;&gt;5,"n.a.",IF(I56=0,6,IF('Inputs'!$D$5=1,COUNTIFS($I$52:$I$56,"&gt;0",$I$52:$I$56,"&lt;"&amp;I56)+COUNTIFS($I$52:I56,I56),COUNTIFS($I$52:$I$56,"&gt;0",$J$52:$J$56,"&gt;"&amp;J56)+COUNTIFS($I$52:I56,"&gt;0",$J$52:J56,J56))))</x:f>
        <x:v>6</x:v>
      </x:c>
      <x:c r="P56" s="22" t="n">
        <x:f>IF(T56="Ready",MIN(U56,MAX(0,G56-SUMIFS($U$52:$U$56,$O$52:$O$56,"&lt;"&amp;O56))),"n.a.")</x:f>
        <x:v>0</x:v>
      </x:c>
      <x:c r="Q56" s="22" t="n">
        <x:f>IF(T56="Ready",ROUND(N56+P56,2),"n.a.")</x:f>
        <x:v>0</x:v>
      </x:c>
      <x:c r="R56" s="22" t="n">
        <x:f>IF(T56="Ready",ROUND(Q56-M56,2),"n.a.")</x:f>
        <x:v>0</x:v>
      </x:c>
      <x:c r="S56" s="22" t="n">
        <x:f>IF(T56="Ready",MAX(0,ROUND(I56+M56-Q56,2)),"n.a.")</x:f>
        <x:v>0</x:v>
      </x:c>
      <x:c r="T56" s="22" t="str">
        <x:f>IF(AND(COUNT($I$52:$I$56)=5,COUNT(E56:F56)=2),IF(E56&gt;=F56,"Ready","Budget below minima"),"Check inputs")</x:f>
        <x:v>Ready</x:v>
      </x:c>
      <x:c r="U56" s="22" t="n">
        <x:f>IF(COUNT(I56,M56,N56)=3,MAX(0,ROUND(I56+M56-N56,2)),"n.a.")</x:f>
        <x:v>0</x:v>
      </x:c>
    </x:row>
    <x:row r="57" ht="22" customHeight="1">
      <x:c r="A57" s="2"/>
      <x:c r="B57" s="2"/>
      <x:c r="C57" s="27" t="n">
        <x:f>11</x:f>
        <x:v>11</x:v>
      </x:c>
      <x:c r="D57" s="28" t="n">
        <x:f>IF(ISNUMBER('Inputs'!$D$7),EDATE('Inputs'!$D$7,10),"n.a.")</x:f>
        <x:v>46631</x:v>
      </x:c>
      <x:c r="E57" s="26" t="n">
        <x:f>IF('Inputs'!$D$9&lt;&gt;"Ready","n.a.",IF(ISNUMBER('Inputs'!E29),IF('Inputs'!E29&gt;=0,'Inputs'!E29,"n.a."),IF('Inputs'!E29="",'Inputs'!$D$6,"n.a.")))</x:f>
        <x:v>500</x:v>
      </x:c>
      <x:c r="F57" s="22" t="n">
        <x:f>IF(COUNT($N$57:$N$61)=5,SUM($N$57:$N$61),"n.a.")</x:f>
        <x:v>210</x:v>
      </x:c>
      <x:c r="G57" s="22" t="n">
        <x:f>IF(COUNT(E57:F57)=2,MAX(0,E57-F57),"n.a.")</x:f>
        <x:v>290</x:v>
      </x:c>
      <x:c r="H57" s="26" t="str">
        <x:f>'Inputs'!C11</x:f>
        <x:v>Card A</x:v>
      </x:c>
      <x:c r="I57" s="26" t="n">
        <x:f>S52</x:f>
        <x:v>0</x:v>
      </x:c>
      <x:c r="J57" s="29" t="n">
        <x:f>IF('Inputs'!$D$9="Ready",'Inputs'!E11,"n.a.")</x:f>
        <x:v>0.24</x:v>
      </x:c>
      <x:c r="K57" s="26" t="n">
        <x:f>IF('Inputs'!$D$9="Ready",'Inputs'!F11,"n.a.")</x:f>
        <x:v>35</x:v>
      </x:c>
      <x:c r="L57" s="29" t="n">
        <x:f>IF('Inputs'!$D$9="Ready",'Inputs'!G11,"n.a.")</x:f>
        <x:v>0.02</x:v>
      </x:c>
      <x:c r="M57" s="22" t="n">
        <x:f>IF(COUNT(I57:L57)=4,ROUND(I57*J57/12,2),"n.a.")</x:f>
        <x:v>0</x:v>
      </x:c>
      <x:c r="N57" s="22" t="n">
        <x:f>IF(COUNT(I57:M57)=5,MIN(I57+M57,ROUND(MAX(K57,I57*L57+M57),2)),"n.a.")</x:f>
        <x:v>0</x:v>
      </x:c>
      <x:c r="O57" s="30" t="n">
        <x:f>IF(COUNT($I$57:$I$61)&lt;&gt;5,"n.a.",IF(I57=0,6,IF('Inputs'!$D$5=1,COUNTIFS($I$57:$I$61,"&gt;0",$I$57:$I$61,"&lt;"&amp;I57)+COUNTIFS($I$57:I57,I57),COUNTIFS($I$57:$I$61,"&gt;0",$J$57:$J$61,"&gt;"&amp;J57)+COUNTIFS($I$57:I57,"&gt;0",$J$57:J57,J57))))</x:f>
        <x:v>6</x:v>
      </x:c>
      <x:c r="P57" s="22" t="n">
        <x:f>IF(T57="Ready",MIN(U57,MAX(0,G57-SUMIFS($U$57:$U$61,$O$57:$O$61,"&lt;"&amp;O57))),"n.a.")</x:f>
        <x:v>0</x:v>
      </x:c>
      <x:c r="Q57" s="22" t="n">
        <x:f>IF(T57="Ready",ROUND(N57+P57,2),"n.a.")</x:f>
        <x:v>0</x:v>
      </x:c>
      <x:c r="R57" s="22" t="n">
        <x:f>IF(T57="Ready",ROUND(Q57-M57,2),"n.a.")</x:f>
        <x:v>0</x:v>
      </x:c>
      <x:c r="S57" s="22" t="n">
        <x:f>IF(T57="Ready",MAX(0,ROUND(I57+M57-Q57,2)),"n.a.")</x:f>
        <x:v>0</x:v>
      </x:c>
      <x:c r="T57" s="22" t="str">
        <x:f>IF(AND(COUNT($I$57:$I$61)=5,COUNT(E57:F57)=2),IF(E57&gt;=F57,"Ready","Budget below minima"),"Check inputs")</x:f>
        <x:v>Ready</x:v>
      </x:c>
      <x:c r="U57" s="22" t="n">
        <x:f>IF(COUNT(I57,M57,N57)=3,MAX(0,ROUND(I57+M57-N57,2)),"n.a.")</x:f>
        <x:v>0</x:v>
      </x:c>
    </x:row>
    <x:row r="58" ht="22" customHeight="1">
      <x:c r="A58" s="2"/>
      <x:c r="B58" s="2"/>
      <x:c r="C58" s="27" t="n">
        <x:f>11</x:f>
        <x:v>11</x:v>
      </x:c>
      <x:c r="D58" s="28" t="n">
        <x:f>IF(ISNUMBER('Inputs'!$D$7),EDATE('Inputs'!$D$7,10),"n.a.")</x:f>
        <x:v>46631</x:v>
      </x:c>
      <x:c r="E58" s="26" t="n">
        <x:f>IF('Inputs'!$D$9&lt;&gt;"Ready","n.a.",IF(ISNUMBER('Inputs'!E29),IF('Inputs'!E29&gt;=0,'Inputs'!E29,"n.a."),IF('Inputs'!E29="",'Inputs'!$D$6,"n.a.")))</x:f>
        <x:v>500</x:v>
      </x:c>
      <x:c r="F58" s="22" t="n">
        <x:f>IF(COUNT($N$57:$N$61)=5,SUM($N$57:$N$61),"n.a.")</x:f>
        <x:v>210</x:v>
      </x:c>
      <x:c r="G58" s="22" t="n">
        <x:f>IF(COUNT(E58:F58)=2,MAX(0,E58-F58),"n.a.")</x:f>
        <x:v>290</x:v>
      </x:c>
      <x:c r="H58" s="26" t="str">
        <x:f>'Inputs'!C12</x:f>
        <x:v>Card B</x:v>
      </x:c>
      <x:c r="I58" s="26" t="n">
        <x:f>S53</x:f>
        <x:v>1149.35</x:v>
      </x:c>
      <x:c r="J58" s="29" t="n">
        <x:f>IF('Inputs'!$D$9="Ready",'Inputs'!E12,"n.a.")</x:f>
        <x:v>0.18</x:v>
      </x:c>
      <x:c r="K58" s="26" t="n">
        <x:f>IF('Inputs'!$D$9="Ready",'Inputs'!F12,"n.a.")</x:f>
        <x:v>60</x:v>
      </x:c>
      <x:c r="L58" s="29" t="n">
        <x:f>IF('Inputs'!$D$9="Ready",'Inputs'!G12,"n.a.")</x:f>
        <x:v>0.02</x:v>
      </x:c>
      <x:c r="M58" s="22" t="n">
        <x:f>IF(COUNT(I58:L58)=4,ROUND(I58*J58/12,2),"n.a.")</x:f>
        <x:v>17.24</x:v>
      </x:c>
      <x:c r="N58" s="22" t="n">
        <x:f>IF(COUNT(I58:M58)=5,MIN(I58+M58,ROUND(MAX(K58,I58*L58+M58),2)),"n.a.")</x:f>
        <x:v>60</x:v>
      </x:c>
      <x:c r="O58" s="30" t="n">
        <x:f>IF(COUNT($I$57:$I$61)&lt;&gt;5,"n.a.",IF(I58=0,6,IF('Inputs'!$D$5=1,COUNTIFS($I$57:$I$61,"&gt;0",$I$57:$I$61,"&lt;"&amp;I58)+COUNTIFS($I$57:I58,I58),COUNTIFS($I$57:$I$61,"&gt;0",$J$57:$J$61,"&gt;"&amp;J58)+COUNTIFS($I$57:I58,"&gt;0",$J$57:J58,J58))))</x:f>
        <x:v>1</x:v>
      </x:c>
      <x:c r="P58" s="22" t="n">
        <x:f>IF(T58="Ready",MIN(U58,MAX(0,G58-SUMIFS($U$57:$U$61,$O$57:$O$61,"&lt;"&amp;O58))),"n.a.")</x:f>
        <x:v>290</x:v>
      </x:c>
      <x:c r="Q58" s="22" t="n">
        <x:f>IF(T58="Ready",ROUND(N58+P58,2),"n.a.")</x:f>
        <x:v>350</x:v>
      </x:c>
      <x:c r="R58" s="22" t="n">
        <x:f>IF(T58="Ready",ROUND(Q58-M58,2),"n.a.")</x:f>
        <x:v>332.76</x:v>
      </x:c>
      <x:c r="S58" s="22" t="n">
        <x:f>IF(T58="Ready",MAX(0,ROUND(I58+M58-Q58,2)),"n.a.")</x:f>
        <x:v>816.59</x:v>
      </x:c>
      <x:c r="T58" s="22" t="str">
        <x:f>IF(AND(COUNT($I$57:$I$61)=5,COUNT(E58:F58)=2),IF(E58&gt;=F58,"Ready","Budget below minima"),"Check inputs")</x:f>
        <x:v>Ready</x:v>
      </x:c>
      <x:c r="U58" s="22" t="n">
        <x:f>IF(COUNT(I58,M58,N58)=3,MAX(0,ROUND(I58+M58-N58,2)),"n.a.")</x:f>
        <x:v>1106.59</x:v>
      </x:c>
    </x:row>
    <x:row r="59" ht="22" customHeight="1">
      <x:c r="A59" s="2"/>
      <x:c r="B59" s="2"/>
      <x:c r="C59" s="27" t="n">
        <x:f>11</x:f>
        <x:v>11</x:v>
      </x:c>
      <x:c r="D59" s="28" t="n">
        <x:f>IF(ISNUMBER('Inputs'!$D$7),EDATE('Inputs'!$D$7,10),"n.a.")</x:f>
        <x:v>46631</x:v>
      </x:c>
      <x:c r="E59" s="26" t="n">
        <x:f>IF('Inputs'!$D$9&lt;&gt;"Ready","n.a.",IF(ISNUMBER('Inputs'!E29),IF('Inputs'!E29&gt;=0,'Inputs'!E29,"n.a."),IF('Inputs'!E29="",'Inputs'!$D$6,"n.a.")))</x:f>
        <x:v>500</x:v>
      </x:c>
      <x:c r="F59" s="22" t="n">
        <x:f>IF(COUNT($N$57:$N$61)=5,SUM($N$57:$N$61),"n.a.")</x:f>
        <x:v>210</x:v>
      </x:c>
      <x:c r="G59" s="22" t="n">
        <x:f>IF(COUNT(E59:F59)=2,MAX(0,E59-F59),"n.a.")</x:f>
        <x:v>290</x:v>
      </x:c>
      <x:c r="H59" s="26" t="str">
        <x:f>'Inputs'!C13</x:f>
        <x:v>Loan C</x:v>
      </x:c>
      <x:c r="I59" s="26" t="n">
        <x:f>S54</x:f>
        <x:v>3797.69</x:v>
      </x:c>
      <x:c r="J59" s="29" t="n">
        <x:f>IF('Inputs'!$D$9="Ready",'Inputs'!E13,"n.a.")</x:f>
        <x:v>0.08</x:v>
      </x:c>
      <x:c r="K59" s="26" t="n">
        <x:f>IF('Inputs'!$D$9="Ready",'Inputs'!F13,"n.a.")</x:f>
        <x:v>150</x:v>
      </x:c>
      <x:c r="L59" s="29" t="n">
        <x:f>IF('Inputs'!$D$9="Ready",'Inputs'!G13,"n.a.")</x:f>
        <x:v>0</x:v>
      </x:c>
      <x:c r="M59" s="22" t="n">
        <x:f>IF(COUNT(I59:L59)=4,ROUND(I59*J59/12,2),"n.a.")</x:f>
        <x:v>25.32</x:v>
      </x:c>
      <x:c r="N59" s="22" t="n">
        <x:f>IF(COUNT(I59:M59)=5,MIN(I59+M59,ROUND(MAX(K59,I59*L59+M59),2)),"n.a.")</x:f>
        <x:v>150</x:v>
      </x:c>
      <x:c r="O59" s="30" t="n">
        <x:f>IF(COUNT($I$57:$I$61)&lt;&gt;5,"n.a.",IF(I59=0,6,IF('Inputs'!$D$5=1,COUNTIFS($I$57:$I$61,"&gt;0",$I$57:$I$61,"&lt;"&amp;I59)+COUNTIFS($I$57:I59,I59),COUNTIFS($I$57:$I$61,"&gt;0",$J$57:$J$61,"&gt;"&amp;J59)+COUNTIFS($I$57:I59,"&gt;0",$J$57:J59,J59))))</x:f>
        <x:v>2</x:v>
      </x:c>
      <x:c r="P59" s="22" t="n">
        <x:f>IF(T59="Ready",MIN(U59,MAX(0,G59-SUMIFS($U$57:$U$61,$O$57:$O$61,"&lt;"&amp;O59))),"n.a.")</x:f>
        <x:v>0</x:v>
      </x:c>
      <x:c r="Q59" s="22" t="n">
        <x:f>IF(T59="Ready",ROUND(N59+P59,2),"n.a.")</x:f>
        <x:v>150</x:v>
      </x:c>
      <x:c r="R59" s="22" t="n">
        <x:f>IF(T59="Ready",ROUND(Q59-M59,2),"n.a.")</x:f>
        <x:v>124.68</x:v>
      </x:c>
      <x:c r="S59" s="22" t="n">
        <x:f>IF(T59="Ready",MAX(0,ROUND(I59+M59-Q59,2)),"n.a.")</x:f>
        <x:v>3673.01</x:v>
      </x:c>
      <x:c r="T59" s="22" t="str">
        <x:f>IF(AND(COUNT($I$57:$I$61)=5,COUNT(E59:F59)=2),IF(E59&gt;=F59,"Ready","Budget below minima"),"Check inputs")</x:f>
        <x:v>Ready</x:v>
      </x:c>
      <x:c r="U59" s="22" t="n">
        <x:f>IF(COUNT(I59,M59,N59)=3,MAX(0,ROUND(I59+M59-N59,2)),"n.a.")</x:f>
        <x:v>3673.01</x:v>
      </x:c>
    </x:row>
    <x:row r="60" ht="22" customHeight="1">
      <x:c r="A60" s="2"/>
      <x:c r="B60" s="2"/>
      <x:c r="C60" s="27" t="n">
        <x:f>11</x:f>
        <x:v>11</x:v>
      </x:c>
      <x:c r="D60" s="28" t="n">
        <x:f>IF(ISNUMBER('Inputs'!$D$7),EDATE('Inputs'!$D$7,10),"n.a.")</x:f>
        <x:v>46631</x:v>
      </x:c>
      <x:c r="E60" s="26" t="n">
        <x:f>IF('Inputs'!$D$9&lt;&gt;"Ready","n.a.",IF(ISNUMBER('Inputs'!E29),IF('Inputs'!E29&gt;=0,'Inputs'!E29,"n.a."),IF('Inputs'!E29="",'Inputs'!$D$6,"n.a.")))</x:f>
        <x:v>500</x:v>
      </x:c>
      <x:c r="F60" s="22" t="n">
        <x:f>IF(COUNT($N$57:$N$61)=5,SUM($N$57:$N$61),"n.a.")</x:f>
        <x:v>210</x:v>
      </x:c>
      <x:c r="G60" s="22" t="n">
        <x:f>IF(COUNT(E60:F60)=2,MAX(0,E60-F60),"n.a.")</x:f>
        <x:v>290</x:v>
      </x:c>
      <x:c r="H60" s="26" t="str">
        <x:f>'Inputs'!C14</x:f>
        <x:v>Unused 4</x:v>
      </x:c>
      <x:c r="I60" s="26" t="n">
        <x:f>S55</x:f>
        <x:v>0</x:v>
      </x:c>
      <x:c r="J60" s="29" t="n">
        <x:f>IF('Inputs'!$D$9="Ready",'Inputs'!E14,"n.a.")</x:f>
        <x:v>0</x:v>
      </x:c>
      <x:c r="K60" s="26" t="n">
        <x:f>IF('Inputs'!$D$9="Ready",'Inputs'!F14,"n.a.")</x:f>
        <x:v>0</x:v>
      </x:c>
      <x:c r="L60" s="29" t="n">
        <x:f>IF('Inputs'!$D$9="Ready",'Inputs'!G14,"n.a.")</x:f>
        <x:v>0</x:v>
      </x:c>
      <x:c r="M60" s="22" t="n">
        <x:f>IF(COUNT(I60:L60)=4,ROUND(I60*J60/12,2),"n.a.")</x:f>
        <x:v>0</x:v>
      </x:c>
      <x:c r="N60" s="22" t="n">
        <x:f>IF(COUNT(I60:M60)=5,MIN(I60+M60,ROUND(MAX(K60,I60*L60+M60),2)),"n.a.")</x:f>
        <x:v>0</x:v>
      </x:c>
      <x:c r="O60" s="30" t="n">
        <x:f>IF(COUNT($I$57:$I$61)&lt;&gt;5,"n.a.",IF(I60=0,6,IF('Inputs'!$D$5=1,COUNTIFS($I$57:$I$61,"&gt;0",$I$57:$I$61,"&lt;"&amp;I60)+COUNTIFS($I$57:I60,I60),COUNTIFS($I$57:$I$61,"&gt;0",$J$57:$J$61,"&gt;"&amp;J60)+COUNTIFS($I$57:I60,"&gt;0",$J$57:J60,J60))))</x:f>
        <x:v>6</x:v>
      </x:c>
      <x:c r="P60" s="22" t="n">
        <x:f>IF(T60="Ready",MIN(U60,MAX(0,G60-SUMIFS($U$57:$U$61,$O$57:$O$61,"&lt;"&amp;O60))),"n.a.")</x:f>
        <x:v>0</x:v>
      </x:c>
      <x:c r="Q60" s="22" t="n">
        <x:f>IF(T60="Ready",ROUND(N60+P60,2),"n.a.")</x:f>
        <x:v>0</x:v>
      </x:c>
      <x:c r="R60" s="22" t="n">
        <x:f>IF(T60="Ready",ROUND(Q60-M60,2),"n.a.")</x:f>
        <x:v>0</x:v>
      </x:c>
      <x:c r="S60" s="22" t="n">
        <x:f>IF(T60="Ready",MAX(0,ROUND(I60+M60-Q60,2)),"n.a.")</x:f>
        <x:v>0</x:v>
      </x:c>
      <x:c r="T60" s="22" t="str">
        <x:f>IF(AND(COUNT($I$57:$I$61)=5,COUNT(E60:F60)=2),IF(E60&gt;=F60,"Ready","Budget below minima"),"Check inputs")</x:f>
        <x:v>Ready</x:v>
      </x:c>
      <x:c r="U60" s="22" t="n">
        <x:f>IF(COUNT(I60,M60,N60)=3,MAX(0,ROUND(I60+M60-N60,2)),"n.a.")</x:f>
        <x:v>0</x:v>
      </x:c>
    </x:row>
    <x:row r="61" ht="22" customHeight="1">
      <x:c r="A61" s="2"/>
      <x:c r="B61" s="2"/>
      <x:c r="C61" s="27" t="n">
        <x:f>11</x:f>
        <x:v>11</x:v>
      </x:c>
      <x:c r="D61" s="28" t="n">
        <x:f>IF(ISNUMBER('Inputs'!$D$7),EDATE('Inputs'!$D$7,10),"n.a.")</x:f>
        <x:v>46631</x:v>
      </x:c>
      <x:c r="E61" s="26" t="n">
        <x:f>IF('Inputs'!$D$9&lt;&gt;"Ready","n.a.",IF(ISNUMBER('Inputs'!E29),IF('Inputs'!E29&gt;=0,'Inputs'!E29,"n.a."),IF('Inputs'!E29="",'Inputs'!$D$6,"n.a.")))</x:f>
        <x:v>500</x:v>
      </x:c>
      <x:c r="F61" s="22" t="n">
        <x:f>IF(COUNT($N$57:$N$61)=5,SUM($N$57:$N$61),"n.a.")</x:f>
        <x:v>210</x:v>
      </x:c>
      <x:c r="G61" s="22" t="n">
        <x:f>IF(COUNT(E61:F61)=2,MAX(0,E61-F61),"n.a.")</x:f>
        <x:v>290</x:v>
      </x:c>
      <x:c r="H61" s="26" t="str">
        <x:f>'Inputs'!C15</x:f>
        <x:v>Unused 5</x:v>
      </x:c>
      <x:c r="I61" s="26" t="n">
        <x:f>S56</x:f>
        <x:v>0</x:v>
      </x:c>
      <x:c r="J61" s="29" t="n">
        <x:f>IF('Inputs'!$D$9="Ready",'Inputs'!E15,"n.a.")</x:f>
        <x:v>0</x:v>
      </x:c>
      <x:c r="K61" s="26" t="n">
        <x:f>IF('Inputs'!$D$9="Ready",'Inputs'!F15,"n.a.")</x:f>
        <x:v>0</x:v>
      </x:c>
      <x:c r="L61" s="29" t="n">
        <x:f>IF('Inputs'!$D$9="Ready",'Inputs'!G15,"n.a.")</x:f>
        <x:v>0</x:v>
      </x:c>
      <x:c r="M61" s="22" t="n">
        <x:f>IF(COUNT(I61:L61)=4,ROUND(I61*J61/12,2),"n.a.")</x:f>
        <x:v>0</x:v>
      </x:c>
      <x:c r="N61" s="22" t="n">
        <x:f>IF(COUNT(I61:M61)=5,MIN(I61+M61,ROUND(MAX(K61,I61*L61+M61),2)),"n.a.")</x:f>
        <x:v>0</x:v>
      </x:c>
      <x:c r="O61" s="30" t="n">
        <x:f>IF(COUNT($I$57:$I$61)&lt;&gt;5,"n.a.",IF(I61=0,6,IF('Inputs'!$D$5=1,COUNTIFS($I$57:$I$61,"&gt;0",$I$57:$I$61,"&lt;"&amp;I61)+COUNTIFS($I$57:I61,I61),COUNTIFS($I$57:$I$61,"&gt;0",$J$57:$J$61,"&gt;"&amp;J61)+COUNTIFS($I$57:I61,"&gt;0",$J$57:J61,J61))))</x:f>
        <x:v>6</x:v>
      </x:c>
      <x:c r="P61" s="22" t="n">
        <x:f>IF(T61="Ready",MIN(U61,MAX(0,G61-SUMIFS($U$57:$U$61,$O$57:$O$61,"&lt;"&amp;O61))),"n.a.")</x:f>
        <x:v>0</x:v>
      </x:c>
      <x:c r="Q61" s="22" t="n">
        <x:f>IF(T61="Ready",ROUND(N61+P61,2),"n.a.")</x:f>
        <x:v>0</x:v>
      </x:c>
      <x:c r="R61" s="22" t="n">
        <x:f>IF(T61="Ready",ROUND(Q61-M61,2),"n.a.")</x:f>
        <x:v>0</x:v>
      </x:c>
      <x:c r="S61" s="22" t="n">
        <x:f>IF(T61="Ready",MAX(0,ROUND(I61+M61-Q61,2)),"n.a.")</x:f>
        <x:v>0</x:v>
      </x:c>
      <x:c r="T61" s="22" t="str">
        <x:f>IF(AND(COUNT($I$57:$I$61)=5,COUNT(E61:F61)=2),IF(E61&gt;=F61,"Ready","Budget below minima"),"Check inputs")</x:f>
        <x:v>Ready</x:v>
      </x:c>
      <x:c r="U61" s="22" t="n">
        <x:f>IF(COUNT(I61,M61,N61)=3,MAX(0,ROUND(I61+M61-N61,2)),"n.a.")</x:f>
        <x:v>0</x:v>
      </x:c>
    </x:row>
    <x:row r="62" ht="22" customHeight="1">
      <x:c r="A62" s="2"/>
      <x:c r="B62" s="2"/>
      <x:c r="C62" s="27" t="n">
        <x:f>12</x:f>
        <x:v>12</x:v>
      </x:c>
      <x:c r="D62" s="28" t="n">
        <x:f>IF(ISNUMBER('Inputs'!$D$7),EDATE('Inputs'!$D$7,11),"n.a.")</x:f>
        <x:v>46661</x:v>
      </x:c>
      <x:c r="E62" s="26" t="n">
        <x:f>IF('Inputs'!$D$9&lt;&gt;"Ready","n.a.",IF(ISNUMBER('Inputs'!E30),IF('Inputs'!E30&gt;=0,'Inputs'!E30,"n.a."),IF('Inputs'!E30="",'Inputs'!$D$6,"n.a.")))</x:f>
        <x:v>500</x:v>
      </x:c>
      <x:c r="F62" s="22" t="n">
        <x:f>IF(COUNT($N$62:$N$66)=5,SUM($N$62:$N$66),"n.a.")</x:f>
        <x:v>210</x:v>
      </x:c>
      <x:c r="G62" s="22" t="n">
        <x:f>IF(COUNT(E62:F62)=2,MAX(0,E62-F62),"n.a.")</x:f>
        <x:v>290</x:v>
      </x:c>
      <x:c r="H62" s="26" t="str">
        <x:f>'Inputs'!C11</x:f>
        <x:v>Card A</x:v>
      </x:c>
      <x:c r="I62" s="26" t="n">
        <x:f>S57</x:f>
        <x:v>0</x:v>
      </x:c>
      <x:c r="J62" s="29" t="n">
        <x:f>IF('Inputs'!$D$9="Ready",'Inputs'!E11,"n.a.")</x:f>
        <x:v>0.24</x:v>
      </x:c>
      <x:c r="K62" s="26" t="n">
        <x:f>IF('Inputs'!$D$9="Ready",'Inputs'!F11,"n.a.")</x:f>
        <x:v>35</x:v>
      </x:c>
      <x:c r="L62" s="29" t="n">
        <x:f>IF('Inputs'!$D$9="Ready",'Inputs'!G11,"n.a.")</x:f>
        <x:v>0.02</x:v>
      </x:c>
      <x:c r="M62" s="22" t="n">
        <x:f>IF(COUNT(I62:L62)=4,ROUND(I62*J62/12,2),"n.a.")</x:f>
        <x:v>0</x:v>
      </x:c>
      <x:c r="N62" s="22" t="n">
        <x:f>IF(COUNT(I62:M62)=5,MIN(I62+M62,ROUND(MAX(K62,I62*L62+M62),2)),"n.a.")</x:f>
        <x:v>0</x:v>
      </x:c>
      <x:c r="O62" s="30" t="n">
        <x:f>IF(COUNT($I$62:$I$66)&lt;&gt;5,"n.a.",IF(I62=0,6,IF('Inputs'!$D$5=1,COUNTIFS($I$62:$I$66,"&gt;0",$I$62:$I$66,"&lt;"&amp;I62)+COUNTIFS($I$62:I62,I62),COUNTIFS($I$62:$I$66,"&gt;0",$J$62:$J$66,"&gt;"&amp;J62)+COUNTIFS($I$62:I62,"&gt;0",$J$62:J62,J62))))</x:f>
        <x:v>6</x:v>
      </x:c>
      <x:c r="P62" s="22" t="n">
        <x:f>IF(T62="Ready",MIN(U62,MAX(0,G62-SUMIFS($U$62:$U$66,$O$62:$O$66,"&lt;"&amp;O62))),"n.a.")</x:f>
        <x:v>0</x:v>
      </x:c>
      <x:c r="Q62" s="22" t="n">
        <x:f>IF(T62="Ready",ROUND(N62+P62,2),"n.a.")</x:f>
        <x:v>0</x:v>
      </x:c>
      <x:c r="R62" s="22" t="n">
        <x:f>IF(T62="Ready",ROUND(Q62-M62,2),"n.a.")</x:f>
        <x:v>0</x:v>
      </x:c>
      <x:c r="S62" s="22" t="n">
        <x:f>IF(T62="Ready",MAX(0,ROUND(I62+M62-Q62,2)),"n.a.")</x:f>
        <x:v>0</x:v>
      </x:c>
      <x:c r="T62" s="22" t="str">
        <x:f>IF(AND(COUNT($I$62:$I$66)=5,COUNT(E62:F62)=2),IF(E62&gt;=F62,"Ready","Budget below minima"),"Check inputs")</x:f>
        <x:v>Ready</x:v>
      </x:c>
      <x:c r="U62" s="22" t="n">
        <x:f>IF(COUNT(I62,M62,N62)=3,MAX(0,ROUND(I62+M62-N62,2)),"n.a.")</x:f>
        <x:v>0</x:v>
      </x:c>
    </x:row>
    <x:row r="63" ht="22" customHeight="1">
      <x:c r="A63" s="2"/>
      <x:c r="B63" s="2"/>
      <x:c r="C63" s="27" t="n">
        <x:f>12</x:f>
        <x:v>12</x:v>
      </x:c>
      <x:c r="D63" s="28" t="n">
        <x:f>IF(ISNUMBER('Inputs'!$D$7),EDATE('Inputs'!$D$7,11),"n.a.")</x:f>
        <x:v>46661</x:v>
      </x:c>
      <x:c r="E63" s="26" t="n">
        <x:f>IF('Inputs'!$D$9&lt;&gt;"Ready","n.a.",IF(ISNUMBER('Inputs'!E30),IF('Inputs'!E30&gt;=0,'Inputs'!E30,"n.a."),IF('Inputs'!E30="",'Inputs'!$D$6,"n.a.")))</x:f>
        <x:v>500</x:v>
      </x:c>
      <x:c r="F63" s="22" t="n">
        <x:f>IF(COUNT($N$62:$N$66)=5,SUM($N$62:$N$66),"n.a.")</x:f>
        <x:v>210</x:v>
      </x:c>
      <x:c r="G63" s="22" t="n">
        <x:f>IF(COUNT(E63:F63)=2,MAX(0,E63-F63),"n.a.")</x:f>
        <x:v>290</x:v>
      </x:c>
      <x:c r="H63" s="26" t="str">
        <x:f>'Inputs'!C12</x:f>
        <x:v>Card B</x:v>
      </x:c>
      <x:c r="I63" s="26" t="n">
        <x:f>S58</x:f>
        <x:v>816.59</x:v>
      </x:c>
      <x:c r="J63" s="29" t="n">
        <x:f>IF('Inputs'!$D$9="Ready",'Inputs'!E12,"n.a.")</x:f>
        <x:v>0.18</x:v>
      </x:c>
      <x:c r="K63" s="26" t="n">
        <x:f>IF('Inputs'!$D$9="Ready",'Inputs'!F12,"n.a.")</x:f>
        <x:v>60</x:v>
      </x:c>
      <x:c r="L63" s="29" t="n">
        <x:f>IF('Inputs'!$D$9="Ready",'Inputs'!G12,"n.a.")</x:f>
        <x:v>0.02</x:v>
      </x:c>
      <x:c r="M63" s="22" t="n">
        <x:f>IF(COUNT(I63:L63)=4,ROUND(I63*J63/12,2),"n.a.")</x:f>
        <x:v>12.25</x:v>
      </x:c>
      <x:c r="N63" s="22" t="n">
        <x:f>IF(COUNT(I63:M63)=5,MIN(I63+M63,ROUND(MAX(K63,I63*L63+M63),2)),"n.a.")</x:f>
        <x:v>60</x:v>
      </x:c>
      <x:c r="O63" s="30" t="n">
        <x:f>IF(COUNT($I$62:$I$66)&lt;&gt;5,"n.a.",IF(I63=0,6,IF('Inputs'!$D$5=1,COUNTIFS($I$62:$I$66,"&gt;0",$I$62:$I$66,"&lt;"&amp;I63)+COUNTIFS($I$62:I63,I63),COUNTIFS($I$62:$I$66,"&gt;0",$J$62:$J$66,"&gt;"&amp;J63)+COUNTIFS($I$62:I63,"&gt;0",$J$62:J63,J63))))</x:f>
        <x:v>1</x:v>
      </x:c>
      <x:c r="P63" s="22" t="n">
        <x:f>IF(T63="Ready",MIN(U63,MAX(0,G63-SUMIFS($U$62:$U$66,$O$62:$O$66,"&lt;"&amp;O63))),"n.a.")</x:f>
        <x:v>290</x:v>
      </x:c>
      <x:c r="Q63" s="22" t="n">
        <x:f>IF(T63="Ready",ROUND(N63+P63,2),"n.a.")</x:f>
        <x:v>350</x:v>
      </x:c>
      <x:c r="R63" s="22" t="n">
        <x:f>IF(T63="Ready",ROUND(Q63-M63,2),"n.a.")</x:f>
        <x:v>337.75</x:v>
      </x:c>
      <x:c r="S63" s="22" t="n">
        <x:f>IF(T63="Ready",MAX(0,ROUND(I63+M63-Q63,2)),"n.a.")</x:f>
        <x:v>478.84</x:v>
      </x:c>
      <x:c r="T63" s="22" t="str">
        <x:f>IF(AND(COUNT($I$62:$I$66)=5,COUNT(E63:F63)=2),IF(E63&gt;=F63,"Ready","Budget below minima"),"Check inputs")</x:f>
        <x:v>Ready</x:v>
      </x:c>
      <x:c r="U63" s="22" t="n">
        <x:f>IF(COUNT(I63,M63,N63)=3,MAX(0,ROUND(I63+M63-N63,2)),"n.a.")</x:f>
        <x:v>768.84</x:v>
      </x:c>
    </x:row>
    <x:row r="64" ht="22" customHeight="1">
      <x:c r="A64" s="2"/>
      <x:c r="B64" s="2"/>
      <x:c r="C64" s="27" t="n">
        <x:f>12</x:f>
        <x:v>12</x:v>
      </x:c>
      <x:c r="D64" s="28" t="n">
        <x:f>IF(ISNUMBER('Inputs'!$D$7),EDATE('Inputs'!$D$7,11),"n.a.")</x:f>
        <x:v>46661</x:v>
      </x:c>
      <x:c r="E64" s="26" t="n">
        <x:f>IF('Inputs'!$D$9&lt;&gt;"Ready","n.a.",IF(ISNUMBER('Inputs'!E30),IF('Inputs'!E30&gt;=0,'Inputs'!E30,"n.a."),IF('Inputs'!E30="",'Inputs'!$D$6,"n.a.")))</x:f>
        <x:v>500</x:v>
      </x:c>
      <x:c r="F64" s="22" t="n">
        <x:f>IF(COUNT($N$62:$N$66)=5,SUM($N$62:$N$66),"n.a.")</x:f>
        <x:v>210</x:v>
      </x:c>
      <x:c r="G64" s="22" t="n">
        <x:f>IF(COUNT(E64:F64)=2,MAX(0,E64-F64),"n.a.")</x:f>
        <x:v>290</x:v>
      </x:c>
      <x:c r="H64" s="26" t="str">
        <x:f>'Inputs'!C13</x:f>
        <x:v>Loan C</x:v>
      </x:c>
      <x:c r="I64" s="26" t="n">
        <x:f>S59</x:f>
        <x:v>3673.01</x:v>
      </x:c>
      <x:c r="J64" s="29" t="n">
        <x:f>IF('Inputs'!$D$9="Ready",'Inputs'!E13,"n.a.")</x:f>
        <x:v>0.08</x:v>
      </x:c>
      <x:c r="K64" s="26" t="n">
        <x:f>IF('Inputs'!$D$9="Ready",'Inputs'!F13,"n.a.")</x:f>
        <x:v>150</x:v>
      </x:c>
      <x:c r="L64" s="29" t="n">
        <x:f>IF('Inputs'!$D$9="Ready",'Inputs'!G13,"n.a.")</x:f>
        <x:v>0</x:v>
      </x:c>
      <x:c r="M64" s="22" t="n">
        <x:f>IF(COUNT(I64:L64)=4,ROUND(I64*J64/12,2),"n.a.")</x:f>
        <x:v>24.49</x:v>
      </x:c>
      <x:c r="N64" s="22" t="n">
        <x:f>IF(COUNT(I64:M64)=5,MIN(I64+M64,ROUND(MAX(K64,I64*L64+M64),2)),"n.a.")</x:f>
        <x:v>150</x:v>
      </x:c>
      <x:c r="O64" s="30" t="n">
        <x:f>IF(COUNT($I$62:$I$66)&lt;&gt;5,"n.a.",IF(I64=0,6,IF('Inputs'!$D$5=1,COUNTIFS($I$62:$I$66,"&gt;0",$I$62:$I$66,"&lt;"&amp;I64)+COUNTIFS($I$62:I64,I64),COUNTIFS($I$62:$I$66,"&gt;0",$J$62:$J$66,"&gt;"&amp;J64)+COUNTIFS($I$62:I64,"&gt;0",$J$62:J64,J64))))</x:f>
        <x:v>2</x:v>
      </x:c>
      <x:c r="P64" s="22" t="n">
        <x:f>IF(T64="Ready",MIN(U64,MAX(0,G64-SUMIFS($U$62:$U$66,$O$62:$O$66,"&lt;"&amp;O64))),"n.a.")</x:f>
        <x:v>0</x:v>
      </x:c>
      <x:c r="Q64" s="22" t="n">
        <x:f>IF(T64="Ready",ROUND(N64+P64,2),"n.a.")</x:f>
        <x:v>150</x:v>
      </x:c>
      <x:c r="R64" s="22" t="n">
        <x:f>IF(T64="Ready",ROUND(Q64-M64,2),"n.a.")</x:f>
        <x:v>125.51</x:v>
      </x:c>
      <x:c r="S64" s="22" t="n">
        <x:f>IF(T64="Ready",MAX(0,ROUND(I64+M64-Q64,2)),"n.a.")</x:f>
        <x:v>3547.5</x:v>
      </x:c>
      <x:c r="T64" s="22" t="str">
        <x:f>IF(AND(COUNT($I$62:$I$66)=5,COUNT(E64:F64)=2),IF(E64&gt;=F64,"Ready","Budget below minima"),"Check inputs")</x:f>
        <x:v>Ready</x:v>
      </x:c>
      <x:c r="U64" s="22" t="n">
        <x:f>IF(COUNT(I64,M64,N64)=3,MAX(0,ROUND(I64+M64-N64,2)),"n.a.")</x:f>
        <x:v>3547.5</x:v>
      </x:c>
    </x:row>
    <x:row r="65" ht="22" customHeight="1">
      <x:c r="A65" s="2"/>
      <x:c r="B65" s="2"/>
      <x:c r="C65" s="27" t="n">
        <x:f>12</x:f>
        <x:v>12</x:v>
      </x:c>
      <x:c r="D65" s="28" t="n">
        <x:f>IF(ISNUMBER('Inputs'!$D$7),EDATE('Inputs'!$D$7,11),"n.a.")</x:f>
        <x:v>46661</x:v>
      </x:c>
      <x:c r="E65" s="26" t="n">
        <x:f>IF('Inputs'!$D$9&lt;&gt;"Ready","n.a.",IF(ISNUMBER('Inputs'!E30),IF('Inputs'!E30&gt;=0,'Inputs'!E30,"n.a."),IF('Inputs'!E30="",'Inputs'!$D$6,"n.a.")))</x:f>
        <x:v>500</x:v>
      </x:c>
      <x:c r="F65" s="22" t="n">
        <x:f>IF(COUNT($N$62:$N$66)=5,SUM($N$62:$N$66),"n.a.")</x:f>
        <x:v>210</x:v>
      </x:c>
      <x:c r="G65" s="22" t="n">
        <x:f>IF(COUNT(E65:F65)=2,MAX(0,E65-F65),"n.a.")</x:f>
        <x:v>290</x:v>
      </x:c>
      <x:c r="H65" s="26" t="str">
        <x:f>'Inputs'!C14</x:f>
        <x:v>Unused 4</x:v>
      </x:c>
      <x:c r="I65" s="26" t="n">
        <x:f>S60</x:f>
        <x:v>0</x:v>
      </x:c>
      <x:c r="J65" s="29" t="n">
        <x:f>IF('Inputs'!$D$9="Ready",'Inputs'!E14,"n.a.")</x:f>
        <x:v>0</x:v>
      </x:c>
      <x:c r="K65" s="26" t="n">
        <x:f>IF('Inputs'!$D$9="Ready",'Inputs'!F14,"n.a.")</x:f>
        <x:v>0</x:v>
      </x:c>
      <x:c r="L65" s="29" t="n">
        <x:f>IF('Inputs'!$D$9="Ready",'Inputs'!G14,"n.a.")</x:f>
        <x:v>0</x:v>
      </x:c>
      <x:c r="M65" s="22" t="n">
        <x:f>IF(COUNT(I65:L65)=4,ROUND(I65*J65/12,2),"n.a.")</x:f>
        <x:v>0</x:v>
      </x:c>
      <x:c r="N65" s="22" t="n">
        <x:f>IF(COUNT(I65:M65)=5,MIN(I65+M65,ROUND(MAX(K65,I65*L65+M65),2)),"n.a.")</x:f>
        <x:v>0</x:v>
      </x:c>
      <x:c r="O65" s="30" t="n">
        <x:f>IF(COUNT($I$62:$I$66)&lt;&gt;5,"n.a.",IF(I65=0,6,IF('Inputs'!$D$5=1,COUNTIFS($I$62:$I$66,"&gt;0",$I$62:$I$66,"&lt;"&amp;I65)+COUNTIFS($I$62:I65,I65),COUNTIFS($I$62:$I$66,"&gt;0",$J$62:$J$66,"&gt;"&amp;J65)+COUNTIFS($I$62:I65,"&gt;0",$J$62:J65,J65))))</x:f>
        <x:v>6</x:v>
      </x:c>
      <x:c r="P65" s="22" t="n">
        <x:f>IF(T65="Ready",MIN(U65,MAX(0,G65-SUMIFS($U$62:$U$66,$O$62:$O$66,"&lt;"&amp;O65))),"n.a.")</x:f>
        <x:v>0</x:v>
      </x:c>
      <x:c r="Q65" s="22" t="n">
        <x:f>IF(T65="Ready",ROUND(N65+P65,2),"n.a.")</x:f>
        <x:v>0</x:v>
      </x:c>
      <x:c r="R65" s="22" t="n">
        <x:f>IF(T65="Ready",ROUND(Q65-M65,2),"n.a.")</x:f>
        <x:v>0</x:v>
      </x:c>
      <x:c r="S65" s="22" t="n">
        <x:f>IF(T65="Ready",MAX(0,ROUND(I65+M65-Q65,2)),"n.a.")</x:f>
        <x:v>0</x:v>
      </x:c>
      <x:c r="T65" s="22" t="str">
        <x:f>IF(AND(COUNT($I$62:$I$66)=5,COUNT(E65:F65)=2),IF(E65&gt;=F65,"Ready","Budget below minima"),"Check inputs")</x:f>
        <x:v>Ready</x:v>
      </x:c>
      <x:c r="U65" s="22" t="n">
        <x:f>IF(COUNT(I65,M65,N65)=3,MAX(0,ROUND(I65+M65-N65,2)),"n.a.")</x:f>
        <x:v>0</x:v>
      </x:c>
    </x:row>
    <x:row r="66" ht="22" customHeight="1">
      <x:c r="A66" s="2"/>
      <x:c r="B66" s="2"/>
      <x:c r="C66" s="27" t="n">
        <x:f>12</x:f>
        <x:v>12</x:v>
      </x:c>
      <x:c r="D66" s="28" t="n">
        <x:f>IF(ISNUMBER('Inputs'!$D$7),EDATE('Inputs'!$D$7,11),"n.a.")</x:f>
        <x:v>46661</x:v>
      </x:c>
      <x:c r="E66" s="26" t="n">
        <x:f>IF('Inputs'!$D$9&lt;&gt;"Ready","n.a.",IF(ISNUMBER('Inputs'!E30),IF('Inputs'!E30&gt;=0,'Inputs'!E30,"n.a."),IF('Inputs'!E30="",'Inputs'!$D$6,"n.a.")))</x:f>
        <x:v>500</x:v>
      </x:c>
      <x:c r="F66" s="22" t="n">
        <x:f>IF(COUNT($N$62:$N$66)=5,SUM($N$62:$N$66),"n.a.")</x:f>
        <x:v>210</x:v>
      </x:c>
      <x:c r="G66" s="22" t="n">
        <x:f>IF(COUNT(E66:F66)=2,MAX(0,E66-F66),"n.a.")</x:f>
        <x:v>290</x:v>
      </x:c>
      <x:c r="H66" s="26" t="str">
        <x:f>'Inputs'!C15</x:f>
        <x:v>Unused 5</x:v>
      </x:c>
      <x:c r="I66" s="26" t="n">
        <x:f>S61</x:f>
        <x:v>0</x:v>
      </x:c>
      <x:c r="J66" s="29" t="n">
        <x:f>IF('Inputs'!$D$9="Ready",'Inputs'!E15,"n.a.")</x:f>
        <x:v>0</x:v>
      </x:c>
      <x:c r="K66" s="26" t="n">
        <x:f>IF('Inputs'!$D$9="Ready",'Inputs'!F15,"n.a.")</x:f>
        <x:v>0</x:v>
      </x:c>
      <x:c r="L66" s="29" t="n">
        <x:f>IF('Inputs'!$D$9="Ready",'Inputs'!G15,"n.a.")</x:f>
        <x:v>0</x:v>
      </x:c>
      <x:c r="M66" s="22" t="n">
        <x:f>IF(COUNT(I66:L66)=4,ROUND(I66*J66/12,2),"n.a.")</x:f>
        <x:v>0</x:v>
      </x:c>
      <x:c r="N66" s="22" t="n">
        <x:f>IF(COUNT(I66:M66)=5,MIN(I66+M66,ROUND(MAX(K66,I66*L66+M66),2)),"n.a.")</x:f>
        <x:v>0</x:v>
      </x:c>
      <x:c r="O66" s="30" t="n">
        <x:f>IF(COUNT($I$62:$I$66)&lt;&gt;5,"n.a.",IF(I66=0,6,IF('Inputs'!$D$5=1,COUNTIFS($I$62:$I$66,"&gt;0",$I$62:$I$66,"&lt;"&amp;I66)+COUNTIFS($I$62:I66,I66),COUNTIFS($I$62:$I$66,"&gt;0",$J$62:$J$66,"&gt;"&amp;J66)+COUNTIFS($I$62:I66,"&gt;0",$J$62:J66,J66))))</x:f>
        <x:v>6</x:v>
      </x:c>
      <x:c r="P66" s="22" t="n">
        <x:f>IF(T66="Ready",MIN(U66,MAX(0,G66-SUMIFS($U$62:$U$66,$O$62:$O$66,"&lt;"&amp;O66))),"n.a.")</x:f>
        <x:v>0</x:v>
      </x:c>
      <x:c r="Q66" s="22" t="n">
        <x:f>IF(T66="Ready",ROUND(N66+P66,2),"n.a.")</x:f>
        <x:v>0</x:v>
      </x:c>
      <x:c r="R66" s="22" t="n">
        <x:f>IF(T66="Ready",ROUND(Q66-M66,2),"n.a.")</x:f>
        <x:v>0</x:v>
      </x:c>
      <x:c r="S66" s="22" t="n">
        <x:f>IF(T66="Ready",MAX(0,ROUND(I66+M66-Q66,2)),"n.a.")</x:f>
        <x:v>0</x:v>
      </x:c>
      <x:c r="T66" s="22" t="str">
        <x:f>IF(AND(COUNT($I$62:$I$66)=5,COUNT(E66:F66)=2),IF(E66&gt;=F66,"Ready","Budget below minima"),"Check inputs")</x:f>
        <x:v>Ready</x:v>
      </x:c>
      <x:c r="U66" s="22" t="n">
        <x:f>IF(COUNT(I66,M66,N66)=3,MAX(0,ROUND(I66+M66-N66,2)),"n.a.")</x:f>
        <x:v>0</x:v>
      </x:c>
    </x:row>
    <x:row r="67" ht="22" customHeight="1">
      <x:c r="A67" s="2"/>
      <x:c r="B67" s="2"/>
      <x:c r="C67" s="27" t="n">
        <x:f>13</x:f>
        <x:v>13</x:v>
      </x:c>
      <x:c r="D67" s="28" t="n">
        <x:f>IF(ISNUMBER('Inputs'!$D$7),EDATE('Inputs'!$D$7,12),"n.a.")</x:f>
        <x:v>46692</x:v>
      </x:c>
      <x:c r="E67" s="26" t="n">
        <x:f>IF('Inputs'!$D$9&lt;&gt;"Ready","n.a.",IF(ISNUMBER('Inputs'!E31),IF('Inputs'!E31&gt;=0,'Inputs'!E31,"n.a."),IF('Inputs'!E31="",'Inputs'!$D$6,"n.a.")))</x:f>
        <x:v>500</x:v>
      </x:c>
      <x:c r="F67" s="22" t="n">
        <x:f>IF(COUNT($N$67:$N$71)=5,SUM($N$67:$N$71),"n.a.")</x:f>
        <x:v>210</x:v>
      </x:c>
      <x:c r="G67" s="22" t="n">
        <x:f>IF(COUNT(E67:F67)=2,MAX(0,E67-F67),"n.a.")</x:f>
        <x:v>290</x:v>
      </x:c>
      <x:c r="H67" s="26" t="str">
        <x:f>'Inputs'!C11</x:f>
        <x:v>Card A</x:v>
      </x:c>
      <x:c r="I67" s="26" t="n">
        <x:f>S62</x:f>
        <x:v>0</x:v>
      </x:c>
      <x:c r="J67" s="29" t="n">
        <x:f>IF('Inputs'!$D$9="Ready",'Inputs'!E11,"n.a.")</x:f>
        <x:v>0.24</x:v>
      </x:c>
      <x:c r="K67" s="26" t="n">
        <x:f>IF('Inputs'!$D$9="Ready",'Inputs'!F11,"n.a.")</x:f>
        <x:v>35</x:v>
      </x:c>
      <x:c r="L67" s="29" t="n">
        <x:f>IF('Inputs'!$D$9="Ready",'Inputs'!G11,"n.a.")</x:f>
        <x:v>0.02</x:v>
      </x:c>
      <x:c r="M67" s="22" t="n">
        <x:f>IF(COUNT(I67:L67)=4,ROUND(I67*J67/12,2),"n.a.")</x:f>
        <x:v>0</x:v>
      </x:c>
      <x:c r="N67" s="22" t="n">
        <x:f>IF(COUNT(I67:M67)=5,MIN(I67+M67,ROUND(MAX(K67,I67*L67+M67),2)),"n.a.")</x:f>
        <x:v>0</x:v>
      </x:c>
      <x:c r="O67" s="30" t="n">
        <x:f>IF(COUNT($I$67:$I$71)&lt;&gt;5,"n.a.",IF(I67=0,6,IF('Inputs'!$D$5=1,COUNTIFS($I$67:$I$71,"&gt;0",$I$67:$I$71,"&lt;"&amp;I67)+COUNTIFS($I$67:I67,I67),COUNTIFS($I$67:$I$71,"&gt;0",$J$67:$J$71,"&gt;"&amp;J67)+COUNTIFS($I$67:I67,"&gt;0",$J$67:J67,J67))))</x:f>
        <x:v>6</x:v>
      </x:c>
      <x:c r="P67" s="22" t="n">
        <x:f>IF(T67="Ready",MIN(U67,MAX(0,G67-SUMIFS($U$67:$U$71,$O$67:$O$71,"&lt;"&amp;O67))),"n.a.")</x:f>
        <x:v>0</x:v>
      </x:c>
      <x:c r="Q67" s="22" t="n">
        <x:f>IF(T67="Ready",ROUND(N67+P67,2),"n.a.")</x:f>
        <x:v>0</x:v>
      </x:c>
      <x:c r="R67" s="22" t="n">
        <x:f>IF(T67="Ready",ROUND(Q67-M67,2),"n.a.")</x:f>
        <x:v>0</x:v>
      </x:c>
      <x:c r="S67" s="22" t="n">
        <x:f>IF(T67="Ready",MAX(0,ROUND(I67+M67-Q67,2)),"n.a.")</x:f>
        <x:v>0</x:v>
      </x:c>
      <x:c r="T67" s="22" t="str">
        <x:f>IF(AND(COUNT($I$67:$I$71)=5,COUNT(E67:F67)=2),IF(E67&gt;=F67,"Ready","Budget below minima"),"Check inputs")</x:f>
        <x:v>Ready</x:v>
      </x:c>
      <x:c r="U67" s="22" t="n">
        <x:f>IF(COUNT(I67,M67,N67)=3,MAX(0,ROUND(I67+M67-N67,2)),"n.a.")</x:f>
        <x:v>0</x:v>
      </x:c>
    </x:row>
    <x:row r="68" ht="22" customHeight="1">
      <x:c r="A68" s="2"/>
      <x:c r="B68" s="2"/>
      <x:c r="C68" s="27" t="n">
        <x:f>13</x:f>
        <x:v>13</x:v>
      </x:c>
      <x:c r="D68" s="28" t="n">
        <x:f>IF(ISNUMBER('Inputs'!$D$7),EDATE('Inputs'!$D$7,12),"n.a.")</x:f>
        <x:v>46692</x:v>
      </x:c>
      <x:c r="E68" s="26" t="n">
        <x:f>IF('Inputs'!$D$9&lt;&gt;"Ready","n.a.",IF(ISNUMBER('Inputs'!E31),IF('Inputs'!E31&gt;=0,'Inputs'!E31,"n.a."),IF('Inputs'!E31="",'Inputs'!$D$6,"n.a.")))</x:f>
        <x:v>500</x:v>
      </x:c>
      <x:c r="F68" s="22" t="n">
        <x:f>IF(COUNT($N$67:$N$71)=5,SUM($N$67:$N$71),"n.a.")</x:f>
        <x:v>210</x:v>
      </x:c>
      <x:c r="G68" s="22" t="n">
        <x:f>IF(COUNT(E68:F68)=2,MAX(0,E68-F68),"n.a.")</x:f>
        <x:v>290</x:v>
      </x:c>
      <x:c r="H68" s="26" t="str">
        <x:f>'Inputs'!C12</x:f>
        <x:v>Card B</x:v>
      </x:c>
      <x:c r="I68" s="26" t="n">
        <x:f>S63</x:f>
        <x:v>478.84</x:v>
      </x:c>
      <x:c r="J68" s="29" t="n">
        <x:f>IF('Inputs'!$D$9="Ready",'Inputs'!E12,"n.a.")</x:f>
        <x:v>0.18</x:v>
      </x:c>
      <x:c r="K68" s="26" t="n">
        <x:f>IF('Inputs'!$D$9="Ready",'Inputs'!F12,"n.a.")</x:f>
        <x:v>60</x:v>
      </x:c>
      <x:c r="L68" s="29" t="n">
        <x:f>IF('Inputs'!$D$9="Ready",'Inputs'!G12,"n.a.")</x:f>
        <x:v>0.02</x:v>
      </x:c>
      <x:c r="M68" s="22" t="n">
        <x:f>IF(COUNT(I68:L68)=4,ROUND(I68*J68/12,2),"n.a.")</x:f>
        <x:v>7.18</x:v>
      </x:c>
      <x:c r="N68" s="22" t="n">
        <x:f>IF(COUNT(I68:M68)=5,MIN(I68+M68,ROUND(MAX(K68,I68*L68+M68),2)),"n.a.")</x:f>
        <x:v>60</x:v>
      </x:c>
      <x:c r="O68" s="30" t="n">
        <x:f>IF(COUNT($I$67:$I$71)&lt;&gt;5,"n.a.",IF(I68=0,6,IF('Inputs'!$D$5=1,COUNTIFS($I$67:$I$71,"&gt;0",$I$67:$I$71,"&lt;"&amp;I68)+COUNTIFS($I$67:I68,I68),COUNTIFS($I$67:$I$71,"&gt;0",$J$67:$J$71,"&gt;"&amp;J68)+COUNTIFS($I$67:I68,"&gt;0",$J$67:J68,J68))))</x:f>
        <x:v>1</x:v>
      </x:c>
      <x:c r="P68" s="22" t="n">
        <x:f>IF(T68="Ready",MIN(U68,MAX(0,G68-SUMIFS($U$67:$U$71,$O$67:$O$71,"&lt;"&amp;O68))),"n.a.")</x:f>
        <x:v>290</x:v>
      </x:c>
      <x:c r="Q68" s="22" t="n">
        <x:f>IF(T68="Ready",ROUND(N68+P68,2),"n.a.")</x:f>
        <x:v>350</x:v>
      </x:c>
      <x:c r="R68" s="22" t="n">
        <x:f>IF(T68="Ready",ROUND(Q68-M68,2),"n.a.")</x:f>
        <x:v>342.82</x:v>
      </x:c>
      <x:c r="S68" s="22" t="n">
        <x:f>IF(T68="Ready",MAX(0,ROUND(I68+M68-Q68,2)),"n.a.")</x:f>
        <x:v>136.02</x:v>
      </x:c>
      <x:c r="T68" s="22" t="str">
        <x:f>IF(AND(COUNT($I$67:$I$71)=5,COUNT(E68:F68)=2),IF(E68&gt;=F68,"Ready","Budget below minima"),"Check inputs")</x:f>
        <x:v>Ready</x:v>
      </x:c>
      <x:c r="U68" s="22" t="n">
        <x:f>IF(COUNT(I68,M68,N68)=3,MAX(0,ROUND(I68+M68-N68,2)),"n.a.")</x:f>
        <x:v>426.02</x:v>
      </x:c>
    </x:row>
    <x:row r="69" ht="22" customHeight="1">
      <x:c r="A69" s="2"/>
      <x:c r="B69" s="2"/>
      <x:c r="C69" s="27" t="n">
        <x:f>13</x:f>
        <x:v>13</x:v>
      </x:c>
      <x:c r="D69" s="28" t="n">
        <x:f>IF(ISNUMBER('Inputs'!$D$7),EDATE('Inputs'!$D$7,12),"n.a.")</x:f>
        <x:v>46692</x:v>
      </x:c>
      <x:c r="E69" s="26" t="n">
        <x:f>IF('Inputs'!$D$9&lt;&gt;"Ready","n.a.",IF(ISNUMBER('Inputs'!E31),IF('Inputs'!E31&gt;=0,'Inputs'!E31,"n.a."),IF('Inputs'!E31="",'Inputs'!$D$6,"n.a.")))</x:f>
        <x:v>500</x:v>
      </x:c>
      <x:c r="F69" s="22" t="n">
        <x:f>IF(COUNT($N$67:$N$71)=5,SUM($N$67:$N$71),"n.a.")</x:f>
        <x:v>210</x:v>
      </x:c>
      <x:c r="G69" s="22" t="n">
        <x:f>IF(COUNT(E69:F69)=2,MAX(0,E69-F69),"n.a.")</x:f>
        <x:v>290</x:v>
      </x:c>
      <x:c r="H69" s="26" t="str">
        <x:f>'Inputs'!C13</x:f>
        <x:v>Loan C</x:v>
      </x:c>
      <x:c r="I69" s="26" t="n">
        <x:f>S64</x:f>
        <x:v>3547.5</x:v>
      </x:c>
      <x:c r="J69" s="29" t="n">
        <x:f>IF('Inputs'!$D$9="Ready",'Inputs'!E13,"n.a.")</x:f>
        <x:v>0.08</x:v>
      </x:c>
      <x:c r="K69" s="26" t="n">
        <x:f>IF('Inputs'!$D$9="Ready",'Inputs'!F13,"n.a.")</x:f>
        <x:v>150</x:v>
      </x:c>
      <x:c r="L69" s="29" t="n">
        <x:f>IF('Inputs'!$D$9="Ready",'Inputs'!G13,"n.a.")</x:f>
        <x:v>0</x:v>
      </x:c>
      <x:c r="M69" s="22" t="n">
        <x:f>IF(COUNT(I69:L69)=4,ROUND(I69*J69/12,2),"n.a.")</x:f>
        <x:v>23.65</x:v>
      </x:c>
      <x:c r="N69" s="22" t="n">
        <x:f>IF(COUNT(I69:M69)=5,MIN(I69+M69,ROUND(MAX(K69,I69*L69+M69),2)),"n.a.")</x:f>
        <x:v>150</x:v>
      </x:c>
      <x:c r="O69" s="30" t="n">
        <x:f>IF(COUNT($I$67:$I$71)&lt;&gt;5,"n.a.",IF(I69=0,6,IF('Inputs'!$D$5=1,COUNTIFS($I$67:$I$71,"&gt;0",$I$67:$I$71,"&lt;"&amp;I69)+COUNTIFS($I$67:I69,I69),COUNTIFS($I$67:$I$71,"&gt;0",$J$67:$J$71,"&gt;"&amp;J69)+COUNTIFS($I$67:I69,"&gt;0",$J$67:J69,J69))))</x:f>
        <x:v>2</x:v>
      </x:c>
      <x:c r="P69" s="22" t="n">
        <x:f>IF(T69="Ready",MIN(U69,MAX(0,G69-SUMIFS($U$67:$U$71,$O$67:$O$71,"&lt;"&amp;O69))),"n.a.")</x:f>
        <x:v>0</x:v>
      </x:c>
      <x:c r="Q69" s="22" t="n">
        <x:f>IF(T69="Ready",ROUND(N69+P69,2),"n.a.")</x:f>
        <x:v>150</x:v>
      </x:c>
      <x:c r="R69" s="22" t="n">
        <x:f>IF(T69="Ready",ROUND(Q69-M69,2),"n.a.")</x:f>
        <x:v>126.35</x:v>
      </x:c>
      <x:c r="S69" s="22" t="n">
        <x:f>IF(T69="Ready",MAX(0,ROUND(I69+M69-Q69,2)),"n.a.")</x:f>
        <x:v>3421.15</x:v>
      </x:c>
      <x:c r="T69" s="22" t="str">
        <x:f>IF(AND(COUNT($I$67:$I$71)=5,COUNT(E69:F69)=2),IF(E69&gt;=F69,"Ready","Budget below minima"),"Check inputs")</x:f>
        <x:v>Ready</x:v>
      </x:c>
      <x:c r="U69" s="22" t="n">
        <x:f>IF(COUNT(I69,M69,N69)=3,MAX(0,ROUND(I69+M69-N69,2)),"n.a.")</x:f>
        <x:v>3421.15</x:v>
      </x:c>
    </x:row>
    <x:row r="70" ht="22" customHeight="1">
      <x:c r="A70" s="2"/>
      <x:c r="B70" s="2"/>
      <x:c r="C70" s="27" t="n">
        <x:f>13</x:f>
        <x:v>13</x:v>
      </x:c>
      <x:c r="D70" s="28" t="n">
        <x:f>IF(ISNUMBER('Inputs'!$D$7),EDATE('Inputs'!$D$7,12),"n.a.")</x:f>
        <x:v>46692</x:v>
      </x:c>
      <x:c r="E70" s="26" t="n">
        <x:f>IF('Inputs'!$D$9&lt;&gt;"Ready","n.a.",IF(ISNUMBER('Inputs'!E31),IF('Inputs'!E31&gt;=0,'Inputs'!E31,"n.a."),IF('Inputs'!E31="",'Inputs'!$D$6,"n.a.")))</x:f>
        <x:v>500</x:v>
      </x:c>
      <x:c r="F70" s="22" t="n">
        <x:f>IF(COUNT($N$67:$N$71)=5,SUM($N$67:$N$71),"n.a.")</x:f>
        <x:v>210</x:v>
      </x:c>
      <x:c r="G70" s="22" t="n">
        <x:f>IF(COUNT(E70:F70)=2,MAX(0,E70-F70),"n.a.")</x:f>
        <x:v>290</x:v>
      </x:c>
      <x:c r="H70" s="26" t="str">
        <x:f>'Inputs'!C14</x:f>
        <x:v>Unused 4</x:v>
      </x:c>
      <x:c r="I70" s="26" t="n">
        <x:f>S65</x:f>
        <x:v>0</x:v>
      </x:c>
      <x:c r="J70" s="29" t="n">
        <x:f>IF('Inputs'!$D$9="Ready",'Inputs'!E14,"n.a.")</x:f>
        <x:v>0</x:v>
      </x:c>
      <x:c r="K70" s="26" t="n">
        <x:f>IF('Inputs'!$D$9="Ready",'Inputs'!F14,"n.a.")</x:f>
        <x:v>0</x:v>
      </x:c>
      <x:c r="L70" s="29" t="n">
        <x:f>IF('Inputs'!$D$9="Ready",'Inputs'!G14,"n.a.")</x:f>
        <x:v>0</x:v>
      </x:c>
      <x:c r="M70" s="22" t="n">
        <x:f>IF(COUNT(I70:L70)=4,ROUND(I70*J70/12,2),"n.a.")</x:f>
        <x:v>0</x:v>
      </x:c>
      <x:c r="N70" s="22" t="n">
        <x:f>IF(COUNT(I70:M70)=5,MIN(I70+M70,ROUND(MAX(K70,I70*L70+M70),2)),"n.a.")</x:f>
        <x:v>0</x:v>
      </x:c>
      <x:c r="O70" s="30" t="n">
        <x:f>IF(COUNT($I$67:$I$71)&lt;&gt;5,"n.a.",IF(I70=0,6,IF('Inputs'!$D$5=1,COUNTIFS($I$67:$I$71,"&gt;0",$I$67:$I$71,"&lt;"&amp;I70)+COUNTIFS($I$67:I70,I70),COUNTIFS($I$67:$I$71,"&gt;0",$J$67:$J$71,"&gt;"&amp;J70)+COUNTIFS($I$67:I70,"&gt;0",$J$67:J70,J70))))</x:f>
        <x:v>6</x:v>
      </x:c>
      <x:c r="P70" s="22" t="n">
        <x:f>IF(T70="Ready",MIN(U70,MAX(0,G70-SUMIFS($U$67:$U$71,$O$67:$O$71,"&lt;"&amp;O70))),"n.a.")</x:f>
        <x:v>0</x:v>
      </x:c>
      <x:c r="Q70" s="22" t="n">
        <x:f>IF(T70="Ready",ROUND(N70+P70,2),"n.a.")</x:f>
        <x:v>0</x:v>
      </x:c>
      <x:c r="R70" s="22" t="n">
        <x:f>IF(T70="Ready",ROUND(Q70-M70,2),"n.a.")</x:f>
        <x:v>0</x:v>
      </x:c>
      <x:c r="S70" s="22" t="n">
        <x:f>IF(T70="Ready",MAX(0,ROUND(I70+M70-Q70,2)),"n.a.")</x:f>
        <x:v>0</x:v>
      </x:c>
      <x:c r="T70" s="22" t="str">
        <x:f>IF(AND(COUNT($I$67:$I$71)=5,COUNT(E70:F70)=2),IF(E70&gt;=F70,"Ready","Budget below minima"),"Check inputs")</x:f>
        <x:v>Ready</x:v>
      </x:c>
      <x:c r="U70" s="22" t="n">
        <x:f>IF(COUNT(I70,M70,N70)=3,MAX(0,ROUND(I70+M70-N70,2)),"n.a.")</x:f>
        <x:v>0</x:v>
      </x:c>
    </x:row>
    <x:row r="71" ht="22" customHeight="1">
      <x:c r="A71" s="2"/>
      <x:c r="B71" s="2"/>
      <x:c r="C71" s="27" t="n">
        <x:f>13</x:f>
        <x:v>13</x:v>
      </x:c>
      <x:c r="D71" s="28" t="n">
        <x:f>IF(ISNUMBER('Inputs'!$D$7),EDATE('Inputs'!$D$7,12),"n.a.")</x:f>
        <x:v>46692</x:v>
      </x:c>
      <x:c r="E71" s="26" t="n">
        <x:f>IF('Inputs'!$D$9&lt;&gt;"Ready","n.a.",IF(ISNUMBER('Inputs'!E31),IF('Inputs'!E31&gt;=0,'Inputs'!E31,"n.a."),IF('Inputs'!E31="",'Inputs'!$D$6,"n.a.")))</x:f>
        <x:v>500</x:v>
      </x:c>
      <x:c r="F71" s="22" t="n">
        <x:f>IF(COUNT($N$67:$N$71)=5,SUM($N$67:$N$71),"n.a.")</x:f>
        <x:v>210</x:v>
      </x:c>
      <x:c r="G71" s="22" t="n">
        <x:f>IF(COUNT(E71:F71)=2,MAX(0,E71-F71),"n.a.")</x:f>
        <x:v>290</x:v>
      </x:c>
      <x:c r="H71" s="26" t="str">
        <x:f>'Inputs'!C15</x:f>
        <x:v>Unused 5</x:v>
      </x:c>
      <x:c r="I71" s="26" t="n">
        <x:f>S66</x:f>
        <x:v>0</x:v>
      </x:c>
      <x:c r="J71" s="29" t="n">
        <x:f>IF('Inputs'!$D$9="Ready",'Inputs'!E15,"n.a.")</x:f>
        <x:v>0</x:v>
      </x:c>
      <x:c r="K71" s="26" t="n">
        <x:f>IF('Inputs'!$D$9="Ready",'Inputs'!F15,"n.a.")</x:f>
        <x:v>0</x:v>
      </x:c>
      <x:c r="L71" s="29" t="n">
        <x:f>IF('Inputs'!$D$9="Ready",'Inputs'!G15,"n.a.")</x:f>
        <x:v>0</x:v>
      </x:c>
      <x:c r="M71" s="22" t="n">
        <x:f>IF(COUNT(I71:L71)=4,ROUND(I71*J71/12,2),"n.a.")</x:f>
        <x:v>0</x:v>
      </x:c>
      <x:c r="N71" s="22" t="n">
        <x:f>IF(COUNT(I71:M71)=5,MIN(I71+M71,ROUND(MAX(K71,I71*L71+M71),2)),"n.a.")</x:f>
        <x:v>0</x:v>
      </x:c>
      <x:c r="O71" s="30" t="n">
        <x:f>IF(COUNT($I$67:$I$71)&lt;&gt;5,"n.a.",IF(I71=0,6,IF('Inputs'!$D$5=1,COUNTIFS($I$67:$I$71,"&gt;0",$I$67:$I$71,"&lt;"&amp;I71)+COUNTIFS($I$67:I71,I71),COUNTIFS($I$67:$I$71,"&gt;0",$J$67:$J$71,"&gt;"&amp;J71)+COUNTIFS($I$67:I71,"&gt;0",$J$67:J71,J71))))</x:f>
        <x:v>6</x:v>
      </x:c>
      <x:c r="P71" s="22" t="n">
        <x:f>IF(T71="Ready",MIN(U71,MAX(0,G71-SUMIFS($U$67:$U$71,$O$67:$O$71,"&lt;"&amp;O71))),"n.a.")</x:f>
        <x:v>0</x:v>
      </x:c>
      <x:c r="Q71" s="22" t="n">
        <x:f>IF(T71="Ready",ROUND(N71+P71,2),"n.a.")</x:f>
        <x:v>0</x:v>
      </x:c>
      <x:c r="R71" s="22" t="n">
        <x:f>IF(T71="Ready",ROUND(Q71-M71,2),"n.a.")</x:f>
        <x:v>0</x:v>
      </x:c>
      <x:c r="S71" s="22" t="n">
        <x:f>IF(T71="Ready",MAX(0,ROUND(I71+M71-Q71,2)),"n.a.")</x:f>
        <x:v>0</x:v>
      </x:c>
      <x:c r="T71" s="22" t="str">
        <x:f>IF(AND(COUNT($I$67:$I$71)=5,COUNT(E71:F71)=2),IF(E71&gt;=F71,"Ready","Budget below minima"),"Check inputs")</x:f>
        <x:v>Ready</x:v>
      </x:c>
      <x:c r="U71" s="22" t="n">
        <x:f>IF(COUNT(I71,M71,N71)=3,MAX(0,ROUND(I71+M71-N71,2)),"n.a.")</x:f>
        <x:v>0</x:v>
      </x:c>
    </x:row>
    <x:row r="72" ht="22" customHeight="1">
      <x:c r="A72" s="2"/>
      <x:c r="B72" s="2"/>
      <x:c r="C72" s="27" t="n">
        <x:f>14</x:f>
        <x:v>14</x:v>
      </x:c>
      <x:c r="D72" s="28" t="n">
        <x:f>IF(ISNUMBER('Inputs'!$D$7),EDATE('Inputs'!$D$7,13),"n.a.")</x:f>
        <x:v>46722</x:v>
      </x:c>
      <x:c r="E72" s="26" t="n">
        <x:f>IF('Inputs'!$D$9&lt;&gt;"Ready","n.a.",IF(ISNUMBER('Inputs'!E32),IF('Inputs'!E32&gt;=0,'Inputs'!E32,"n.a."),IF('Inputs'!E32="",'Inputs'!$D$6,"n.a.")))</x:f>
        <x:v>500</x:v>
      </x:c>
      <x:c r="F72" s="22" t="n">
        <x:f>IF(COUNT($N$72:$N$76)=5,SUM($N$72:$N$76),"n.a.")</x:f>
        <x:v>210</x:v>
      </x:c>
      <x:c r="G72" s="22" t="n">
        <x:f>IF(COUNT(E72:F72)=2,MAX(0,E72-F72),"n.a.")</x:f>
        <x:v>290</x:v>
      </x:c>
      <x:c r="H72" s="26" t="str">
        <x:f>'Inputs'!C11</x:f>
        <x:v>Card A</x:v>
      </x:c>
      <x:c r="I72" s="26" t="n">
        <x:f>S67</x:f>
        <x:v>0</x:v>
      </x:c>
      <x:c r="J72" s="29" t="n">
        <x:f>IF('Inputs'!$D$9="Ready",'Inputs'!E11,"n.a.")</x:f>
        <x:v>0.24</x:v>
      </x:c>
      <x:c r="K72" s="26" t="n">
        <x:f>IF('Inputs'!$D$9="Ready",'Inputs'!F11,"n.a.")</x:f>
        <x:v>35</x:v>
      </x:c>
      <x:c r="L72" s="29" t="n">
        <x:f>IF('Inputs'!$D$9="Ready",'Inputs'!G11,"n.a.")</x:f>
        <x:v>0.02</x:v>
      </x:c>
      <x:c r="M72" s="22" t="n">
        <x:f>IF(COUNT(I72:L72)=4,ROUND(I72*J72/12,2),"n.a.")</x:f>
        <x:v>0</x:v>
      </x:c>
      <x:c r="N72" s="22" t="n">
        <x:f>IF(COUNT(I72:M72)=5,MIN(I72+M72,ROUND(MAX(K72,I72*L72+M72),2)),"n.a.")</x:f>
        <x:v>0</x:v>
      </x:c>
      <x:c r="O72" s="30" t="n">
        <x:f>IF(COUNT($I$72:$I$76)&lt;&gt;5,"n.a.",IF(I72=0,6,IF('Inputs'!$D$5=1,COUNTIFS($I$72:$I$76,"&gt;0",$I$72:$I$76,"&lt;"&amp;I72)+COUNTIFS($I$72:I72,I72),COUNTIFS($I$72:$I$76,"&gt;0",$J$72:$J$76,"&gt;"&amp;J72)+COUNTIFS($I$72:I72,"&gt;0",$J$72:J72,J72))))</x:f>
        <x:v>6</x:v>
      </x:c>
      <x:c r="P72" s="22" t="n">
        <x:f>IF(T72="Ready",MIN(U72,MAX(0,G72-SUMIFS($U$72:$U$76,$O$72:$O$76,"&lt;"&amp;O72))),"n.a.")</x:f>
        <x:v>0</x:v>
      </x:c>
      <x:c r="Q72" s="22" t="n">
        <x:f>IF(T72="Ready",ROUND(N72+P72,2),"n.a.")</x:f>
        <x:v>0</x:v>
      </x:c>
      <x:c r="R72" s="22" t="n">
        <x:f>IF(T72="Ready",ROUND(Q72-M72,2),"n.a.")</x:f>
        <x:v>0</x:v>
      </x:c>
      <x:c r="S72" s="22" t="n">
        <x:f>IF(T72="Ready",MAX(0,ROUND(I72+M72-Q72,2)),"n.a.")</x:f>
        <x:v>0</x:v>
      </x:c>
      <x:c r="T72" s="22" t="str">
        <x:f>IF(AND(COUNT($I$72:$I$76)=5,COUNT(E72:F72)=2),IF(E72&gt;=F72,"Ready","Budget below minima"),"Check inputs")</x:f>
        <x:v>Ready</x:v>
      </x:c>
      <x:c r="U72" s="22" t="n">
        <x:f>IF(COUNT(I72,M72,N72)=3,MAX(0,ROUND(I72+M72-N72,2)),"n.a.")</x:f>
        <x:v>0</x:v>
      </x:c>
    </x:row>
    <x:row r="73" ht="22" customHeight="1">
      <x:c r="A73" s="2"/>
      <x:c r="B73" s="2"/>
      <x:c r="C73" s="27" t="n">
        <x:f>14</x:f>
        <x:v>14</x:v>
      </x:c>
      <x:c r="D73" s="28" t="n">
        <x:f>IF(ISNUMBER('Inputs'!$D$7),EDATE('Inputs'!$D$7,13),"n.a.")</x:f>
        <x:v>46722</x:v>
      </x:c>
      <x:c r="E73" s="26" t="n">
        <x:f>IF('Inputs'!$D$9&lt;&gt;"Ready","n.a.",IF(ISNUMBER('Inputs'!E32),IF('Inputs'!E32&gt;=0,'Inputs'!E32,"n.a."),IF('Inputs'!E32="",'Inputs'!$D$6,"n.a.")))</x:f>
        <x:v>500</x:v>
      </x:c>
      <x:c r="F73" s="22" t="n">
        <x:f>IF(COUNT($N$72:$N$76)=5,SUM($N$72:$N$76),"n.a.")</x:f>
        <x:v>210</x:v>
      </x:c>
      <x:c r="G73" s="22" t="n">
        <x:f>IF(COUNT(E73:F73)=2,MAX(0,E73-F73),"n.a.")</x:f>
        <x:v>290</x:v>
      </x:c>
      <x:c r="H73" s="26" t="str">
        <x:f>'Inputs'!C12</x:f>
        <x:v>Card B</x:v>
      </x:c>
      <x:c r="I73" s="26" t="n">
        <x:f>S68</x:f>
        <x:v>136.02</x:v>
      </x:c>
      <x:c r="J73" s="29" t="n">
        <x:f>IF('Inputs'!$D$9="Ready",'Inputs'!E12,"n.a.")</x:f>
        <x:v>0.18</x:v>
      </x:c>
      <x:c r="K73" s="26" t="n">
        <x:f>IF('Inputs'!$D$9="Ready",'Inputs'!F12,"n.a.")</x:f>
        <x:v>60</x:v>
      </x:c>
      <x:c r="L73" s="29" t="n">
        <x:f>IF('Inputs'!$D$9="Ready",'Inputs'!G12,"n.a.")</x:f>
        <x:v>0.02</x:v>
      </x:c>
      <x:c r="M73" s="22" t="n">
        <x:f>IF(COUNT(I73:L73)=4,ROUND(I73*J73/12,2),"n.a.")</x:f>
        <x:v>2.04</x:v>
      </x:c>
      <x:c r="N73" s="22" t="n">
        <x:f>IF(COUNT(I73:M73)=5,MIN(I73+M73,ROUND(MAX(K73,I73*L73+M73),2)),"n.a.")</x:f>
        <x:v>60</x:v>
      </x:c>
      <x:c r="O73" s="30" t="n">
        <x:f>IF(COUNT($I$72:$I$76)&lt;&gt;5,"n.a.",IF(I73=0,6,IF('Inputs'!$D$5=1,COUNTIFS($I$72:$I$76,"&gt;0",$I$72:$I$76,"&lt;"&amp;I73)+COUNTIFS($I$72:I73,I73),COUNTIFS($I$72:$I$76,"&gt;0",$J$72:$J$76,"&gt;"&amp;J73)+COUNTIFS($I$72:I73,"&gt;0",$J$72:J73,J73))))</x:f>
        <x:v>1</x:v>
      </x:c>
      <x:c r="P73" s="22" t="n">
        <x:f>IF(T73="Ready",MIN(U73,MAX(0,G73-SUMIFS($U$72:$U$76,$O$72:$O$76,"&lt;"&amp;O73))),"n.a.")</x:f>
        <x:v>78.06</x:v>
      </x:c>
      <x:c r="Q73" s="22" t="n">
        <x:f>IF(T73="Ready",ROUND(N73+P73,2),"n.a.")</x:f>
        <x:v>138.06</x:v>
      </x:c>
      <x:c r="R73" s="22" t="n">
        <x:f>IF(T73="Ready",ROUND(Q73-M73,2),"n.a.")</x:f>
        <x:v>136.02</x:v>
      </x:c>
      <x:c r="S73" s="22" t="n">
        <x:f>IF(T73="Ready",MAX(0,ROUND(I73+M73-Q73,2)),"n.a.")</x:f>
        <x:v>0</x:v>
      </x:c>
      <x:c r="T73" s="22" t="str">
        <x:f>IF(AND(COUNT($I$72:$I$76)=5,COUNT(E73:F73)=2),IF(E73&gt;=F73,"Ready","Budget below minima"),"Check inputs")</x:f>
        <x:v>Ready</x:v>
      </x:c>
      <x:c r="U73" s="22" t="n">
        <x:f>IF(COUNT(I73,M73,N73)=3,MAX(0,ROUND(I73+M73-N73,2)),"n.a.")</x:f>
        <x:v>78.06</x:v>
      </x:c>
    </x:row>
    <x:row r="74" ht="22" customHeight="1">
      <x:c r="A74" s="2"/>
      <x:c r="B74" s="2"/>
      <x:c r="C74" s="27" t="n">
        <x:f>14</x:f>
        <x:v>14</x:v>
      </x:c>
      <x:c r="D74" s="28" t="n">
        <x:f>IF(ISNUMBER('Inputs'!$D$7),EDATE('Inputs'!$D$7,13),"n.a.")</x:f>
        <x:v>46722</x:v>
      </x:c>
      <x:c r="E74" s="26" t="n">
        <x:f>IF('Inputs'!$D$9&lt;&gt;"Ready","n.a.",IF(ISNUMBER('Inputs'!E32),IF('Inputs'!E32&gt;=0,'Inputs'!E32,"n.a."),IF('Inputs'!E32="",'Inputs'!$D$6,"n.a.")))</x:f>
        <x:v>500</x:v>
      </x:c>
      <x:c r="F74" s="22" t="n">
        <x:f>IF(COUNT($N$72:$N$76)=5,SUM($N$72:$N$76),"n.a.")</x:f>
        <x:v>210</x:v>
      </x:c>
      <x:c r="G74" s="22" t="n">
        <x:f>IF(COUNT(E74:F74)=2,MAX(0,E74-F74),"n.a.")</x:f>
        <x:v>290</x:v>
      </x:c>
      <x:c r="H74" s="26" t="str">
        <x:f>'Inputs'!C13</x:f>
        <x:v>Loan C</x:v>
      </x:c>
      <x:c r="I74" s="26" t="n">
        <x:f>S69</x:f>
        <x:v>3421.15</x:v>
      </x:c>
      <x:c r="J74" s="29" t="n">
        <x:f>IF('Inputs'!$D$9="Ready",'Inputs'!E13,"n.a.")</x:f>
        <x:v>0.08</x:v>
      </x:c>
      <x:c r="K74" s="26" t="n">
        <x:f>IF('Inputs'!$D$9="Ready",'Inputs'!F13,"n.a.")</x:f>
        <x:v>150</x:v>
      </x:c>
      <x:c r="L74" s="29" t="n">
        <x:f>IF('Inputs'!$D$9="Ready",'Inputs'!G13,"n.a.")</x:f>
        <x:v>0</x:v>
      </x:c>
      <x:c r="M74" s="22" t="n">
        <x:f>IF(COUNT(I74:L74)=4,ROUND(I74*J74/12,2),"n.a.")</x:f>
        <x:v>22.81</x:v>
      </x:c>
      <x:c r="N74" s="22" t="n">
        <x:f>IF(COUNT(I74:M74)=5,MIN(I74+M74,ROUND(MAX(K74,I74*L74+M74),2)),"n.a.")</x:f>
        <x:v>150</x:v>
      </x:c>
      <x:c r="O74" s="30" t="n">
        <x:f>IF(COUNT($I$72:$I$76)&lt;&gt;5,"n.a.",IF(I74=0,6,IF('Inputs'!$D$5=1,COUNTIFS($I$72:$I$76,"&gt;0",$I$72:$I$76,"&lt;"&amp;I74)+COUNTIFS($I$72:I74,I74),COUNTIFS($I$72:$I$76,"&gt;0",$J$72:$J$76,"&gt;"&amp;J74)+COUNTIFS($I$72:I74,"&gt;0",$J$72:J74,J74))))</x:f>
        <x:v>2</x:v>
      </x:c>
      <x:c r="P74" s="22" t="n">
        <x:f>IF(T74="Ready",MIN(U74,MAX(0,G74-SUMIFS($U$72:$U$76,$O$72:$O$76,"&lt;"&amp;O74))),"n.a.")</x:f>
        <x:v>211.94</x:v>
      </x:c>
      <x:c r="Q74" s="22" t="n">
        <x:f>IF(T74="Ready",ROUND(N74+P74,2),"n.a.")</x:f>
        <x:v>361.94</x:v>
      </x:c>
      <x:c r="R74" s="22" t="n">
        <x:f>IF(T74="Ready",ROUND(Q74-M74,2),"n.a.")</x:f>
        <x:v>339.13</x:v>
      </x:c>
      <x:c r="S74" s="22" t="n">
        <x:f>IF(T74="Ready",MAX(0,ROUND(I74+M74-Q74,2)),"n.a.")</x:f>
        <x:v>3082.02</x:v>
      </x:c>
      <x:c r="T74" s="22" t="str">
        <x:f>IF(AND(COUNT($I$72:$I$76)=5,COUNT(E74:F74)=2),IF(E74&gt;=F74,"Ready","Budget below minima"),"Check inputs")</x:f>
        <x:v>Ready</x:v>
      </x:c>
      <x:c r="U74" s="22" t="n">
        <x:f>IF(COUNT(I74,M74,N74)=3,MAX(0,ROUND(I74+M74-N74,2)),"n.a.")</x:f>
        <x:v>3293.96</x:v>
      </x:c>
    </x:row>
    <x:row r="75" ht="22" customHeight="1">
      <x:c r="A75" s="2"/>
      <x:c r="B75" s="2"/>
      <x:c r="C75" s="27" t="n">
        <x:f>14</x:f>
        <x:v>14</x:v>
      </x:c>
      <x:c r="D75" s="28" t="n">
        <x:f>IF(ISNUMBER('Inputs'!$D$7),EDATE('Inputs'!$D$7,13),"n.a.")</x:f>
        <x:v>46722</x:v>
      </x:c>
      <x:c r="E75" s="26" t="n">
        <x:f>IF('Inputs'!$D$9&lt;&gt;"Ready","n.a.",IF(ISNUMBER('Inputs'!E32),IF('Inputs'!E32&gt;=0,'Inputs'!E32,"n.a."),IF('Inputs'!E32="",'Inputs'!$D$6,"n.a.")))</x:f>
        <x:v>500</x:v>
      </x:c>
      <x:c r="F75" s="22" t="n">
        <x:f>IF(COUNT($N$72:$N$76)=5,SUM($N$72:$N$76),"n.a.")</x:f>
        <x:v>210</x:v>
      </x:c>
      <x:c r="G75" s="22" t="n">
        <x:f>IF(COUNT(E75:F75)=2,MAX(0,E75-F75),"n.a.")</x:f>
        <x:v>290</x:v>
      </x:c>
      <x:c r="H75" s="26" t="str">
        <x:f>'Inputs'!C14</x:f>
        <x:v>Unused 4</x:v>
      </x:c>
      <x:c r="I75" s="26" t="n">
        <x:f>S70</x:f>
        <x:v>0</x:v>
      </x:c>
      <x:c r="J75" s="29" t="n">
        <x:f>IF('Inputs'!$D$9="Ready",'Inputs'!E14,"n.a.")</x:f>
        <x:v>0</x:v>
      </x:c>
      <x:c r="K75" s="26" t="n">
        <x:f>IF('Inputs'!$D$9="Ready",'Inputs'!F14,"n.a.")</x:f>
        <x:v>0</x:v>
      </x:c>
      <x:c r="L75" s="29" t="n">
        <x:f>IF('Inputs'!$D$9="Ready",'Inputs'!G14,"n.a.")</x:f>
        <x:v>0</x:v>
      </x:c>
      <x:c r="M75" s="22" t="n">
        <x:f>IF(COUNT(I75:L75)=4,ROUND(I75*J75/12,2),"n.a.")</x:f>
        <x:v>0</x:v>
      </x:c>
      <x:c r="N75" s="22" t="n">
        <x:f>IF(COUNT(I75:M75)=5,MIN(I75+M75,ROUND(MAX(K75,I75*L75+M75),2)),"n.a.")</x:f>
        <x:v>0</x:v>
      </x:c>
      <x:c r="O75" s="30" t="n">
        <x:f>IF(COUNT($I$72:$I$76)&lt;&gt;5,"n.a.",IF(I75=0,6,IF('Inputs'!$D$5=1,COUNTIFS($I$72:$I$76,"&gt;0",$I$72:$I$76,"&lt;"&amp;I75)+COUNTIFS($I$72:I75,I75),COUNTIFS($I$72:$I$76,"&gt;0",$J$72:$J$76,"&gt;"&amp;J75)+COUNTIFS($I$72:I75,"&gt;0",$J$72:J75,J75))))</x:f>
        <x:v>6</x:v>
      </x:c>
      <x:c r="P75" s="22" t="n">
        <x:f>IF(T75="Ready",MIN(U75,MAX(0,G75-SUMIFS($U$72:$U$76,$O$72:$O$76,"&lt;"&amp;O75))),"n.a.")</x:f>
        <x:v>0</x:v>
      </x:c>
      <x:c r="Q75" s="22" t="n">
        <x:f>IF(T75="Ready",ROUND(N75+P75,2),"n.a.")</x:f>
        <x:v>0</x:v>
      </x:c>
      <x:c r="R75" s="22" t="n">
        <x:f>IF(T75="Ready",ROUND(Q75-M75,2),"n.a.")</x:f>
        <x:v>0</x:v>
      </x:c>
      <x:c r="S75" s="22" t="n">
        <x:f>IF(T75="Ready",MAX(0,ROUND(I75+M75-Q75,2)),"n.a.")</x:f>
        <x:v>0</x:v>
      </x:c>
      <x:c r="T75" s="22" t="str">
        <x:f>IF(AND(COUNT($I$72:$I$76)=5,COUNT(E75:F75)=2),IF(E75&gt;=F75,"Ready","Budget below minima"),"Check inputs")</x:f>
        <x:v>Ready</x:v>
      </x:c>
      <x:c r="U75" s="22" t="n">
        <x:f>IF(COUNT(I75,M75,N75)=3,MAX(0,ROUND(I75+M75-N75,2)),"n.a.")</x:f>
        <x:v>0</x:v>
      </x:c>
    </x:row>
    <x:row r="76" ht="22" customHeight="1">
      <x:c r="A76" s="2"/>
      <x:c r="B76" s="2"/>
      <x:c r="C76" s="27" t="n">
        <x:f>14</x:f>
        <x:v>14</x:v>
      </x:c>
      <x:c r="D76" s="28" t="n">
        <x:f>IF(ISNUMBER('Inputs'!$D$7),EDATE('Inputs'!$D$7,13),"n.a.")</x:f>
        <x:v>46722</x:v>
      </x:c>
      <x:c r="E76" s="26" t="n">
        <x:f>IF('Inputs'!$D$9&lt;&gt;"Ready","n.a.",IF(ISNUMBER('Inputs'!E32),IF('Inputs'!E32&gt;=0,'Inputs'!E32,"n.a."),IF('Inputs'!E32="",'Inputs'!$D$6,"n.a.")))</x:f>
        <x:v>500</x:v>
      </x:c>
      <x:c r="F76" s="22" t="n">
        <x:f>IF(COUNT($N$72:$N$76)=5,SUM($N$72:$N$76),"n.a.")</x:f>
        <x:v>210</x:v>
      </x:c>
      <x:c r="G76" s="22" t="n">
        <x:f>IF(COUNT(E76:F76)=2,MAX(0,E76-F76),"n.a.")</x:f>
        <x:v>290</x:v>
      </x:c>
      <x:c r="H76" s="26" t="str">
        <x:f>'Inputs'!C15</x:f>
        <x:v>Unused 5</x:v>
      </x:c>
      <x:c r="I76" s="26" t="n">
        <x:f>S71</x:f>
        <x:v>0</x:v>
      </x:c>
      <x:c r="J76" s="29" t="n">
        <x:f>IF('Inputs'!$D$9="Ready",'Inputs'!E15,"n.a.")</x:f>
        <x:v>0</x:v>
      </x:c>
      <x:c r="K76" s="26" t="n">
        <x:f>IF('Inputs'!$D$9="Ready",'Inputs'!F15,"n.a.")</x:f>
        <x:v>0</x:v>
      </x:c>
      <x:c r="L76" s="29" t="n">
        <x:f>IF('Inputs'!$D$9="Ready",'Inputs'!G15,"n.a.")</x:f>
        <x:v>0</x:v>
      </x:c>
      <x:c r="M76" s="22" t="n">
        <x:f>IF(COUNT(I76:L76)=4,ROUND(I76*J76/12,2),"n.a.")</x:f>
        <x:v>0</x:v>
      </x:c>
      <x:c r="N76" s="22" t="n">
        <x:f>IF(COUNT(I76:M76)=5,MIN(I76+M76,ROUND(MAX(K76,I76*L76+M76),2)),"n.a.")</x:f>
        <x:v>0</x:v>
      </x:c>
      <x:c r="O76" s="30" t="n">
        <x:f>IF(COUNT($I$72:$I$76)&lt;&gt;5,"n.a.",IF(I76=0,6,IF('Inputs'!$D$5=1,COUNTIFS($I$72:$I$76,"&gt;0",$I$72:$I$76,"&lt;"&amp;I76)+COUNTIFS($I$72:I76,I76),COUNTIFS($I$72:$I$76,"&gt;0",$J$72:$J$76,"&gt;"&amp;J76)+COUNTIFS($I$72:I76,"&gt;0",$J$72:J76,J76))))</x:f>
        <x:v>6</x:v>
      </x:c>
      <x:c r="P76" s="22" t="n">
        <x:f>IF(T76="Ready",MIN(U76,MAX(0,G76-SUMIFS($U$72:$U$76,$O$72:$O$76,"&lt;"&amp;O76))),"n.a.")</x:f>
        <x:v>0</x:v>
      </x:c>
      <x:c r="Q76" s="22" t="n">
        <x:f>IF(T76="Ready",ROUND(N76+P76,2),"n.a.")</x:f>
        <x:v>0</x:v>
      </x:c>
      <x:c r="R76" s="22" t="n">
        <x:f>IF(T76="Ready",ROUND(Q76-M76,2),"n.a.")</x:f>
        <x:v>0</x:v>
      </x:c>
      <x:c r="S76" s="22" t="n">
        <x:f>IF(T76="Ready",MAX(0,ROUND(I76+M76-Q76,2)),"n.a.")</x:f>
        <x:v>0</x:v>
      </x:c>
      <x:c r="T76" s="22" t="str">
        <x:f>IF(AND(COUNT($I$72:$I$76)=5,COUNT(E76:F76)=2),IF(E76&gt;=F76,"Ready","Budget below minima"),"Check inputs")</x:f>
        <x:v>Ready</x:v>
      </x:c>
      <x:c r="U76" s="22" t="n">
        <x:f>IF(COUNT(I76,M76,N76)=3,MAX(0,ROUND(I76+M76-N76,2)),"n.a.")</x:f>
        <x:v>0</x:v>
      </x:c>
    </x:row>
    <x:row r="77" ht="22" customHeight="1">
      <x:c r="A77" s="2"/>
      <x:c r="B77" s="2"/>
      <x:c r="C77" s="27" t="n">
        <x:f>15</x:f>
        <x:v>15</x:v>
      </x:c>
      <x:c r="D77" s="28" t="n">
        <x:f>IF(ISNUMBER('Inputs'!$D$7),EDATE('Inputs'!$D$7,14),"n.a.")</x:f>
        <x:v>46753</x:v>
      </x:c>
      <x:c r="E77" s="26" t="n">
        <x:f>IF('Inputs'!$D$9&lt;&gt;"Ready","n.a.",IF(ISNUMBER('Inputs'!E33),IF('Inputs'!E33&gt;=0,'Inputs'!E33,"n.a."),IF('Inputs'!E33="",'Inputs'!$D$6,"n.a.")))</x:f>
        <x:v>500</x:v>
      </x:c>
      <x:c r="F77" s="22" t="n">
        <x:f>IF(COUNT($N$77:$N$81)=5,SUM($N$77:$N$81),"n.a.")</x:f>
        <x:v>150</x:v>
      </x:c>
      <x:c r="G77" s="22" t="n">
        <x:f>IF(COUNT(E77:F77)=2,MAX(0,E77-F77),"n.a.")</x:f>
        <x:v>350</x:v>
      </x:c>
      <x:c r="H77" s="26" t="str">
        <x:f>'Inputs'!C11</x:f>
        <x:v>Card A</x:v>
      </x:c>
      <x:c r="I77" s="26" t="n">
        <x:f>S72</x:f>
        <x:v>0</x:v>
      </x:c>
      <x:c r="J77" s="29" t="n">
        <x:f>IF('Inputs'!$D$9="Ready",'Inputs'!E11,"n.a.")</x:f>
        <x:v>0.24</x:v>
      </x:c>
      <x:c r="K77" s="26" t="n">
        <x:f>IF('Inputs'!$D$9="Ready",'Inputs'!F11,"n.a.")</x:f>
        <x:v>35</x:v>
      </x:c>
      <x:c r="L77" s="29" t="n">
        <x:f>IF('Inputs'!$D$9="Ready",'Inputs'!G11,"n.a.")</x:f>
        <x:v>0.02</x:v>
      </x:c>
      <x:c r="M77" s="22" t="n">
        <x:f>IF(COUNT(I77:L77)=4,ROUND(I77*J77/12,2),"n.a.")</x:f>
        <x:v>0</x:v>
      </x:c>
      <x:c r="N77" s="22" t="n">
        <x:f>IF(COUNT(I77:M77)=5,MIN(I77+M77,ROUND(MAX(K77,I77*L77+M77),2)),"n.a.")</x:f>
        <x:v>0</x:v>
      </x:c>
      <x:c r="O77" s="30" t="n">
        <x:f>IF(COUNT($I$77:$I$81)&lt;&gt;5,"n.a.",IF(I77=0,6,IF('Inputs'!$D$5=1,COUNTIFS($I$77:$I$81,"&gt;0",$I$77:$I$81,"&lt;"&amp;I77)+COUNTIFS($I$77:I77,I77),COUNTIFS($I$77:$I$81,"&gt;0",$J$77:$J$81,"&gt;"&amp;J77)+COUNTIFS($I$77:I77,"&gt;0",$J$77:J77,J77))))</x:f>
        <x:v>6</x:v>
      </x:c>
      <x:c r="P77" s="22" t="n">
        <x:f>IF(T77="Ready",MIN(U77,MAX(0,G77-SUMIFS($U$77:$U$81,$O$77:$O$81,"&lt;"&amp;O77))),"n.a.")</x:f>
        <x:v>0</x:v>
      </x:c>
      <x:c r="Q77" s="22" t="n">
        <x:f>IF(T77="Ready",ROUND(N77+P77,2),"n.a.")</x:f>
        <x:v>0</x:v>
      </x:c>
      <x:c r="R77" s="22" t="n">
        <x:f>IF(T77="Ready",ROUND(Q77-M77,2),"n.a.")</x:f>
        <x:v>0</x:v>
      </x:c>
      <x:c r="S77" s="22" t="n">
        <x:f>IF(T77="Ready",MAX(0,ROUND(I77+M77-Q77,2)),"n.a.")</x:f>
        <x:v>0</x:v>
      </x:c>
      <x:c r="T77" s="22" t="str">
        <x:f>IF(AND(COUNT($I$77:$I$81)=5,COUNT(E77:F77)=2),IF(E77&gt;=F77,"Ready","Budget below minima"),"Check inputs")</x:f>
        <x:v>Ready</x:v>
      </x:c>
      <x:c r="U77" s="22" t="n">
        <x:f>IF(COUNT(I77,M77,N77)=3,MAX(0,ROUND(I77+M77-N77,2)),"n.a.")</x:f>
        <x:v>0</x:v>
      </x:c>
    </x:row>
    <x:row r="78" ht="22" customHeight="1">
      <x:c r="A78" s="2"/>
      <x:c r="B78" s="2"/>
      <x:c r="C78" s="27" t="n">
        <x:f>15</x:f>
        <x:v>15</x:v>
      </x:c>
      <x:c r="D78" s="28" t="n">
        <x:f>IF(ISNUMBER('Inputs'!$D$7),EDATE('Inputs'!$D$7,14),"n.a.")</x:f>
        <x:v>46753</x:v>
      </x:c>
      <x:c r="E78" s="26" t="n">
        <x:f>IF('Inputs'!$D$9&lt;&gt;"Ready","n.a.",IF(ISNUMBER('Inputs'!E33),IF('Inputs'!E33&gt;=0,'Inputs'!E33,"n.a."),IF('Inputs'!E33="",'Inputs'!$D$6,"n.a.")))</x:f>
        <x:v>500</x:v>
      </x:c>
      <x:c r="F78" s="22" t="n">
        <x:f>IF(COUNT($N$77:$N$81)=5,SUM($N$77:$N$81),"n.a.")</x:f>
        <x:v>150</x:v>
      </x:c>
      <x:c r="G78" s="22" t="n">
        <x:f>IF(COUNT(E78:F78)=2,MAX(0,E78-F78),"n.a.")</x:f>
        <x:v>350</x:v>
      </x:c>
      <x:c r="H78" s="26" t="str">
        <x:f>'Inputs'!C12</x:f>
        <x:v>Card B</x:v>
      </x:c>
      <x:c r="I78" s="26" t="n">
        <x:f>S73</x:f>
        <x:v>0</x:v>
      </x:c>
      <x:c r="J78" s="29" t="n">
        <x:f>IF('Inputs'!$D$9="Ready",'Inputs'!E12,"n.a.")</x:f>
        <x:v>0.18</x:v>
      </x:c>
      <x:c r="K78" s="26" t="n">
        <x:f>IF('Inputs'!$D$9="Ready",'Inputs'!F12,"n.a.")</x:f>
        <x:v>60</x:v>
      </x:c>
      <x:c r="L78" s="29" t="n">
        <x:f>IF('Inputs'!$D$9="Ready",'Inputs'!G12,"n.a.")</x:f>
        <x:v>0.02</x:v>
      </x:c>
      <x:c r="M78" s="22" t="n">
        <x:f>IF(COUNT(I78:L78)=4,ROUND(I78*J78/12,2),"n.a.")</x:f>
        <x:v>0</x:v>
      </x:c>
      <x:c r="N78" s="22" t="n">
        <x:f>IF(COUNT(I78:M78)=5,MIN(I78+M78,ROUND(MAX(K78,I78*L78+M78),2)),"n.a.")</x:f>
        <x:v>0</x:v>
      </x:c>
      <x:c r="O78" s="30" t="n">
        <x:f>IF(COUNT($I$77:$I$81)&lt;&gt;5,"n.a.",IF(I78=0,6,IF('Inputs'!$D$5=1,COUNTIFS($I$77:$I$81,"&gt;0",$I$77:$I$81,"&lt;"&amp;I78)+COUNTIFS($I$77:I78,I78),COUNTIFS($I$77:$I$81,"&gt;0",$J$77:$J$81,"&gt;"&amp;J78)+COUNTIFS($I$77:I78,"&gt;0",$J$77:J78,J78))))</x:f>
        <x:v>6</x:v>
      </x:c>
      <x:c r="P78" s="22" t="n">
        <x:f>IF(T78="Ready",MIN(U78,MAX(0,G78-SUMIFS($U$77:$U$81,$O$77:$O$81,"&lt;"&amp;O78))),"n.a.")</x:f>
        <x:v>0</x:v>
      </x:c>
      <x:c r="Q78" s="22" t="n">
        <x:f>IF(T78="Ready",ROUND(N78+P78,2),"n.a.")</x:f>
        <x:v>0</x:v>
      </x:c>
      <x:c r="R78" s="22" t="n">
        <x:f>IF(T78="Ready",ROUND(Q78-M78,2),"n.a.")</x:f>
        <x:v>0</x:v>
      </x:c>
      <x:c r="S78" s="22" t="n">
        <x:f>IF(T78="Ready",MAX(0,ROUND(I78+M78-Q78,2)),"n.a.")</x:f>
        <x:v>0</x:v>
      </x:c>
      <x:c r="T78" s="22" t="str">
        <x:f>IF(AND(COUNT($I$77:$I$81)=5,COUNT(E78:F78)=2),IF(E78&gt;=F78,"Ready","Budget below minima"),"Check inputs")</x:f>
        <x:v>Ready</x:v>
      </x:c>
      <x:c r="U78" s="22" t="n">
        <x:f>IF(COUNT(I78,M78,N78)=3,MAX(0,ROUND(I78+M78-N78,2)),"n.a.")</x:f>
        <x:v>0</x:v>
      </x:c>
    </x:row>
    <x:row r="79" ht="22" customHeight="1">
      <x:c r="A79" s="2"/>
      <x:c r="B79" s="2"/>
      <x:c r="C79" s="27" t="n">
        <x:f>15</x:f>
        <x:v>15</x:v>
      </x:c>
      <x:c r="D79" s="28" t="n">
        <x:f>IF(ISNUMBER('Inputs'!$D$7),EDATE('Inputs'!$D$7,14),"n.a.")</x:f>
        <x:v>46753</x:v>
      </x:c>
      <x:c r="E79" s="26" t="n">
        <x:f>IF('Inputs'!$D$9&lt;&gt;"Ready","n.a.",IF(ISNUMBER('Inputs'!E33),IF('Inputs'!E33&gt;=0,'Inputs'!E33,"n.a."),IF('Inputs'!E33="",'Inputs'!$D$6,"n.a.")))</x:f>
        <x:v>500</x:v>
      </x:c>
      <x:c r="F79" s="22" t="n">
        <x:f>IF(COUNT($N$77:$N$81)=5,SUM($N$77:$N$81),"n.a.")</x:f>
        <x:v>150</x:v>
      </x:c>
      <x:c r="G79" s="22" t="n">
        <x:f>IF(COUNT(E79:F79)=2,MAX(0,E79-F79),"n.a.")</x:f>
        <x:v>350</x:v>
      </x:c>
      <x:c r="H79" s="26" t="str">
        <x:f>'Inputs'!C13</x:f>
        <x:v>Loan C</x:v>
      </x:c>
      <x:c r="I79" s="26" t="n">
        <x:f>S74</x:f>
        <x:v>3082.02</x:v>
      </x:c>
      <x:c r="J79" s="29" t="n">
        <x:f>IF('Inputs'!$D$9="Ready",'Inputs'!E13,"n.a.")</x:f>
        <x:v>0.08</x:v>
      </x:c>
      <x:c r="K79" s="26" t="n">
        <x:f>IF('Inputs'!$D$9="Ready",'Inputs'!F13,"n.a.")</x:f>
        <x:v>150</x:v>
      </x:c>
      <x:c r="L79" s="29" t="n">
        <x:f>IF('Inputs'!$D$9="Ready",'Inputs'!G13,"n.a.")</x:f>
        <x:v>0</x:v>
      </x:c>
      <x:c r="M79" s="22" t="n">
        <x:f>IF(COUNT(I79:L79)=4,ROUND(I79*J79/12,2),"n.a.")</x:f>
        <x:v>20.55</x:v>
      </x:c>
      <x:c r="N79" s="22" t="n">
        <x:f>IF(COUNT(I79:M79)=5,MIN(I79+M79,ROUND(MAX(K79,I79*L79+M79),2)),"n.a.")</x:f>
        <x:v>150</x:v>
      </x:c>
      <x:c r="O79" s="30" t="n">
        <x:f>IF(COUNT($I$77:$I$81)&lt;&gt;5,"n.a.",IF(I79=0,6,IF('Inputs'!$D$5=1,COUNTIFS($I$77:$I$81,"&gt;0",$I$77:$I$81,"&lt;"&amp;I79)+COUNTIFS($I$77:I79,I79),COUNTIFS($I$77:$I$81,"&gt;0",$J$77:$J$81,"&gt;"&amp;J79)+COUNTIFS($I$77:I79,"&gt;0",$J$77:J79,J79))))</x:f>
        <x:v>1</x:v>
      </x:c>
      <x:c r="P79" s="22" t="n">
        <x:f>IF(T79="Ready",MIN(U79,MAX(0,G79-SUMIFS($U$77:$U$81,$O$77:$O$81,"&lt;"&amp;O79))),"n.a.")</x:f>
        <x:v>350</x:v>
      </x:c>
      <x:c r="Q79" s="22" t="n">
        <x:f>IF(T79="Ready",ROUND(N79+P79,2),"n.a.")</x:f>
        <x:v>500</x:v>
      </x:c>
      <x:c r="R79" s="22" t="n">
        <x:f>IF(T79="Ready",ROUND(Q79-M79,2),"n.a.")</x:f>
        <x:v>479.45</x:v>
      </x:c>
      <x:c r="S79" s="22" t="n">
        <x:f>IF(T79="Ready",MAX(0,ROUND(I79+M79-Q79,2)),"n.a.")</x:f>
        <x:v>2602.57</x:v>
      </x:c>
      <x:c r="T79" s="22" t="str">
        <x:f>IF(AND(COUNT($I$77:$I$81)=5,COUNT(E79:F79)=2),IF(E79&gt;=F79,"Ready","Budget below minima"),"Check inputs")</x:f>
        <x:v>Ready</x:v>
      </x:c>
      <x:c r="U79" s="22" t="n">
        <x:f>IF(COUNT(I79,M79,N79)=3,MAX(0,ROUND(I79+M79-N79,2)),"n.a.")</x:f>
        <x:v>2952.57</x:v>
      </x:c>
    </x:row>
    <x:row r="80" ht="22" customHeight="1">
      <x:c r="A80" s="2"/>
      <x:c r="B80" s="2"/>
      <x:c r="C80" s="27" t="n">
        <x:f>15</x:f>
        <x:v>15</x:v>
      </x:c>
      <x:c r="D80" s="28" t="n">
        <x:f>IF(ISNUMBER('Inputs'!$D$7),EDATE('Inputs'!$D$7,14),"n.a.")</x:f>
        <x:v>46753</x:v>
      </x:c>
      <x:c r="E80" s="26" t="n">
        <x:f>IF('Inputs'!$D$9&lt;&gt;"Ready","n.a.",IF(ISNUMBER('Inputs'!E33),IF('Inputs'!E33&gt;=0,'Inputs'!E33,"n.a."),IF('Inputs'!E33="",'Inputs'!$D$6,"n.a.")))</x:f>
        <x:v>500</x:v>
      </x:c>
      <x:c r="F80" s="22" t="n">
        <x:f>IF(COUNT($N$77:$N$81)=5,SUM($N$77:$N$81),"n.a.")</x:f>
        <x:v>150</x:v>
      </x:c>
      <x:c r="G80" s="22" t="n">
        <x:f>IF(COUNT(E80:F80)=2,MAX(0,E80-F80),"n.a.")</x:f>
        <x:v>350</x:v>
      </x:c>
      <x:c r="H80" s="26" t="str">
        <x:f>'Inputs'!C14</x:f>
        <x:v>Unused 4</x:v>
      </x:c>
      <x:c r="I80" s="26" t="n">
        <x:f>S75</x:f>
        <x:v>0</x:v>
      </x:c>
      <x:c r="J80" s="29" t="n">
        <x:f>IF('Inputs'!$D$9="Ready",'Inputs'!E14,"n.a.")</x:f>
        <x:v>0</x:v>
      </x:c>
      <x:c r="K80" s="26" t="n">
        <x:f>IF('Inputs'!$D$9="Ready",'Inputs'!F14,"n.a.")</x:f>
        <x:v>0</x:v>
      </x:c>
      <x:c r="L80" s="29" t="n">
        <x:f>IF('Inputs'!$D$9="Ready",'Inputs'!G14,"n.a.")</x:f>
        <x:v>0</x:v>
      </x:c>
      <x:c r="M80" s="22" t="n">
        <x:f>IF(COUNT(I80:L80)=4,ROUND(I80*J80/12,2),"n.a.")</x:f>
        <x:v>0</x:v>
      </x:c>
      <x:c r="N80" s="22" t="n">
        <x:f>IF(COUNT(I80:M80)=5,MIN(I80+M80,ROUND(MAX(K80,I80*L80+M80),2)),"n.a.")</x:f>
        <x:v>0</x:v>
      </x:c>
      <x:c r="O80" s="30" t="n">
        <x:f>IF(COUNT($I$77:$I$81)&lt;&gt;5,"n.a.",IF(I80=0,6,IF('Inputs'!$D$5=1,COUNTIFS($I$77:$I$81,"&gt;0",$I$77:$I$81,"&lt;"&amp;I80)+COUNTIFS($I$77:I80,I80),COUNTIFS($I$77:$I$81,"&gt;0",$J$77:$J$81,"&gt;"&amp;J80)+COUNTIFS($I$77:I80,"&gt;0",$J$77:J80,J80))))</x:f>
        <x:v>6</x:v>
      </x:c>
      <x:c r="P80" s="22" t="n">
        <x:f>IF(T80="Ready",MIN(U80,MAX(0,G80-SUMIFS($U$77:$U$81,$O$77:$O$81,"&lt;"&amp;O80))),"n.a.")</x:f>
        <x:v>0</x:v>
      </x:c>
      <x:c r="Q80" s="22" t="n">
        <x:f>IF(T80="Ready",ROUND(N80+P80,2),"n.a.")</x:f>
        <x:v>0</x:v>
      </x:c>
      <x:c r="R80" s="22" t="n">
        <x:f>IF(T80="Ready",ROUND(Q80-M80,2),"n.a.")</x:f>
        <x:v>0</x:v>
      </x:c>
      <x:c r="S80" s="22" t="n">
        <x:f>IF(T80="Ready",MAX(0,ROUND(I80+M80-Q80,2)),"n.a.")</x:f>
        <x:v>0</x:v>
      </x:c>
      <x:c r="T80" s="22" t="str">
        <x:f>IF(AND(COUNT($I$77:$I$81)=5,COUNT(E80:F80)=2),IF(E80&gt;=F80,"Ready","Budget below minima"),"Check inputs")</x:f>
        <x:v>Ready</x:v>
      </x:c>
      <x:c r="U80" s="22" t="n">
        <x:f>IF(COUNT(I80,M80,N80)=3,MAX(0,ROUND(I80+M80-N80,2)),"n.a.")</x:f>
        <x:v>0</x:v>
      </x:c>
    </x:row>
    <x:row r="81" ht="22" customHeight="1">
      <x:c r="A81" s="2"/>
      <x:c r="B81" s="2"/>
      <x:c r="C81" s="27" t="n">
        <x:f>15</x:f>
        <x:v>15</x:v>
      </x:c>
      <x:c r="D81" s="28" t="n">
        <x:f>IF(ISNUMBER('Inputs'!$D$7),EDATE('Inputs'!$D$7,14),"n.a.")</x:f>
        <x:v>46753</x:v>
      </x:c>
      <x:c r="E81" s="26" t="n">
        <x:f>IF('Inputs'!$D$9&lt;&gt;"Ready","n.a.",IF(ISNUMBER('Inputs'!E33),IF('Inputs'!E33&gt;=0,'Inputs'!E33,"n.a."),IF('Inputs'!E33="",'Inputs'!$D$6,"n.a.")))</x:f>
        <x:v>500</x:v>
      </x:c>
      <x:c r="F81" s="22" t="n">
        <x:f>IF(COUNT($N$77:$N$81)=5,SUM($N$77:$N$81),"n.a.")</x:f>
        <x:v>150</x:v>
      </x:c>
      <x:c r="G81" s="22" t="n">
        <x:f>IF(COUNT(E81:F81)=2,MAX(0,E81-F81),"n.a.")</x:f>
        <x:v>350</x:v>
      </x:c>
      <x:c r="H81" s="26" t="str">
        <x:f>'Inputs'!C15</x:f>
        <x:v>Unused 5</x:v>
      </x:c>
      <x:c r="I81" s="26" t="n">
        <x:f>S76</x:f>
        <x:v>0</x:v>
      </x:c>
      <x:c r="J81" s="29" t="n">
        <x:f>IF('Inputs'!$D$9="Ready",'Inputs'!E15,"n.a.")</x:f>
        <x:v>0</x:v>
      </x:c>
      <x:c r="K81" s="26" t="n">
        <x:f>IF('Inputs'!$D$9="Ready",'Inputs'!F15,"n.a.")</x:f>
        <x:v>0</x:v>
      </x:c>
      <x:c r="L81" s="29" t="n">
        <x:f>IF('Inputs'!$D$9="Ready",'Inputs'!G15,"n.a.")</x:f>
        <x:v>0</x:v>
      </x:c>
      <x:c r="M81" s="22" t="n">
        <x:f>IF(COUNT(I81:L81)=4,ROUND(I81*J81/12,2),"n.a.")</x:f>
        <x:v>0</x:v>
      </x:c>
      <x:c r="N81" s="22" t="n">
        <x:f>IF(COUNT(I81:M81)=5,MIN(I81+M81,ROUND(MAX(K81,I81*L81+M81),2)),"n.a.")</x:f>
        <x:v>0</x:v>
      </x:c>
      <x:c r="O81" s="30" t="n">
        <x:f>IF(COUNT($I$77:$I$81)&lt;&gt;5,"n.a.",IF(I81=0,6,IF('Inputs'!$D$5=1,COUNTIFS($I$77:$I$81,"&gt;0",$I$77:$I$81,"&lt;"&amp;I81)+COUNTIFS($I$77:I81,I81),COUNTIFS($I$77:$I$81,"&gt;0",$J$77:$J$81,"&gt;"&amp;J81)+COUNTIFS($I$77:I81,"&gt;0",$J$77:J81,J81))))</x:f>
        <x:v>6</x:v>
      </x:c>
      <x:c r="P81" s="22" t="n">
        <x:f>IF(T81="Ready",MIN(U81,MAX(0,G81-SUMIFS($U$77:$U$81,$O$77:$O$81,"&lt;"&amp;O81))),"n.a.")</x:f>
        <x:v>0</x:v>
      </x:c>
      <x:c r="Q81" s="22" t="n">
        <x:f>IF(T81="Ready",ROUND(N81+P81,2),"n.a.")</x:f>
        <x:v>0</x:v>
      </x:c>
      <x:c r="R81" s="22" t="n">
        <x:f>IF(T81="Ready",ROUND(Q81-M81,2),"n.a.")</x:f>
        <x:v>0</x:v>
      </x:c>
      <x:c r="S81" s="22" t="n">
        <x:f>IF(T81="Ready",MAX(0,ROUND(I81+M81-Q81,2)),"n.a.")</x:f>
        <x:v>0</x:v>
      </x:c>
      <x:c r="T81" s="22" t="str">
        <x:f>IF(AND(COUNT($I$77:$I$81)=5,COUNT(E81:F81)=2),IF(E81&gt;=F81,"Ready","Budget below minima"),"Check inputs")</x:f>
        <x:v>Ready</x:v>
      </x:c>
      <x:c r="U81" s="22" t="n">
        <x:f>IF(COUNT(I81,M81,N81)=3,MAX(0,ROUND(I81+M81-N81,2)),"n.a.")</x:f>
        <x:v>0</x:v>
      </x:c>
    </x:row>
    <x:row r="82" ht="22" customHeight="1">
      <x:c r="A82" s="2"/>
      <x:c r="B82" s="2"/>
      <x:c r="C82" s="27" t="n">
        <x:f>16</x:f>
        <x:v>16</x:v>
      </x:c>
      <x:c r="D82" s="28" t="n">
        <x:f>IF(ISNUMBER('Inputs'!$D$7),EDATE('Inputs'!$D$7,15),"n.a.")</x:f>
        <x:v>46784</x:v>
      </x:c>
      <x:c r="E82" s="26" t="n">
        <x:f>IF('Inputs'!$D$9&lt;&gt;"Ready","n.a.",IF(ISNUMBER('Inputs'!E34),IF('Inputs'!E34&gt;=0,'Inputs'!E34,"n.a."),IF('Inputs'!E34="",'Inputs'!$D$6,"n.a.")))</x:f>
        <x:v>500</x:v>
      </x:c>
      <x:c r="F82" s="22" t="n">
        <x:f>IF(COUNT($N$82:$N$86)=5,SUM($N$82:$N$86),"n.a.")</x:f>
        <x:v>150</x:v>
      </x:c>
      <x:c r="G82" s="22" t="n">
        <x:f>IF(COUNT(E82:F82)=2,MAX(0,E82-F82),"n.a.")</x:f>
        <x:v>350</x:v>
      </x:c>
      <x:c r="H82" s="26" t="str">
        <x:f>'Inputs'!C11</x:f>
        <x:v>Card A</x:v>
      </x:c>
      <x:c r="I82" s="26" t="n">
        <x:f>S77</x:f>
        <x:v>0</x:v>
      </x:c>
      <x:c r="J82" s="29" t="n">
        <x:f>IF('Inputs'!$D$9="Ready",'Inputs'!E11,"n.a.")</x:f>
        <x:v>0.24</x:v>
      </x:c>
      <x:c r="K82" s="26" t="n">
        <x:f>IF('Inputs'!$D$9="Ready",'Inputs'!F11,"n.a.")</x:f>
        <x:v>35</x:v>
      </x:c>
      <x:c r="L82" s="29" t="n">
        <x:f>IF('Inputs'!$D$9="Ready",'Inputs'!G11,"n.a.")</x:f>
        <x:v>0.02</x:v>
      </x:c>
      <x:c r="M82" s="22" t="n">
        <x:f>IF(COUNT(I82:L82)=4,ROUND(I82*J82/12,2),"n.a.")</x:f>
        <x:v>0</x:v>
      </x:c>
      <x:c r="N82" s="22" t="n">
        <x:f>IF(COUNT(I82:M82)=5,MIN(I82+M82,ROUND(MAX(K82,I82*L82+M82),2)),"n.a.")</x:f>
        <x:v>0</x:v>
      </x:c>
      <x:c r="O82" s="30" t="n">
        <x:f>IF(COUNT($I$82:$I$86)&lt;&gt;5,"n.a.",IF(I82=0,6,IF('Inputs'!$D$5=1,COUNTIFS($I$82:$I$86,"&gt;0",$I$82:$I$86,"&lt;"&amp;I82)+COUNTIFS($I$82:I82,I82),COUNTIFS($I$82:$I$86,"&gt;0",$J$82:$J$86,"&gt;"&amp;J82)+COUNTIFS($I$82:I82,"&gt;0",$J$82:J82,J82))))</x:f>
        <x:v>6</x:v>
      </x:c>
      <x:c r="P82" s="22" t="n">
        <x:f>IF(T82="Ready",MIN(U82,MAX(0,G82-SUMIFS($U$82:$U$86,$O$82:$O$86,"&lt;"&amp;O82))),"n.a.")</x:f>
        <x:v>0</x:v>
      </x:c>
      <x:c r="Q82" s="22" t="n">
        <x:f>IF(T82="Ready",ROUND(N82+P82,2),"n.a.")</x:f>
        <x:v>0</x:v>
      </x:c>
      <x:c r="R82" s="22" t="n">
        <x:f>IF(T82="Ready",ROUND(Q82-M82,2),"n.a.")</x:f>
        <x:v>0</x:v>
      </x:c>
      <x:c r="S82" s="22" t="n">
        <x:f>IF(T82="Ready",MAX(0,ROUND(I82+M82-Q82,2)),"n.a.")</x:f>
        <x:v>0</x:v>
      </x:c>
      <x:c r="T82" s="22" t="str">
        <x:f>IF(AND(COUNT($I$82:$I$86)=5,COUNT(E82:F82)=2),IF(E82&gt;=F82,"Ready","Budget below minima"),"Check inputs")</x:f>
        <x:v>Ready</x:v>
      </x:c>
      <x:c r="U82" s="22" t="n">
        <x:f>IF(COUNT(I82,M82,N82)=3,MAX(0,ROUND(I82+M82-N82,2)),"n.a.")</x:f>
        <x:v>0</x:v>
      </x:c>
    </x:row>
    <x:row r="83" ht="22" customHeight="1">
      <x:c r="A83" s="2"/>
      <x:c r="B83" s="2"/>
      <x:c r="C83" s="27" t="n">
        <x:f>16</x:f>
        <x:v>16</x:v>
      </x:c>
      <x:c r="D83" s="28" t="n">
        <x:f>IF(ISNUMBER('Inputs'!$D$7),EDATE('Inputs'!$D$7,15),"n.a.")</x:f>
        <x:v>46784</x:v>
      </x:c>
      <x:c r="E83" s="26" t="n">
        <x:f>IF('Inputs'!$D$9&lt;&gt;"Ready","n.a.",IF(ISNUMBER('Inputs'!E34),IF('Inputs'!E34&gt;=0,'Inputs'!E34,"n.a."),IF('Inputs'!E34="",'Inputs'!$D$6,"n.a.")))</x:f>
        <x:v>500</x:v>
      </x:c>
      <x:c r="F83" s="22" t="n">
        <x:f>IF(COUNT($N$82:$N$86)=5,SUM($N$82:$N$86),"n.a.")</x:f>
        <x:v>150</x:v>
      </x:c>
      <x:c r="G83" s="22" t="n">
        <x:f>IF(COUNT(E83:F83)=2,MAX(0,E83-F83),"n.a.")</x:f>
        <x:v>350</x:v>
      </x:c>
      <x:c r="H83" s="26" t="str">
        <x:f>'Inputs'!C12</x:f>
        <x:v>Card B</x:v>
      </x:c>
      <x:c r="I83" s="26" t="n">
        <x:f>S78</x:f>
        <x:v>0</x:v>
      </x:c>
      <x:c r="J83" s="29" t="n">
        <x:f>IF('Inputs'!$D$9="Ready",'Inputs'!E12,"n.a.")</x:f>
        <x:v>0.18</x:v>
      </x:c>
      <x:c r="K83" s="26" t="n">
        <x:f>IF('Inputs'!$D$9="Ready",'Inputs'!F12,"n.a.")</x:f>
        <x:v>60</x:v>
      </x:c>
      <x:c r="L83" s="29" t="n">
        <x:f>IF('Inputs'!$D$9="Ready",'Inputs'!G12,"n.a.")</x:f>
        <x:v>0.02</x:v>
      </x:c>
      <x:c r="M83" s="22" t="n">
        <x:f>IF(COUNT(I83:L83)=4,ROUND(I83*J83/12,2),"n.a.")</x:f>
        <x:v>0</x:v>
      </x:c>
      <x:c r="N83" s="22" t="n">
        <x:f>IF(COUNT(I83:M83)=5,MIN(I83+M83,ROUND(MAX(K83,I83*L83+M83),2)),"n.a.")</x:f>
        <x:v>0</x:v>
      </x:c>
      <x:c r="O83" s="30" t="n">
        <x:f>IF(COUNT($I$82:$I$86)&lt;&gt;5,"n.a.",IF(I83=0,6,IF('Inputs'!$D$5=1,COUNTIFS($I$82:$I$86,"&gt;0",$I$82:$I$86,"&lt;"&amp;I83)+COUNTIFS($I$82:I83,I83),COUNTIFS($I$82:$I$86,"&gt;0",$J$82:$J$86,"&gt;"&amp;J83)+COUNTIFS($I$82:I83,"&gt;0",$J$82:J83,J83))))</x:f>
        <x:v>6</x:v>
      </x:c>
      <x:c r="P83" s="22" t="n">
        <x:f>IF(T83="Ready",MIN(U83,MAX(0,G83-SUMIFS($U$82:$U$86,$O$82:$O$86,"&lt;"&amp;O83))),"n.a.")</x:f>
        <x:v>0</x:v>
      </x:c>
      <x:c r="Q83" s="22" t="n">
        <x:f>IF(T83="Ready",ROUND(N83+P83,2),"n.a.")</x:f>
        <x:v>0</x:v>
      </x:c>
      <x:c r="R83" s="22" t="n">
        <x:f>IF(T83="Ready",ROUND(Q83-M83,2),"n.a.")</x:f>
        <x:v>0</x:v>
      </x:c>
      <x:c r="S83" s="22" t="n">
        <x:f>IF(T83="Ready",MAX(0,ROUND(I83+M83-Q83,2)),"n.a.")</x:f>
        <x:v>0</x:v>
      </x:c>
      <x:c r="T83" s="22" t="str">
        <x:f>IF(AND(COUNT($I$82:$I$86)=5,COUNT(E83:F83)=2),IF(E83&gt;=F83,"Ready","Budget below minima"),"Check inputs")</x:f>
        <x:v>Ready</x:v>
      </x:c>
      <x:c r="U83" s="22" t="n">
        <x:f>IF(COUNT(I83,M83,N83)=3,MAX(0,ROUND(I83+M83-N83,2)),"n.a.")</x:f>
        <x:v>0</x:v>
      </x:c>
    </x:row>
    <x:row r="84" ht="22" customHeight="1">
      <x:c r="A84" s="2"/>
      <x:c r="B84" s="2"/>
      <x:c r="C84" s="27" t="n">
        <x:f>16</x:f>
        <x:v>16</x:v>
      </x:c>
      <x:c r="D84" s="28" t="n">
        <x:f>IF(ISNUMBER('Inputs'!$D$7),EDATE('Inputs'!$D$7,15),"n.a.")</x:f>
        <x:v>46784</x:v>
      </x:c>
      <x:c r="E84" s="26" t="n">
        <x:f>IF('Inputs'!$D$9&lt;&gt;"Ready","n.a.",IF(ISNUMBER('Inputs'!E34),IF('Inputs'!E34&gt;=0,'Inputs'!E34,"n.a."),IF('Inputs'!E34="",'Inputs'!$D$6,"n.a.")))</x:f>
        <x:v>500</x:v>
      </x:c>
      <x:c r="F84" s="22" t="n">
        <x:f>IF(COUNT($N$82:$N$86)=5,SUM($N$82:$N$86),"n.a.")</x:f>
        <x:v>150</x:v>
      </x:c>
      <x:c r="G84" s="22" t="n">
        <x:f>IF(COUNT(E84:F84)=2,MAX(0,E84-F84),"n.a.")</x:f>
        <x:v>350</x:v>
      </x:c>
      <x:c r="H84" s="26" t="str">
        <x:f>'Inputs'!C13</x:f>
        <x:v>Loan C</x:v>
      </x:c>
      <x:c r="I84" s="26" t="n">
        <x:f>S79</x:f>
        <x:v>2602.57</x:v>
      </x:c>
      <x:c r="J84" s="29" t="n">
        <x:f>IF('Inputs'!$D$9="Ready",'Inputs'!E13,"n.a.")</x:f>
        <x:v>0.08</x:v>
      </x:c>
      <x:c r="K84" s="26" t="n">
        <x:f>IF('Inputs'!$D$9="Ready",'Inputs'!F13,"n.a.")</x:f>
        <x:v>150</x:v>
      </x:c>
      <x:c r="L84" s="29" t="n">
        <x:f>IF('Inputs'!$D$9="Ready",'Inputs'!G13,"n.a.")</x:f>
        <x:v>0</x:v>
      </x:c>
      <x:c r="M84" s="22" t="n">
        <x:f>IF(COUNT(I84:L84)=4,ROUND(I84*J84/12,2),"n.a.")</x:f>
        <x:v>17.35</x:v>
      </x:c>
      <x:c r="N84" s="22" t="n">
        <x:f>IF(COUNT(I84:M84)=5,MIN(I84+M84,ROUND(MAX(K84,I84*L84+M84),2)),"n.a.")</x:f>
        <x:v>150</x:v>
      </x:c>
      <x:c r="O84" s="30" t="n">
        <x:f>IF(COUNT($I$82:$I$86)&lt;&gt;5,"n.a.",IF(I84=0,6,IF('Inputs'!$D$5=1,COUNTIFS($I$82:$I$86,"&gt;0",$I$82:$I$86,"&lt;"&amp;I84)+COUNTIFS($I$82:I84,I84),COUNTIFS($I$82:$I$86,"&gt;0",$J$82:$J$86,"&gt;"&amp;J84)+COUNTIFS($I$82:I84,"&gt;0",$J$82:J84,J84))))</x:f>
        <x:v>1</x:v>
      </x:c>
      <x:c r="P84" s="22" t="n">
        <x:f>IF(T84="Ready",MIN(U84,MAX(0,G84-SUMIFS($U$82:$U$86,$O$82:$O$86,"&lt;"&amp;O84))),"n.a.")</x:f>
        <x:v>350</x:v>
      </x:c>
      <x:c r="Q84" s="22" t="n">
        <x:f>IF(T84="Ready",ROUND(N84+P84,2),"n.a.")</x:f>
        <x:v>500</x:v>
      </x:c>
      <x:c r="R84" s="22" t="n">
        <x:f>IF(T84="Ready",ROUND(Q84-M84,2),"n.a.")</x:f>
        <x:v>482.65</x:v>
      </x:c>
      <x:c r="S84" s="22" t="n">
        <x:f>IF(T84="Ready",MAX(0,ROUND(I84+M84-Q84,2)),"n.a.")</x:f>
        <x:v>2119.92</x:v>
      </x:c>
      <x:c r="T84" s="22" t="str">
        <x:f>IF(AND(COUNT($I$82:$I$86)=5,COUNT(E84:F84)=2),IF(E84&gt;=F84,"Ready","Budget below minima"),"Check inputs")</x:f>
        <x:v>Ready</x:v>
      </x:c>
      <x:c r="U84" s="22" t="n">
        <x:f>IF(COUNT(I84,M84,N84)=3,MAX(0,ROUND(I84+M84-N84,2)),"n.a.")</x:f>
        <x:v>2469.92</x:v>
      </x:c>
    </x:row>
    <x:row r="85" ht="22" customHeight="1">
      <x:c r="A85" s="2"/>
      <x:c r="B85" s="2"/>
      <x:c r="C85" s="27" t="n">
        <x:f>16</x:f>
        <x:v>16</x:v>
      </x:c>
      <x:c r="D85" s="28" t="n">
        <x:f>IF(ISNUMBER('Inputs'!$D$7),EDATE('Inputs'!$D$7,15),"n.a.")</x:f>
        <x:v>46784</x:v>
      </x:c>
      <x:c r="E85" s="26" t="n">
        <x:f>IF('Inputs'!$D$9&lt;&gt;"Ready","n.a.",IF(ISNUMBER('Inputs'!E34),IF('Inputs'!E34&gt;=0,'Inputs'!E34,"n.a."),IF('Inputs'!E34="",'Inputs'!$D$6,"n.a.")))</x:f>
        <x:v>500</x:v>
      </x:c>
      <x:c r="F85" s="22" t="n">
        <x:f>IF(COUNT($N$82:$N$86)=5,SUM($N$82:$N$86),"n.a.")</x:f>
        <x:v>150</x:v>
      </x:c>
      <x:c r="G85" s="22" t="n">
        <x:f>IF(COUNT(E85:F85)=2,MAX(0,E85-F85),"n.a.")</x:f>
        <x:v>350</x:v>
      </x:c>
      <x:c r="H85" s="26" t="str">
        <x:f>'Inputs'!C14</x:f>
        <x:v>Unused 4</x:v>
      </x:c>
      <x:c r="I85" s="26" t="n">
        <x:f>S80</x:f>
        <x:v>0</x:v>
      </x:c>
      <x:c r="J85" s="29" t="n">
        <x:f>IF('Inputs'!$D$9="Ready",'Inputs'!E14,"n.a.")</x:f>
        <x:v>0</x:v>
      </x:c>
      <x:c r="K85" s="26" t="n">
        <x:f>IF('Inputs'!$D$9="Ready",'Inputs'!F14,"n.a.")</x:f>
        <x:v>0</x:v>
      </x:c>
      <x:c r="L85" s="29" t="n">
        <x:f>IF('Inputs'!$D$9="Ready",'Inputs'!G14,"n.a.")</x:f>
        <x:v>0</x:v>
      </x:c>
      <x:c r="M85" s="22" t="n">
        <x:f>IF(COUNT(I85:L85)=4,ROUND(I85*J85/12,2),"n.a.")</x:f>
        <x:v>0</x:v>
      </x:c>
      <x:c r="N85" s="22" t="n">
        <x:f>IF(COUNT(I85:M85)=5,MIN(I85+M85,ROUND(MAX(K85,I85*L85+M85),2)),"n.a.")</x:f>
        <x:v>0</x:v>
      </x:c>
      <x:c r="O85" s="30" t="n">
        <x:f>IF(COUNT($I$82:$I$86)&lt;&gt;5,"n.a.",IF(I85=0,6,IF('Inputs'!$D$5=1,COUNTIFS($I$82:$I$86,"&gt;0",$I$82:$I$86,"&lt;"&amp;I85)+COUNTIFS($I$82:I85,I85),COUNTIFS($I$82:$I$86,"&gt;0",$J$82:$J$86,"&gt;"&amp;J85)+COUNTIFS($I$82:I85,"&gt;0",$J$82:J85,J85))))</x:f>
        <x:v>6</x:v>
      </x:c>
      <x:c r="P85" s="22" t="n">
        <x:f>IF(T85="Ready",MIN(U85,MAX(0,G85-SUMIFS($U$82:$U$86,$O$82:$O$86,"&lt;"&amp;O85))),"n.a.")</x:f>
        <x:v>0</x:v>
      </x:c>
      <x:c r="Q85" s="22" t="n">
        <x:f>IF(T85="Ready",ROUND(N85+P85,2),"n.a.")</x:f>
        <x:v>0</x:v>
      </x:c>
      <x:c r="R85" s="22" t="n">
        <x:f>IF(T85="Ready",ROUND(Q85-M85,2),"n.a.")</x:f>
        <x:v>0</x:v>
      </x:c>
      <x:c r="S85" s="22" t="n">
        <x:f>IF(T85="Ready",MAX(0,ROUND(I85+M85-Q85,2)),"n.a.")</x:f>
        <x:v>0</x:v>
      </x:c>
      <x:c r="T85" s="22" t="str">
        <x:f>IF(AND(COUNT($I$82:$I$86)=5,COUNT(E85:F85)=2),IF(E85&gt;=F85,"Ready","Budget below minima"),"Check inputs")</x:f>
        <x:v>Ready</x:v>
      </x:c>
      <x:c r="U85" s="22" t="n">
        <x:f>IF(COUNT(I85,M85,N85)=3,MAX(0,ROUND(I85+M85-N85,2)),"n.a.")</x:f>
        <x:v>0</x:v>
      </x:c>
    </x:row>
    <x:row r="86" ht="22" customHeight="1">
      <x:c r="A86" s="2"/>
      <x:c r="B86" s="2"/>
      <x:c r="C86" s="27" t="n">
        <x:f>16</x:f>
        <x:v>16</x:v>
      </x:c>
      <x:c r="D86" s="28" t="n">
        <x:f>IF(ISNUMBER('Inputs'!$D$7),EDATE('Inputs'!$D$7,15),"n.a.")</x:f>
        <x:v>46784</x:v>
      </x:c>
      <x:c r="E86" s="26" t="n">
        <x:f>IF('Inputs'!$D$9&lt;&gt;"Ready","n.a.",IF(ISNUMBER('Inputs'!E34),IF('Inputs'!E34&gt;=0,'Inputs'!E34,"n.a."),IF('Inputs'!E34="",'Inputs'!$D$6,"n.a.")))</x:f>
        <x:v>500</x:v>
      </x:c>
      <x:c r="F86" s="22" t="n">
        <x:f>IF(COUNT($N$82:$N$86)=5,SUM($N$82:$N$86),"n.a.")</x:f>
        <x:v>150</x:v>
      </x:c>
      <x:c r="G86" s="22" t="n">
        <x:f>IF(COUNT(E86:F86)=2,MAX(0,E86-F86),"n.a.")</x:f>
        <x:v>350</x:v>
      </x:c>
      <x:c r="H86" s="26" t="str">
        <x:f>'Inputs'!C15</x:f>
        <x:v>Unused 5</x:v>
      </x:c>
      <x:c r="I86" s="26" t="n">
        <x:f>S81</x:f>
        <x:v>0</x:v>
      </x:c>
      <x:c r="J86" s="29" t="n">
        <x:f>IF('Inputs'!$D$9="Ready",'Inputs'!E15,"n.a.")</x:f>
        <x:v>0</x:v>
      </x:c>
      <x:c r="K86" s="26" t="n">
        <x:f>IF('Inputs'!$D$9="Ready",'Inputs'!F15,"n.a.")</x:f>
        <x:v>0</x:v>
      </x:c>
      <x:c r="L86" s="29" t="n">
        <x:f>IF('Inputs'!$D$9="Ready",'Inputs'!G15,"n.a.")</x:f>
        <x:v>0</x:v>
      </x:c>
      <x:c r="M86" s="22" t="n">
        <x:f>IF(COUNT(I86:L86)=4,ROUND(I86*J86/12,2),"n.a.")</x:f>
        <x:v>0</x:v>
      </x:c>
      <x:c r="N86" s="22" t="n">
        <x:f>IF(COUNT(I86:M86)=5,MIN(I86+M86,ROUND(MAX(K86,I86*L86+M86),2)),"n.a.")</x:f>
        <x:v>0</x:v>
      </x:c>
      <x:c r="O86" s="30" t="n">
        <x:f>IF(COUNT($I$82:$I$86)&lt;&gt;5,"n.a.",IF(I86=0,6,IF('Inputs'!$D$5=1,COUNTIFS($I$82:$I$86,"&gt;0",$I$82:$I$86,"&lt;"&amp;I86)+COUNTIFS($I$82:I86,I86),COUNTIFS($I$82:$I$86,"&gt;0",$J$82:$J$86,"&gt;"&amp;J86)+COUNTIFS($I$82:I86,"&gt;0",$J$82:J86,J86))))</x:f>
        <x:v>6</x:v>
      </x:c>
      <x:c r="P86" s="22" t="n">
        <x:f>IF(T86="Ready",MIN(U86,MAX(0,G86-SUMIFS($U$82:$U$86,$O$82:$O$86,"&lt;"&amp;O86))),"n.a.")</x:f>
        <x:v>0</x:v>
      </x:c>
      <x:c r="Q86" s="22" t="n">
        <x:f>IF(T86="Ready",ROUND(N86+P86,2),"n.a.")</x:f>
        <x:v>0</x:v>
      </x:c>
      <x:c r="R86" s="22" t="n">
        <x:f>IF(T86="Ready",ROUND(Q86-M86,2),"n.a.")</x:f>
        <x:v>0</x:v>
      </x:c>
      <x:c r="S86" s="22" t="n">
        <x:f>IF(T86="Ready",MAX(0,ROUND(I86+M86-Q86,2)),"n.a.")</x:f>
        <x:v>0</x:v>
      </x:c>
      <x:c r="T86" s="22" t="str">
        <x:f>IF(AND(COUNT($I$82:$I$86)=5,COUNT(E86:F86)=2),IF(E86&gt;=F86,"Ready","Budget below minima"),"Check inputs")</x:f>
        <x:v>Ready</x:v>
      </x:c>
      <x:c r="U86" s="22" t="n">
        <x:f>IF(COUNT(I86,M86,N86)=3,MAX(0,ROUND(I86+M86-N86,2)),"n.a.")</x:f>
        <x:v>0</x:v>
      </x:c>
    </x:row>
    <x:row r="87" ht="22" customHeight="1">
      <x:c r="A87" s="2"/>
      <x:c r="B87" s="2"/>
      <x:c r="C87" s="27" t="n">
        <x:f>17</x:f>
        <x:v>17</x:v>
      </x:c>
      <x:c r="D87" s="28" t="n">
        <x:f>IF(ISNUMBER('Inputs'!$D$7),EDATE('Inputs'!$D$7,16),"n.a.")</x:f>
        <x:v>46813</x:v>
      </x:c>
      <x:c r="E87" s="26" t="n">
        <x:f>IF('Inputs'!$D$9&lt;&gt;"Ready","n.a.",IF(ISNUMBER('Inputs'!E35),IF('Inputs'!E35&gt;=0,'Inputs'!E35,"n.a."),IF('Inputs'!E35="",'Inputs'!$D$6,"n.a.")))</x:f>
        <x:v>500</x:v>
      </x:c>
      <x:c r="F87" s="22" t="n">
        <x:f>IF(COUNT($N$87:$N$91)=5,SUM($N$87:$N$91),"n.a.")</x:f>
        <x:v>150</x:v>
      </x:c>
      <x:c r="G87" s="22" t="n">
        <x:f>IF(COUNT(E87:F87)=2,MAX(0,E87-F87),"n.a.")</x:f>
        <x:v>350</x:v>
      </x:c>
      <x:c r="H87" s="26" t="str">
        <x:f>'Inputs'!C11</x:f>
        <x:v>Card A</x:v>
      </x:c>
      <x:c r="I87" s="26" t="n">
        <x:f>S82</x:f>
        <x:v>0</x:v>
      </x:c>
      <x:c r="J87" s="29" t="n">
        <x:f>IF('Inputs'!$D$9="Ready",'Inputs'!E11,"n.a.")</x:f>
        <x:v>0.24</x:v>
      </x:c>
      <x:c r="K87" s="26" t="n">
        <x:f>IF('Inputs'!$D$9="Ready",'Inputs'!F11,"n.a.")</x:f>
        <x:v>35</x:v>
      </x:c>
      <x:c r="L87" s="29" t="n">
        <x:f>IF('Inputs'!$D$9="Ready",'Inputs'!G11,"n.a.")</x:f>
        <x:v>0.02</x:v>
      </x:c>
      <x:c r="M87" s="22" t="n">
        <x:f>IF(COUNT(I87:L87)=4,ROUND(I87*J87/12,2),"n.a.")</x:f>
        <x:v>0</x:v>
      </x:c>
      <x:c r="N87" s="22" t="n">
        <x:f>IF(COUNT(I87:M87)=5,MIN(I87+M87,ROUND(MAX(K87,I87*L87+M87),2)),"n.a.")</x:f>
        <x:v>0</x:v>
      </x:c>
      <x:c r="O87" s="30" t="n">
        <x:f>IF(COUNT($I$87:$I$91)&lt;&gt;5,"n.a.",IF(I87=0,6,IF('Inputs'!$D$5=1,COUNTIFS($I$87:$I$91,"&gt;0",$I$87:$I$91,"&lt;"&amp;I87)+COUNTIFS($I$87:I87,I87),COUNTIFS($I$87:$I$91,"&gt;0",$J$87:$J$91,"&gt;"&amp;J87)+COUNTIFS($I$87:I87,"&gt;0",$J$87:J87,J87))))</x:f>
        <x:v>6</x:v>
      </x:c>
      <x:c r="P87" s="22" t="n">
        <x:f>IF(T87="Ready",MIN(U87,MAX(0,G87-SUMIFS($U$87:$U$91,$O$87:$O$91,"&lt;"&amp;O87))),"n.a.")</x:f>
        <x:v>0</x:v>
      </x:c>
      <x:c r="Q87" s="22" t="n">
        <x:f>IF(T87="Ready",ROUND(N87+P87,2),"n.a.")</x:f>
        <x:v>0</x:v>
      </x:c>
      <x:c r="R87" s="22" t="n">
        <x:f>IF(T87="Ready",ROUND(Q87-M87,2),"n.a.")</x:f>
        <x:v>0</x:v>
      </x:c>
      <x:c r="S87" s="22" t="n">
        <x:f>IF(T87="Ready",MAX(0,ROUND(I87+M87-Q87,2)),"n.a.")</x:f>
        <x:v>0</x:v>
      </x:c>
      <x:c r="T87" s="22" t="str">
        <x:f>IF(AND(COUNT($I$87:$I$91)=5,COUNT(E87:F87)=2),IF(E87&gt;=F87,"Ready","Budget below minima"),"Check inputs")</x:f>
        <x:v>Ready</x:v>
      </x:c>
      <x:c r="U87" s="22" t="n">
        <x:f>IF(COUNT(I87,M87,N87)=3,MAX(0,ROUND(I87+M87-N87,2)),"n.a.")</x:f>
        <x:v>0</x:v>
      </x:c>
    </x:row>
    <x:row r="88" ht="22" customHeight="1">
      <x:c r="A88" s="2"/>
      <x:c r="B88" s="2"/>
      <x:c r="C88" s="27" t="n">
        <x:f>17</x:f>
        <x:v>17</x:v>
      </x:c>
      <x:c r="D88" s="28" t="n">
        <x:f>IF(ISNUMBER('Inputs'!$D$7),EDATE('Inputs'!$D$7,16),"n.a.")</x:f>
        <x:v>46813</x:v>
      </x:c>
      <x:c r="E88" s="26" t="n">
        <x:f>IF('Inputs'!$D$9&lt;&gt;"Ready","n.a.",IF(ISNUMBER('Inputs'!E35),IF('Inputs'!E35&gt;=0,'Inputs'!E35,"n.a."),IF('Inputs'!E35="",'Inputs'!$D$6,"n.a.")))</x:f>
        <x:v>500</x:v>
      </x:c>
      <x:c r="F88" s="22" t="n">
        <x:f>IF(COUNT($N$87:$N$91)=5,SUM($N$87:$N$91),"n.a.")</x:f>
        <x:v>150</x:v>
      </x:c>
      <x:c r="G88" s="22" t="n">
        <x:f>IF(COUNT(E88:F88)=2,MAX(0,E88-F88),"n.a.")</x:f>
        <x:v>350</x:v>
      </x:c>
      <x:c r="H88" s="26" t="str">
        <x:f>'Inputs'!C12</x:f>
        <x:v>Card B</x:v>
      </x:c>
      <x:c r="I88" s="26" t="n">
        <x:f>S83</x:f>
        <x:v>0</x:v>
      </x:c>
      <x:c r="J88" s="29" t="n">
        <x:f>IF('Inputs'!$D$9="Ready",'Inputs'!E12,"n.a.")</x:f>
        <x:v>0.18</x:v>
      </x:c>
      <x:c r="K88" s="26" t="n">
        <x:f>IF('Inputs'!$D$9="Ready",'Inputs'!F12,"n.a.")</x:f>
        <x:v>60</x:v>
      </x:c>
      <x:c r="L88" s="29" t="n">
        <x:f>IF('Inputs'!$D$9="Ready",'Inputs'!G12,"n.a.")</x:f>
        <x:v>0.02</x:v>
      </x:c>
      <x:c r="M88" s="22" t="n">
        <x:f>IF(COUNT(I88:L88)=4,ROUND(I88*J88/12,2),"n.a.")</x:f>
        <x:v>0</x:v>
      </x:c>
      <x:c r="N88" s="22" t="n">
        <x:f>IF(COUNT(I88:M88)=5,MIN(I88+M88,ROUND(MAX(K88,I88*L88+M88),2)),"n.a.")</x:f>
        <x:v>0</x:v>
      </x:c>
      <x:c r="O88" s="30" t="n">
        <x:f>IF(COUNT($I$87:$I$91)&lt;&gt;5,"n.a.",IF(I88=0,6,IF('Inputs'!$D$5=1,COUNTIFS($I$87:$I$91,"&gt;0",$I$87:$I$91,"&lt;"&amp;I88)+COUNTIFS($I$87:I88,I88),COUNTIFS($I$87:$I$91,"&gt;0",$J$87:$J$91,"&gt;"&amp;J88)+COUNTIFS($I$87:I88,"&gt;0",$J$87:J88,J88))))</x:f>
        <x:v>6</x:v>
      </x:c>
      <x:c r="P88" s="22" t="n">
        <x:f>IF(T88="Ready",MIN(U88,MAX(0,G88-SUMIFS($U$87:$U$91,$O$87:$O$91,"&lt;"&amp;O88))),"n.a.")</x:f>
        <x:v>0</x:v>
      </x:c>
      <x:c r="Q88" s="22" t="n">
        <x:f>IF(T88="Ready",ROUND(N88+P88,2),"n.a.")</x:f>
        <x:v>0</x:v>
      </x:c>
      <x:c r="R88" s="22" t="n">
        <x:f>IF(T88="Ready",ROUND(Q88-M88,2),"n.a.")</x:f>
        <x:v>0</x:v>
      </x:c>
      <x:c r="S88" s="22" t="n">
        <x:f>IF(T88="Ready",MAX(0,ROUND(I88+M88-Q88,2)),"n.a.")</x:f>
        <x:v>0</x:v>
      </x:c>
      <x:c r="T88" s="22" t="str">
        <x:f>IF(AND(COUNT($I$87:$I$91)=5,COUNT(E88:F88)=2),IF(E88&gt;=F88,"Ready","Budget below minima"),"Check inputs")</x:f>
        <x:v>Ready</x:v>
      </x:c>
      <x:c r="U88" s="22" t="n">
        <x:f>IF(COUNT(I88,M88,N88)=3,MAX(0,ROUND(I88+M88-N88,2)),"n.a.")</x:f>
        <x:v>0</x:v>
      </x:c>
    </x:row>
    <x:row r="89" ht="22" customHeight="1">
      <x:c r="A89" s="2"/>
      <x:c r="B89" s="2"/>
      <x:c r="C89" s="27" t="n">
        <x:f>17</x:f>
        <x:v>17</x:v>
      </x:c>
      <x:c r="D89" s="28" t="n">
        <x:f>IF(ISNUMBER('Inputs'!$D$7),EDATE('Inputs'!$D$7,16),"n.a.")</x:f>
        <x:v>46813</x:v>
      </x:c>
      <x:c r="E89" s="26" t="n">
        <x:f>IF('Inputs'!$D$9&lt;&gt;"Ready","n.a.",IF(ISNUMBER('Inputs'!E35),IF('Inputs'!E35&gt;=0,'Inputs'!E35,"n.a."),IF('Inputs'!E35="",'Inputs'!$D$6,"n.a.")))</x:f>
        <x:v>500</x:v>
      </x:c>
      <x:c r="F89" s="22" t="n">
        <x:f>IF(COUNT($N$87:$N$91)=5,SUM($N$87:$N$91),"n.a.")</x:f>
        <x:v>150</x:v>
      </x:c>
      <x:c r="G89" s="22" t="n">
        <x:f>IF(COUNT(E89:F89)=2,MAX(0,E89-F89),"n.a.")</x:f>
        <x:v>350</x:v>
      </x:c>
      <x:c r="H89" s="26" t="str">
        <x:f>'Inputs'!C13</x:f>
        <x:v>Loan C</x:v>
      </x:c>
      <x:c r="I89" s="26" t="n">
        <x:f>S84</x:f>
        <x:v>2119.92</x:v>
      </x:c>
      <x:c r="J89" s="29" t="n">
        <x:f>IF('Inputs'!$D$9="Ready",'Inputs'!E13,"n.a.")</x:f>
        <x:v>0.08</x:v>
      </x:c>
      <x:c r="K89" s="26" t="n">
        <x:f>IF('Inputs'!$D$9="Ready",'Inputs'!F13,"n.a.")</x:f>
        <x:v>150</x:v>
      </x:c>
      <x:c r="L89" s="29" t="n">
        <x:f>IF('Inputs'!$D$9="Ready",'Inputs'!G13,"n.a.")</x:f>
        <x:v>0</x:v>
      </x:c>
      <x:c r="M89" s="22" t="n">
        <x:f>IF(COUNT(I89:L89)=4,ROUND(I89*J89/12,2),"n.a.")</x:f>
        <x:v>14.13</x:v>
      </x:c>
      <x:c r="N89" s="22" t="n">
        <x:f>IF(COUNT(I89:M89)=5,MIN(I89+M89,ROUND(MAX(K89,I89*L89+M89),2)),"n.a.")</x:f>
        <x:v>150</x:v>
      </x:c>
      <x:c r="O89" s="30" t="n">
        <x:f>IF(COUNT($I$87:$I$91)&lt;&gt;5,"n.a.",IF(I89=0,6,IF('Inputs'!$D$5=1,COUNTIFS($I$87:$I$91,"&gt;0",$I$87:$I$91,"&lt;"&amp;I89)+COUNTIFS($I$87:I89,I89),COUNTIFS($I$87:$I$91,"&gt;0",$J$87:$J$91,"&gt;"&amp;J89)+COUNTIFS($I$87:I89,"&gt;0",$J$87:J89,J89))))</x:f>
        <x:v>1</x:v>
      </x:c>
      <x:c r="P89" s="22" t="n">
        <x:f>IF(T89="Ready",MIN(U89,MAX(0,G89-SUMIFS($U$87:$U$91,$O$87:$O$91,"&lt;"&amp;O89))),"n.a.")</x:f>
        <x:v>350</x:v>
      </x:c>
      <x:c r="Q89" s="22" t="n">
        <x:f>IF(T89="Ready",ROUND(N89+P89,2),"n.a.")</x:f>
        <x:v>500</x:v>
      </x:c>
      <x:c r="R89" s="22" t="n">
        <x:f>IF(T89="Ready",ROUND(Q89-M89,2),"n.a.")</x:f>
        <x:v>485.87</x:v>
      </x:c>
      <x:c r="S89" s="22" t="n">
        <x:f>IF(T89="Ready",MAX(0,ROUND(I89+M89-Q89,2)),"n.a.")</x:f>
        <x:v>1634.05</x:v>
      </x:c>
      <x:c r="T89" s="22" t="str">
        <x:f>IF(AND(COUNT($I$87:$I$91)=5,COUNT(E89:F89)=2),IF(E89&gt;=F89,"Ready","Budget below minima"),"Check inputs")</x:f>
        <x:v>Ready</x:v>
      </x:c>
      <x:c r="U89" s="22" t="n">
        <x:f>IF(COUNT(I89,M89,N89)=3,MAX(0,ROUND(I89+M89-N89,2)),"n.a.")</x:f>
        <x:v>1984.05</x:v>
      </x:c>
    </x:row>
    <x:row r="90" ht="22" customHeight="1">
      <x:c r="A90" s="2"/>
      <x:c r="B90" s="2"/>
      <x:c r="C90" s="27" t="n">
        <x:f>17</x:f>
        <x:v>17</x:v>
      </x:c>
      <x:c r="D90" s="28" t="n">
        <x:f>IF(ISNUMBER('Inputs'!$D$7),EDATE('Inputs'!$D$7,16),"n.a.")</x:f>
        <x:v>46813</x:v>
      </x:c>
      <x:c r="E90" s="26" t="n">
        <x:f>IF('Inputs'!$D$9&lt;&gt;"Ready","n.a.",IF(ISNUMBER('Inputs'!E35),IF('Inputs'!E35&gt;=0,'Inputs'!E35,"n.a."),IF('Inputs'!E35="",'Inputs'!$D$6,"n.a.")))</x:f>
        <x:v>500</x:v>
      </x:c>
      <x:c r="F90" s="22" t="n">
        <x:f>IF(COUNT($N$87:$N$91)=5,SUM($N$87:$N$91),"n.a.")</x:f>
        <x:v>150</x:v>
      </x:c>
      <x:c r="G90" s="22" t="n">
        <x:f>IF(COUNT(E90:F90)=2,MAX(0,E90-F90),"n.a.")</x:f>
        <x:v>350</x:v>
      </x:c>
      <x:c r="H90" s="26" t="str">
        <x:f>'Inputs'!C14</x:f>
        <x:v>Unused 4</x:v>
      </x:c>
      <x:c r="I90" s="26" t="n">
        <x:f>S85</x:f>
        <x:v>0</x:v>
      </x:c>
      <x:c r="J90" s="29" t="n">
        <x:f>IF('Inputs'!$D$9="Ready",'Inputs'!E14,"n.a.")</x:f>
        <x:v>0</x:v>
      </x:c>
      <x:c r="K90" s="26" t="n">
        <x:f>IF('Inputs'!$D$9="Ready",'Inputs'!F14,"n.a.")</x:f>
        <x:v>0</x:v>
      </x:c>
      <x:c r="L90" s="29" t="n">
        <x:f>IF('Inputs'!$D$9="Ready",'Inputs'!G14,"n.a.")</x:f>
        <x:v>0</x:v>
      </x:c>
      <x:c r="M90" s="22" t="n">
        <x:f>IF(COUNT(I90:L90)=4,ROUND(I90*J90/12,2),"n.a.")</x:f>
        <x:v>0</x:v>
      </x:c>
      <x:c r="N90" s="22" t="n">
        <x:f>IF(COUNT(I90:M90)=5,MIN(I90+M90,ROUND(MAX(K90,I90*L90+M90),2)),"n.a.")</x:f>
        <x:v>0</x:v>
      </x:c>
      <x:c r="O90" s="30" t="n">
        <x:f>IF(COUNT($I$87:$I$91)&lt;&gt;5,"n.a.",IF(I90=0,6,IF('Inputs'!$D$5=1,COUNTIFS($I$87:$I$91,"&gt;0",$I$87:$I$91,"&lt;"&amp;I90)+COUNTIFS($I$87:I90,I90),COUNTIFS($I$87:$I$91,"&gt;0",$J$87:$J$91,"&gt;"&amp;J90)+COUNTIFS($I$87:I90,"&gt;0",$J$87:J90,J90))))</x:f>
        <x:v>6</x:v>
      </x:c>
      <x:c r="P90" s="22" t="n">
        <x:f>IF(T90="Ready",MIN(U90,MAX(0,G90-SUMIFS($U$87:$U$91,$O$87:$O$91,"&lt;"&amp;O90))),"n.a.")</x:f>
        <x:v>0</x:v>
      </x:c>
      <x:c r="Q90" s="22" t="n">
        <x:f>IF(T90="Ready",ROUND(N90+P90,2),"n.a.")</x:f>
        <x:v>0</x:v>
      </x:c>
      <x:c r="R90" s="22" t="n">
        <x:f>IF(T90="Ready",ROUND(Q90-M90,2),"n.a.")</x:f>
        <x:v>0</x:v>
      </x:c>
      <x:c r="S90" s="22" t="n">
        <x:f>IF(T90="Ready",MAX(0,ROUND(I90+M90-Q90,2)),"n.a.")</x:f>
        <x:v>0</x:v>
      </x:c>
      <x:c r="T90" s="22" t="str">
        <x:f>IF(AND(COUNT($I$87:$I$91)=5,COUNT(E90:F90)=2),IF(E90&gt;=F90,"Ready","Budget below minima"),"Check inputs")</x:f>
        <x:v>Ready</x:v>
      </x:c>
      <x:c r="U90" s="22" t="n">
        <x:f>IF(COUNT(I90,M90,N90)=3,MAX(0,ROUND(I90+M90-N90,2)),"n.a.")</x:f>
        <x:v>0</x:v>
      </x:c>
    </x:row>
    <x:row r="91" ht="22" customHeight="1">
      <x:c r="A91" s="2"/>
      <x:c r="B91" s="2"/>
      <x:c r="C91" s="27" t="n">
        <x:f>17</x:f>
        <x:v>17</x:v>
      </x:c>
      <x:c r="D91" s="28" t="n">
        <x:f>IF(ISNUMBER('Inputs'!$D$7),EDATE('Inputs'!$D$7,16),"n.a.")</x:f>
        <x:v>46813</x:v>
      </x:c>
      <x:c r="E91" s="26" t="n">
        <x:f>IF('Inputs'!$D$9&lt;&gt;"Ready","n.a.",IF(ISNUMBER('Inputs'!E35),IF('Inputs'!E35&gt;=0,'Inputs'!E35,"n.a."),IF('Inputs'!E35="",'Inputs'!$D$6,"n.a.")))</x:f>
        <x:v>500</x:v>
      </x:c>
      <x:c r="F91" s="22" t="n">
        <x:f>IF(COUNT($N$87:$N$91)=5,SUM($N$87:$N$91),"n.a.")</x:f>
        <x:v>150</x:v>
      </x:c>
      <x:c r="G91" s="22" t="n">
        <x:f>IF(COUNT(E91:F91)=2,MAX(0,E91-F91),"n.a.")</x:f>
        <x:v>350</x:v>
      </x:c>
      <x:c r="H91" s="26" t="str">
        <x:f>'Inputs'!C15</x:f>
        <x:v>Unused 5</x:v>
      </x:c>
      <x:c r="I91" s="26" t="n">
        <x:f>S86</x:f>
        <x:v>0</x:v>
      </x:c>
      <x:c r="J91" s="29" t="n">
        <x:f>IF('Inputs'!$D$9="Ready",'Inputs'!E15,"n.a.")</x:f>
        <x:v>0</x:v>
      </x:c>
      <x:c r="K91" s="26" t="n">
        <x:f>IF('Inputs'!$D$9="Ready",'Inputs'!F15,"n.a.")</x:f>
        <x:v>0</x:v>
      </x:c>
      <x:c r="L91" s="29" t="n">
        <x:f>IF('Inputs'!$D$9="Ready",'Inputs'!G15,"n.a.")</x:f>
        <x:v>0</x:v>
      </x:c>
      <x:c r="M91" s="22" t="n">
        <x:f>IF(COUNT(I91:L91)=4,ROUND(I91*J91/12,2),"n.a.")</x:f>
        <x:v>0</x:v>
      </x:c>
      <x:c r="N91" s="22" t="n">
        <x:f>IF(COUNT(I91:M91)=5,MIN(I91+M91,ROUND(MAX(K91,I91*L91+M91),2)),"n.a.")</x:f>
        <x:v>0</x:v>
      </x:c>
      <x:c r="O91" s="30" t="n">
        <x:f>IF(COUNT($I$87:$I$91)&lt;&gt;5,"n.a.",IF(I91=0,6,IF('Inputs'!$D$5=1,COUNTIFS($I$87:$I$91,"&gt;0",$I$87:$I$91,"&lt;"&amp;I91)+COUNTIFS($I$87:I91,I91),COUNTIFS($I$87:$I$91,"&gt;0",$J$87:$J$91,"&gt;"&amp;J91)+COUNTIFS($I$87:I91,"&gt;0",$J$87:J91,J91))))</x:f>
        <x:v>6</x:v>
      </x:c>
      <x:c r="P91" s="22" t="n">
        <x:f>IF(T91="Ready",MIN(U91,MAX(0,G91-SUMIFS($U$87:$U$91,$O$87:$O$91,"&lt;"&amp;O91))),"n.a.")</x:f>
        <x:v>0</x:v>
      </x:c>
      <x:c r="Q91" s="22" t="n">
        <x:f>IF(T91="Ready",ROUND(N91+P91,2),"n.a.")</x:f>
        <x:v>0</x:v>
      </x:c>
      <x:c r="R91" s="22" t="n">
        <x:f>IF(T91="Ready",ROUND(Q91-M91,2),"n.a.")</x:f>
        <x:v>0</x:v>
      </x:c>
      <x:c r="S91" s="22" t="n">
        <x:f>IF(T91="Ready",MAX(0,ROUND(I91+M91-Q91,2)),"n.a.")</x:f>
        <x:v>0</x:v>
      </x:c>
      <x:c r="T91" s="22" t="str">
        <x:f>IF(AND(COUNT($I$87:$I$91)=5,COUNT(E91:F91)=2),IF(E91&gt;=F91,"Ready","Budget below minima"),"Check inputs")</x:f>
        <x:v>Ready</x:v>
      </x:c>
      <x:c r="U91" s="22" t="n">
        <x:f>IF(COUNT(I91,M91,N91)=3,MAX(0,ROUND(I91+M91-N91,2)),"n.a.")</x:f>
        <x:v>0</x:v>
      </x:c>
    </x:row>
    <x:row r="92" ht="22" customHeight="1">
      <x:c r="A92" s="2"/>
      <x:c r="B92" s="2"/>
      <x:c r="C92" s="27" t="n">
        <x:f>18</x:f>
        <x:v>18</x:v>
      </x:c>
      <x:c r="D92" s="28" t="n">
        <x:f>IF(ISNUMBER('Inputs'!$D$7),EDATE('Inputs'!$D$7,17),"n.a.")</x:f>
        <x:v>46844</x:v>
      </x:c>
      <x:c r="E92" s="26" t="n">
        <x:f>IF('Inputs'!$D$9&lt;&gt;"Ready","n.a.",IF(ISNUMBER('Inputs'!E36),IF('Inputs'!E36&gt;=0,'Inputs'!E36,"n.a."),IF('Inputs'!E36="",'Inputs'!$D$6,"n.a.")))</x:f>
        <x:v>500</x:v>
      </x:c>
      <x:c r="F92" s="22" t="n">
        <x:f>IF(COUNT($N$92:$N$96)=5,SUM($N$92:$N$96),"n.a.")</x:f>
        <x:v>150</x:v>
      </x:c>
      <x:c r="G92" s="22" t="n">
        <x:f>IF(COUNT(E92:F92)=2,MAX(0,E92-F92),"n.a.")</x:f>
        <x:v>350</x:v>
      </x:c>
      <x:c r="H92" s="26" t="str">
        <x:f>'Inputs'!C11</x:f>
        <x:v>Card A</x:v>
      </x:c>
      <x:c r="I92" s="26" t="n">
        <x:f>S87</x:f>
        <x:v>0</x:v>
      </x:c>
      <x:c r="J92" s="29" t="n">
        <x:f>IF('Inputs'!$D$9="Ready",'Inputs'!E11,"n.a.")</x:f>
        <x:v>0.24</x:v>
      </x:c>
      <x:c r="K92" s="26" t="n">
        <x:f>IF('Inputs'!$D$9="Ready",'Inputs'!F11,"n.a.")</x:f>
        <x:v>35</x:v>
      </x:c>
      <x:c r="L92" s="29" t="n">
        <x:f>IF('Inputs'!$D$9="Ready",'Inputs'!G11,"n.a.")</x:f>
        <x:v>0.02</x:v>
      </x:c>
      <x:c r="M92" s="22" t="n">
        <x:f>IF(COUNT(I92:L92)=4,ROUND(I92*J92/12,2),"n.a.")</x:f>
        <x:v>0</x:v>
      </x:c>
      <x:c r="N92" s="22" t="n">
        <x:f>IF(COUNT(I92:M92)=5,MIN(I92+M92,ROUND(MAX(K92,I92*L92+M92),2)),"n.a.")</x:f>
        <x:v>0</x:v>
      </x:c>
      <x:c r="O92" s="30" t="n">
        <x:f>IF(COUNT($I$92:$I$96)&lt;&gt;5,"n.a.",IF(I92=0,6,IF('Inputs'!$D$5=1,COUNTIFS($I$92:$I$96,"&gt;0",$I$92:$I$96,"&lt;"&amp;I92)+COUNTIFS($I$92:I92,I92),COUNTIFS($I$92:$I$96,"&gt;0",$J$92:$J$96,"&gt;"&amp;J92)+COUNTIFS($I$92:I92,"&gt;0",$J$92:J92,J92))))</x:f>
        <x:v>6</x:v>
      </x:c>
      <x:c r="P92" s="22" t="n">
        <x:f>IF(T92="Ready",MIN(U92,MAX(0,G92-SUMIFS($U$92:$U$96,$O$92:$O$96,"&lt;"&amp;O92))),"n.a.")</x:f>
        <x:v>0</x:v>
      </x:c>
      <x:c r="Q92" s="22" t="n">
        <x:f>IF(T92="Ready",ROUND(N92+P92,2),"n.a.")</x:f>
        <x:v>0</x:v>
      </x:c>
      <x:c r="R92" s="22" t="n">
        <x:f>IF(T92="Ready",ROUND(Q92-M92,2),"n.a.")</x:f>
        <x:v>0</x:v>
      </x:c>
      <x:c r="S92" s="22" t="n">
        <x:f>IF(T92="Ready",MAX(0,ROUND(I92+M92-Q92,2)),"n.a.")</x:f>
        <x:v>0</x:v>
      </x:c>
      <x:c r="T92" s="22" t="str">
        <x:f>IF(AND(COUNT($I$92:$I$96)=5,COUNT(E92:F92)=2),IF(E92&gt;=F92,"Ready","Budget below minima"),"Check inputs")</x:f>
        <x:v>Ready</x:v>
      </x:c>
      <x:c r="U92" s="22" t="n">
        <x:f>IF(COUNT(I92,M92,N92)=3,MAX(0,ROUND(I92+M92-N92,2)),"n.a.")</x:f>
        <x:v>0</x:v>
      </x:c>
    </x:row>
    <x:row r="93" ht="22" customHeight="1">
      <x:c r="A93" s="2"/>
      <x:c r="B93" s="2"/>
      <x:c r="C93" s="27" t="n">
        <x:f>18</x:f>
        <x:v>18</x:v>
      </x:c>
      <x:c r="D93" s="28" t="n">
        <x:f>IF(ISNUMBER('Inputs'!$D$7),EDATE('Inputs'!$D$7,17),"n.a.")</x:f>
        <x:v>46844</x:v>
      </x:c>
      <x:c r="E93" s="26" t="n">
        <x:f>IF('Inputs'!$D$9&lt;&gt;"Ready","n.a.",IF(ISNUMBER('Inputs'!E36),IF('Inputs'!E36&gt;=0,'Inputs'!E36,"n.a."),IF('Inputs'!E36="",'Inputs'!$D$6,"n.a.")))</x:f>
        <x:v>500</x:v>
      </x:c>
      <x:c r="F93" s="22" t="n">
        <x:f>IF(COUNT($N$92:$N$96)=5,SUM($N$92:$N$96),"n.a.")</x:f>
        <x:v>150</x:v>
      </x:c>
      <x:c r="G93" s="22" t="n">
        <x:f>IF(COUNT(E93:F93)=2,MAX(0,E93-F93),"n.a.")</x:f>
        <x:v>350</x:v>
      </x:c>
      <x:c r="H93" s="26" t="str">
        <x:f>'Inputs'!C12</x:f>
        <x:v>Card B</x:v>
      </x:c>
      <x:c r="I93" s="26" t="n">
        <x:f>S88</x:f>
        <x:v>0</x:v>
      </x:c>
      <x:c r="J93" s="29" t="n">
        <x:f>IF('Inputs'!$D$9="Ready",'Inputs'!E12,"n.a.")</x:f>
        <x:v>0.18</x:v>
      </x:c>
      <x:c r="K93" s="26" t="n">
        <x:f>IF('Inputs'!$D$9="Ready",'Inputs'!F12,"n.a.")</x:f>
        <x:v>60</x:v>
      </x:c>
      <x:c r="L93" s="29" t="n">
        <x:f>IF('Inputs'!$D$9="Ready",'Inputs'!G12,"n.a.")</x:f>
        <x:v>0.02</x:v>
      </x:c>
      <x:c r="M93" s="22" t="n">
        <x:f>IF(COUNT(I93:L93)=4,ROUND(I93*J93/12,2),"n.a.")</x:f>
        <x:v>0</x:v>
      </x:c>
      <x:c r="N93" s="22" t="n">
        <x:f>IF(COUNT(I93:M93)=5,MIN(I93+M93,ROUND(MAX(K93,I93*L93+M93),2)),"n.a.")</x:f>
        <x:v>0</x:v>
      </x:c>
      <x:c r="O93" s="30" t="n">
        <x:f>IF(COUNT($I$92:$I$96)&lt;&gt;5,"n.a.",IF(I93=0,6,IF('Inputs'!$D$5=1,COUNTIFS($I$92:$I$96,"&gt;0",$I$92:$I$96,"&lt;"&amp;I93)+COUNTIFS($I$92:I93,I93),COUNTIFS($I$92:$I$96,"&gt;0",$J$92:$J$96,"&gt;"&amp;J93)+COUNTIFS($I$92:I93,"&gt;0",$J$92:J93,J93))))</x:f>
        <x:v>6</x:v>
      </x:c>
      <x:c r="P93" s="22" t="n">
        <x:f>IF(T93="Ready",MIN(U93,MAX(0,G93-SUMIFS($U$92:$U$96,$O$92:$O$96,"&lt;"&amp;O93))),"n.a.")</x:f>
        <x:v>0</x:v>
      </x:c>
      <x:c r="Q93" s="22" t="n">
        <x:f>IF(T93="Ready",ROUND(N93+P93,2),"n.a.")</x:f>
        <x:v>0</x:v>
      </x:c>
      <x:c r="R93" s="22" t="n">
        <x:f>IF(T93="Ready",ROUND(Q93-M93,2),"n.a.")</x:f>
        <x:v>0</x:v>
      </x:c>
      <x:c r="S93" s="22" t="n">
        <x:f>IF(T93="Ready",MAX(0,ROUND(I93+M93-Q93,2)),"n.a.")</x:f>
        <x:v>0</x:v>
      </x:c>
      <x:c r="T93" s="22" t="str">
        <x:f>IF(AND(COUNT($I$92:$I$96)=5,COUNT(E93:F93)=2),IF(E93&gt;=F93,"Ready","Budget below minima"),"Check inputs")</x:f>
        <x:v>Ready</x:v>
      </x:c>
      <x:c r="U93" s="22" t="n">
        <x:f>IF(COUNT(I93,M93,N93)=3,MAX(0,ROUND(I93+M93-N93,2)),"n.a.")</x:f>
        <x:v>0</x:v>
      </x:c>
    </x:row>
    <x:row r="94" ht="22" customHeight="1">
      <x:c r="A94" s="2"/>
      <x:c r="B94" s="2"/>
      <x:c r="C94" s="27" t="n">
        <x:f>18</x:f>
        <x:v>18</x:v>
      </x:c>
      <x:c r="D94" s="28" t="n">
        <x:f>IF(ISNUMBER('Inputs'!$D$7),EDATE('Inputs'!$D$7,17),"n.a.")</x:f>
        <x:v>46844</x:v>
      </x:c>
      <x:c r="E94" s="26" t="n">
        <x:f>IF('Inputs'!$D$9&lt;&gt;"Ready","n.a.",IF(ISNUMBER('Inputs'!E36),IF('Inputs'!E36&gt;=0,'Inputs'!E36,"n.a."),IF('Inputs'!E36="",'Inputs'!$D$6,"n.a.")))</x:f>
        <x:v>500</x:v>
      </x:c>
      <x:c r="F94" s="22" t="n">
        <x:f>IF(COUNT($N$92:$N$96)=5,SUM($N$92:$N$96),"n.a.")</x:f>
        <x:v>150</x:v>
      </x:c>
      <x:c r="G94" s="22" t="n">
        <x:f>IF(COUNT(E94:F94)=2,MAX(0,E94-F94),"n.a.")</x:f>
        <x:v>350</x:v>
      </x:c>
      <x:c r="H94" s="26" t="str">
        <x:f>'Inputs'!C13</x:f>
        <x:v>Loan C</x:v>
      </x:c>
      <x:c r="I94" s="26" t="n">
        <x:f>S89</x:f>
        <x:v>1634.05</x:v>
      </x:c>
      <x:c r="J94" s="29" t="n">
        <x:f>IF('Inputs'!$D$9="Ready",'Inputs'!E13,"n.a.")</x:f>
        <x:v>0.08</x:v>
      </x:c>
      <x:c r="K94" s="26" t="n">
        <x:f>IF('Inputs'!$D$9="Ready",'Inputs'!F13,"n.a.")</x:f>
        <x:v>150</x:v>
      </x:c>
      <x:c r="L94" s="29" t="n">
        <x:f>IF('Inputs'!$D$9="Ready",'Inputs'!G13,"n.a.")</x:f>
        <x:v>0</x:v>
      </x:c>
      <x:c r="M94" s="22" t="n">
        <x:f>IF(COUNT(I94:L94)=4,ROUND(I94*J94/12,2),"n.a.")</x:f>
        <x:v>10.89</x:v>
      </x:c>
      <x:c r="N94" s="22" t="n">
        <x:f>IF(COUNT(I94:M94)=5,MIN(I94+M94,ROUND(MAX(K94,I94*L94+M94),2)),"n.a.")</x:f>
        <x:v>150</x:v>
      </x:c>
      <x:c r="O94" s="30" t="n">
        <x:f>IF(COUNT($I$92:$I$96)&lt;&gt;5,"n.a.",IF(I94=0,6,IF('Inputs'!$D$5=1,COUNTIFS($I$92:$I$96,"&gt;0",$I$92:$I$96,"&lt;"&amp;I94)+COUNTIFS($I$92:I94,I94),COUNTIFS($I$92:$I$96,"&gt;0",$J$92:$J$96,"&gt;"&amp;J94)+COUNTIFS($I$92:I94,"&gt;0",$J$92:J94,J94))))</x:f>
        <x:v>1</x:v>
      </x:c>
      <x:c r="P94" s="22" t="n">
        <x:f>IF(T94="Ready",MIN(U94,MAX(0,G94-SUMIFS($U$92:$U$96,$O$92:$O$96,"&lt;"&amp;O94))),"n.a.")</x:f>
        <x:v>350</x:v>
      </x:c>
      <x:c r="Q94" s="22" t="n">
        <x:f>IF(T94="Ready",ROUND(N94+P94,2),"n.a.")</x:f>
        <x:v>500</x:v>
      </x:c>
      <x:c r="R94" s="22" t="n">
        <x:f>IF(T94="Ready",ROUND(Q94-M94,2),"n.a.")</x:f>
        <x:v>489.11</x:v>
      </x:c>
      <x:c r="S94" s="22" t="n">
        <x:f>IF(T94="Ready",MAX(0,ROUND(I94+M94-Q94,2)),"n.a.")</x:f>
        <x:v>1144.94</x:v>
      </x:c>
      <x:c r="T94" s="22" t="str">
        <x:f>IF(AND(COUNT($I$92:$I$96)=5,COUNT(E94:F94)=2),IF(E94&gt;=F94,"Ready","Budget below minima"),"Check inputs")</x:f>
        <x:v>Ready</x:v>
      </x:c>
      <x:c r="U94" s="22" t="n">
        <x:f>IF(COUNT(I94,M94,N94)=3,MAX(0,ROUND(I94+M94-N94,2)),"n.a.")</x:f>
        <x:v>1494.94</x:v>
      </x:c>
    </x:row>
    <x:row r="95" ht="22" customHeight="1">
      <x:c r="A95" s="2"/>
      <x:c r="B95" s="2"/>
      <x:c r="C95" s="27" t="n">
        <x:f>18</x:f>
        <x:v>18</x:v>
      </x:c>
      <x:c r="D95" s="28" t="n">
        <x:f>IF(ISNUMBER('Inputs'!$D$7),EDATE('Inputs'!$D$7,17),"n.a.")</x:f>
        <x:v>46844</x:v>
      </x:c>
      <x:c r="E95" s="26" t="n">
        <x:f>IF('Inputs'!$D$9&lt;&gt;"Ready","n.a.",IF(ISNUMBER('Inputs'!E36),IF('Inputs'!E36&gt;=0,'Inputs'!E36,"n.a."),IF('Inputs'!E36="",'Inputs'!$D$6,"n.a.")))</x:f>
        <x:v>500</x:v>
      </x:c>
      <x:c r="F95" s="22" t="n">
        <x:f>IF(COUNT($N$92:$N$96)=5,SUM($N$92:$N$96),"n.a.")</x:f>
        <x:v>150</x:v>
      </x:c>
      <x:c r="G95" s="22" t="n">
        <x:f>IF(COUNT(E95:F95)=2,MAX(0,E95-F95),"n.a.")</x:f>
        <x:v>350</x:v>
      </x:c>
      <x:c r="H95" s="26" t="str">
        <x:f>'Inputs'!C14</x:f>
        <x:v>Unused 4</x:v>
      </x:c>
      <x:c r="I95" s="26" t="n">
        <x:f>S90</x:f>
        <x:v>0</x:v>
      </x:c>
      <x:c r="J95" s="29" t="n">
        <x:f>IF('Inputs'!$D$9="Ready",'Inputs'!E14,"n.a.")</x:f>
        <x:v>0</x:v>
      </x:c>
      <x:c r="K95" s="26" t="n">
        <x:f>IF('Inputs'!$D$9="Ready",'Inputs'!F14,"n.a.")</x:f>
        <x:v>0</x:v>
      </x:c>
      <x:c r="L95" s="29" t="n">
        <x:f>IF('Inputs'!$D$9="Ready",'Inputs'!G14,"n.a.")</x:f>
        <x:v>0</x:v>
      </x:c>
      <x:c r="M95" s="22" t="n">
        <x:f>IF(COUNT(I95:L95)=4,ROUND(I95*J95/12,2),"n.a.")</x:f>
        <x:v>0</x:v>
      </x:c>
      <x:c r="N95" s="22" t="n">
        <x:f>IF(COUNT(I95:M95)=5,MIN(I95+M95,ROUND(MAX(K95,I95*L95+M95),2)),"n.a.")</x:f>
        <x:v>0</x:v>
      </x:c>
      <x:c r="O95" s="30" t="n">
        <x:f>IF(COUNT($I$92:$I$96)&lt;&gt;5,"n.a.",IF(I95=0,6,IF('Inputs'!$D$5=1,COUNTIFS($I$92:$I$96,"&gt;0",$I$92:$I$96,"&lt;"&amp;I95)+COUNTIFS($I$92:I95,I95),COUNTIFS($I$92:$I$96,"&gt;0",$J$92:$J$96,"&gt;"&amp;J95)+COUNTIFS($I$92:I95,"&gt;0",$J$92:J95,J95))))</x:f>
        <x:v>6</x:v>
      </x:c>
      <x:c r="P95" s="22" t="n">
        <x:f>IF(T95="Ready",MIN(U95,MAX(0,G95-SUMIFS($U$92:$U$96,$O$92:$O$96,"&lt;"&amp;O95))),"n.a.")</x:f>
        <x:v>0</x:v>
      </x:c>
      <x:c r="Q95" s="22" t="n">
        <x:f>IF(T95="Ready",ROUND(N95+P95,2),"n.a.")</x:f>
        <x:v>0</x:v>
      </x:c>
      <x:c r="R95" s="22" t="n">
        <x:f>IF(T95="Ready",ROUND(Q95-M95,2),"n.a.")</x:f>
        <x:v>0</x:v>
      </x:c>
      <x:c r="S95" s="22" t="n">
        <x:f>IF(T95="Ready",MAX(0,ROUND(I95+M95-Q95,2)),"n.a.")</x:f>
        <x:v>0</x:v>
      </x:c>
      <x:c r="T95" s="22" t="str">
        <x:f>IF(AND(COUNT($I$92:$I$96)=5,COUNT(E95:F95)=2),IF(E95&gt;=F95,"Ready","Budget below minima"),"Check inputs")</x:f>
        <x:v>Ready</x:v>
      </x:c>
      <x:c r="U95" s="22" t="n">
        <x:f>IF(COUNT(I95,M95,N95)=3,MAX(0,ROUND(I95+M95-N95,2)),"n.a.")</x:f>
        <x:v>0</x:v>
      </x:c>
    </x:row>
    <x:row r="96" ht="22" customHeight="1">
      <x:c r="A96" s="2"/>
      <x:c r="B96" s="2"/>
      <x:c r="C96" s="27" t="n">
        <x:f>18</x:f>
        <x:v>18</x:v>
      </x:c>
      <x:c r="D96" s="28" t="n">
        <x:f>IF(ISNUMBER('Inputs'!$D$7),EDATE('Inputs'!$D$7,17),"n.a.")</x:f>
        <x:v>46844</x:v>
      </x:c>
      <x:c r="E96" s="26" t="n">
        <x:f>IF('Inputs'!$D$9&lt;&gt;"Ready","n.a.",IF(ISNUMBER('Inputs'!E36),IF('Inputs'!E36&gt;=0,'Inputs'!E36,"n.a."),IF('Inputs'!E36="",'Inputs'!$D$6,"n.a.")))</x:f>
        <x:v>500</x:v>
      </x:c>
      <x:c r="F96" s="22" t="n">
        <x:f>IF(COUNT($N$92:$N$96)=5,SUM($N$92:$N$96),"n.a.")</x:f>
        <x:v>150</x:v>
      </x:c>
      <x:c r="G96" s="22" t="n">
        <x:f>IF(COUNT(E96:F96)=2,MAX(0,E96-F96),"n.a.")</x:f>
        <x:v>350</x:v>
      </x:c>
      <x:c r="H96" s="26" t="str">
        <x:f>'Inputs'!C15</x:f>
        <x:v>Unused 5</x:v>
      </x:c>
      <x:c r="I96" s="26" t="n">
        <x:f>S91</x:f>
        <x:v>0</x:v>
      </x:c>
      <x:c r="J96" s="29" t="n">
        <x:f>IF('Inputs'!$D$9="Ready",'Inputs'!E15,"n.a.")</x:f>
        <x:v>0</x:v>
      </x:c>
      <x:c r="K96" s="26" t="n">
        <x:f>IF('Inputs'!$D$9="Ready",'Inputs'!F15,"n.a.")</x:f>
        <x:v>0</x:v>
      </x:c>
      <x:c r="L96" s="29" t="n">
        <x:f>IF('Inputs'!$D$9="Ready",'Inputs'!G15,"n.a.")</x:f>
        <x:v>0</x:v>
      </x:c>
      <x:c r="M96" s="22" t="n">
        <x:f>IF(COUNT(I96:L96)=4,ROUND(I96*J96/12,2),"n.a.")</x:f>
        <x:v>0</x:v>
      </x:c>
      <x:c r="N96" s="22" t="n">
        <x:f>IF(COUNT(I96:M96)=5,MIN(I96+M96,ROUND(MAX(K96,I96*L96+M96),2)),"n.a.")</x:f>
        <x:v>0</x:v>
      </x:c>
      <x:c r="O96" s="30" t="n">
        <x:f>IF(COUNT($I$92:$I$96)&lt;&gt;5,"n.a.",IF(I96=0,6,IF('Inputs'!$D$5=1,COUNTIFS($I$92:$I$96,"&gt;0",$I$92:$I$96,"&lt;"&amp;I96)+COUNTIFS($I$92:I96,I96),COUNTIFS($I$92:$I$96,"&gt;0",$J$92:$J$96,"&gt;"&amp;J96)+COUNTIFS($I$92:I96,"&gt;0",$J$92:J96,J96))))</x:f>
        <x:v>6</x:v>
      </x:c>
      <x:c r="P96" s="22" t="n">
        <x:f>IF(T96="Ready",MIN(U96,MAX(0,G96-SUMIFS($U$92:$U$96,$O$92:$O$96,"&lt;"&amp;O96))),"n.a.")</x:f>
        <x:v>0</x:v>
      </x:c>
      <x:c r="Q96" s="22" t="n">
        <x:f>IF(T96="Ready",ROUND(N96+P96,2),"n.a.")</x:f>
        <x:v>0</x:v>
      </x:c>
      <x:c r="R96" s="22" t="n">
        <x:f>IF(T96="Ready",ROUND(Q96-M96,2),"n.a.")</x:f>
        <x:v>0</x:v>
      </x:c>
      <x:c r="S96" s="22" t="n">
        <x:f>IF(T96="Ready",MAX(0,ROUND(I96+M96-Q96,2)),"n.a.")</x:f>
        <x:v>0</x:v>
      </x:c>
      <x:c r="T96" s="22" t="str">
        <x:f>IF(AND(COUNT($I$92:$I$96)=5,COUNT(E96:F96)=2),IF(E96&gt;=F96,"Ready","Budget below minima"),"Check inputs")</x:f>
        <x:v>Ready</x:v>
      </x:c>
      <x:c r="U96" s="22" t="n">
        <x:f>IF(COUNT(I96,M96,N96)=3,MAX(0,ROUND(I96+M96-N96,2)),"n.a.")</x:f>
        <x:v>0</x:v>
      </x:c>
    </x:row>
    <x:row r="97" ht="22" customHeight="1">
      <x:c r="A97" s="2"/>
      <x:c r="B97" s="2"/>
      <x:c r="C97" s="27" t="n">
        <x:f>19</x:f>
        <x:v>19</x:v>
      </x:c>
      <x:c r="D97" s="28" t="n">
        <x:f>IF(ISNUMBER('Inputs'!$D$7),EDATE('Inputs'!$D$7,18),"n.a.")</x:f>
        <x:v>46874</x:v>
      </x:c>
      <x:c r="E97" s="26" t="n">
        <x:f>IF('Inputs'!$D$9&lt;&gt;"Ready","n.a.",IF(ISNUMBER('Inputs'!E37),IF('Inputs'!E37&gt;=0,'Inputs'!E37,"n.a."),IF('Inputs'!E37="",'Inputs'!$D$6,"n.a.")))</x:f>
        <x:v>500</x:v>
      </x:c>
      <x:c r="F97" s="22" t="n">
        <x:f>IF(COUNT($N$97:$N$101)=5,SUM($N$97:$N$101),"n.a.")</x:f>
        <x:v>150</x:v>
      </x:c>
      <x:c r="G97" s="22" t="n">
        <x:f>IF(COUNT(E97:F97)=2,MAX(0,E97-F97),"n.a.")</x:f>
        <x:v>350</x:v>
      </x:c>
      <x:c r="H97" s="26" t="str">
        <x:f>'Inputs'!C11</x:f>
        <x:v>Card A</x:v>
      </x:c>
      <x:c r="I97" s="26" t="n">
        <x:f>S92</x:f>
        <x:v>0</x:v>
      </x:c>
      <x:c r="J97" s="29" t="n">
        <x:f>IF('Inputs'!$D$9="Ready",'Inputs'!E11,"n.a.")</x:f>
        <x:v>0.24</x:v>
      </x:c>
      <x:c r="K97" s="26" t="n">
        <x:f>IF('Inputs'!$D$9="Ready",'Inputs'!F11,"n.a.")</x:f>
        <x:v>35</x:v>
      </x:c>
      <x:c r="L97" s="29" t="n">
        <x:f>IF('Inputs'!$D$9="Ready",'Inputs'!G11,"n.a.")</x:f>
        <x:v>0.02</x:v>
      </x:c>
      <x:c r="M97" s="22" t="n">
        <x:f>IF(COUNT(I97:L97)=4,ROUND(I97*J97/12,2),"n.a.")</x:f>
        <x:v>0</x:v>
      </x:c>
      <x:c r="N97" s="22" t="n">
        <x:f>IF(COUNT(I97:M97)=5,MIN(I97+M97,ROUND(MAX(K97,I97*L97+M97),2)),"n.a.")</x:f>
        <x:v>0</x:v>
      </x:c>
      <x:c r="O97" s="30" t="n">
        <x:f>IF(COUNT($I$97:$I$101)&lt;&gt;5,"n.a.",IF(I97=0,6,IF('Inputs'!$D$5=1,COUNTIFS($I$97:$I$101,"&gt;0",$I$97:$I$101,"&lt;"&amp;I97)+COUNTIFS($I$97:I97,I97),COUNTIFS($I$97:$I$101,"&gt;0",$J$97:$J$101,"&gt;"&amp;J97)+COUNTIFS($I$97:I97,"&gt;0",$J$97:J97,J97))))</x:f>
        <x:v>6</x:v>
      </x:c>
      <x:c r="P97" s="22" t="n">
        <x:f>IF(T97="Ready",MIN(U97,MAX(0,G97-SUMIFS($U$97:$U$101,$O$97:$O$101,"&lt;"&amp;O97))),"n.a.")</x:f>
        <x:v>0</x:v>
      </x:c>
      <x:c r="Q97" s="22" t="n">
        <x:f>IF(T97="Ready",ROUND(N97+P97,2),"n.a.")</x:f>
        <x:v>0</x:v>
      </x:c>
      <x:c r="R97" s="22" t="n">
        <x:f>IF(T97="Ready",ROUND(Q97-M97,2),"n.a.")</x:f>
        <x:v>0</x:v>
      </x:c>
      <x:c r="S97" s="22" t="n">
        <x:f>IF(T97="Ready",MAX(0,ROUND(I97+M97-Q97,2)),"n.a.")</x:f>
        <x:v>0</x:v>
      </x:c>
      <x:c r="T97" s="22" t="str">
        <x:f>IF(AND(COUNT($I$97:$I$101)=5,COUNT(E97:F97)=2),IF(E97&gt;=F97,"Ready","Budget below minima"),"Check inputs")</x:f>
        <x:v>Ready</x:v>
      </x:c>
      <x:c r="U97" s="22" t="n">
        <x:f>IF(COUNT(I97,M97,N97)=3,MAX(0,ROUND(I97+M97-N97,2)),"n.a.")</x:f>
        <x:v>0</x:v>
      </x:c>
    </x:row>
    <x:row r="98" ht="22" customHeight="1">
      <x:c r="A98" s="2"/>
      <x:c r="B98" s="2"/>
      <x:c r="C98" s="27" t="n">
        <x:f>19</x:f>
        <x:v>19</x:v>
      </x:c>
      <x:c r="D98" s="28" t="n">
        <x:f>IF(ISNUMBER('Inputs'!$D$7),EDATE('Inputs'!$D$7,18),"n.a.")</x:f>
        <x:v>46874</x:v>
      </x:c>
      <x:c r="E98" s="26" t="n">
        <x:f>IF('Inputs'!$D$9&lt;&gt;"Ready","n.a.",IF(ISNUMBER('Inputs'!E37),IF('Inputs'!E37&gt;=0,'Inputs'!E37,"n.a."),IF('Inputs'!E37="",'Inputs'!$D$6,"n.a.")))</x:f>
        <x:v>500</x:v>
      </x:c>
      <x:c r="F98" s="22" t="n">
        <x:f>IF(COUNT($N$97:$N$101)=5,SUM($N$97:$N$101),"n.a.")</x:f>
        <x:v>150</x:v>
      </x:c>
      <x:c r="G98" s="22" t="n">
        <x:f>IF(COUNT(E98:F98)=2,MAX(0,E98-F98),"n.a.")</x:f>
        <x:v>350</x:v>
      </x:c>
      <x:c r="H98" s="26" t="str">
        <x:f>'Inputs'!C12</x:f>
        <x:v>Card B</x:v>
      </x:c>
      <x:c r="I98" s="26" t="n">
        <x:f>S93</x:f>
        <x:v>0</x:v>
      </x:c>
      <x:c r="J98" s="29" t="n">
        <x:f>IF('Inputs'!$D$9="Ready",'Inputs'!E12,"n.a.")</x:f>
        <x:v>0.18</x:v>
      </x:c>
      <x:c r="K98" s="26" t="n">
        <x:f>IF('Inputs'!$D$9="Ready",'Inputs'!F12,"n.a.")</x:f>
        <x:v>60</x:v>
      </x:c>
      <x:c r="L98" s="29" t="n">
        <x:f>IF('Inputs'!$D$9="Ready",'Inputs'!G12,"n.a.")</x:f>
        <x:v>0.02</x:v>
      </x:c>
      <x:c r="M98" s="22" t="n">
        <x:f>IF(COUNT(I98:L98)=4,ROUND(I98*J98/12,2),"n.a.")</x:f>
        <x:v>0</x:v>
      </x:c>
      <x:c r="N98" s="22" t="n">
        <x:f>IF(COUNT(I98:M98)=5,MIN(I98+M98,ROUND(MAX(K98,I98*L98+M98),2)),"n.a.")</x:f>
        <x:v>0</x:v>
      </x:c>
      <x:c r="O98" s="30" t="n">
        <x:f>IF(COUNT($I$97:$I$101)&lt;&gt;5,"n.a.",IF(I98=0,6,IF('Inputs'!$D$5=1,COUNTIFS($I$97:$I$101,"&gt;0",$I$97:$I$101,"&lt;"&amp;I98)+COUNTIFS($I$97:I98,I98),COUNTIFS($I$97:$I$101,"&gt;0",$J$97:$J$101,"&gt;"&amp;J98)+COUNTIFS($I$97:I98,"&gt;0",$J$97:J98,J98))))</x:f>
        <x:v>6</x:v>
      </x:c>
      <x:c r="P98" s="22" t="n">
        <x:f>IF(T98="Ready",MIN(U98,MAX(0,G98-SUMIFS($U$97:$U$101,$O$97:$O$101,"&lt;"&amp;O98))),"n.a.")</x:f>
        <x:v>0</x:v>
      </x:c>
      <x:c r="Q98" s="22" t="n">
        <x:f>IF(T98="Ready",ROUND(N98+P98,2),"n.a.")</x:f>
        <x:v>0</x:v>
      </x:c>
      <x:c r="R98" s="22" t="n">
        <x:f>IF(T98="Ready",ROUND(Q98-M98,2),"n.a.")</x:f>
        <x:v>0</x:v>
      </x:c>
      <x:c r="S98" s="22" t="n">
        <x:f>IF(T98="Ready",MAX(0,ROUND(I98+M98-Q98,2)),"n.a.")</x:f>
        <x:v>0</x:v>
      </x:c>
      <x:c r="T98" s="22" t="str">
        <x:f>IF(AND(COUNT($I$97:$I$101)=5,COUNT(E98:F98)=2),IF(E98&gt;=F98,"Ready","Budget below minima"),"Check inputs")</x:f>
        <x:v>Ready</x:v>
      </x:c>
      <x:c r="U98" s="22" t="n">
        <x:f>IF(COUNT(I98,M98,N98)=3,MAX(0,ROUND(I98+M98-N98,2)),"n.a.")</x:f>
        <x:v>0</x:v>
      </x:c>
    </x:row>
    <x:row r="99" ht="22" customHeight="1">
      <x:c r="A99" s="2"/>
      <x:c r="B99" s="2"/>
      <x:c r="C99" s="27" t="n">
        <x:f>19</x:f>
        <x:v>19</x:v>
      </x:c>
      <x:c r="D99" s="28" t="n">
        <x:f>IF(ISNUMBER('Inputs'!$D$7),EDATE('Inputs'!$D$7,18),"n.a.")</x:f>
        <x:v>46874</x:v>
      </x:c>
      <x:c r="E99" s="26" t="n">
        <x:f>IF('Inputs'!$D$9&lt;&gt;"Ready","n.a.",IF(ISNUMBER('Inputs'!E37),IF('Inputs'!E37&gt;=0,'Inputs'!E37,"n.a."),IF('Inputs'!E37="",'Inputs'!$D$6,"n.a.")))</x:f>
        <x:v>500</x:v>
      </x:c>
      <x:c r="F99" s="22" t="n">
        <x:f>IF(COUNT($N$97:$N$101)=5,SUM($N$97:$N$101),"n.a.")</x:f>
        <x:v>150</x:v>
      </x:c>
      <x:c r="G99" s="22" t="n">
        <x:f>IF(COUNT(E99:F99)=2,MAX(0,E99-F99),"n.a.")</x:f>
        <x:v>350</x:v>
      </x:c>
      <x:c r="H99" s="26" t="str">
        <x:f>'Inputs'!C13</x:f>
        <x:v>Loan C</x:v>
      </x:c>
      <x:c r="I99" s="26" t="n">
        <x:f>S94</x:f>
        <x:v>1144.94</x:v>
      </x:c>
      <x:c r="J99" s="29" t="n">
        <x:f>IF('Inputs'!$D$9="Ready",'Inputs'!E13,"n.a.")</x:f>
        <x:v>0.08</x:v>
      </x:c>
      <x:c r="K99" s="26" t="n">
        <x:f>IF('Inputs'!$D$9="Ready",'Inputs'!F13,"n.a.")</x:f>
        <x:v>150</x:v>
      </x:c>
      <x:c r="L99" s="29" t="n">
        <x:f>IF('Inputs'!$D$9="Ready",'Inputs'!G13,"n.a.")</x:f>
        <x:v>0</x:v>
      </x:c>
      <x:c r="M99" s="22" t="n">
        <x:f>IF(COUNT(I99:L99)=4,ROUND(I99*J99/12,2),"n.a.")</x:f>
        <x:v>7.63</x:v>
      </x:c>
      <x:c r="N99" s="22" t="n">
        <x:f>IF(COUNT(I99:M99)=5,MIN(I99+M99,ROUND(MAX(K99,I99*L99+M99),2)),"n.a.")</x:f>
        <x:v>150</x:v>
      </x:c>
      <x:c r="O99" s="30" t="n">
        <x:f>IF(COUNT($I$97:$I$101)&lt;&gt;5,"n.a.",IF(I99=0,6,IF('Inputs'!$D$5=1,COUNTIFS($I$97:$I$101,"&gt;0",$I$97:$I$101,"&lt;"&amp;I99)+COUNTIFS($I$97:I99,I99),COUNTIFS($I$97:$I$101,"&gt;0",$J$97:$J$101,"&gt;"&amp;J99)+COUNTIFS($I$97:I99,"&gt;0",$J$97:J99,J99))))</x:f>
        <x:v>1</x:v>
      </x:c>
      <x:c r="P99" s="22" t="n">
        <x:f>IF(T99="Ready",MIN(U99,MAX(0,G99-SUMIFS($U$97:$U$101,$O$97:$O$101,"&lt;"&amp;O99))),"n.a.")</x:f>
        <x:v>350</x:v>
      </x:c>
      <x:c r="Q99" s="22" t="n">
        <x:f>IF(T99="Ready",ROUND(N99+P99,2),"n.a.")</x:f>
        <x:v>500</x:v>
      </x:c>
      <x:c r="R99" s="22" t="n">
        <x:f>IF(T99="Ready",ROUND(Q99-M99,2),"n.a.")</x:f>
        <x:v>492.37</x:v>
      </x:c>
      <x:c r="S99" s="22" t="n">
        <x:f>IF(T99="Ready",MAX(0,ROUND(I99+M99-Q99,2)),"n.a.")</x:f>
        <x:v>652.57</x:v>
      </x:c>
      <x:c r="T99" s="22" t="str">
        <x:f>IF(AND(COUNT($I$97:$I$101)=5,COUNT(E99:F99)=2),IF(E99&gt;=F99,"Ready","Budget below minima"),"Check inputs")</x:f>
        <x:v>Ready</x:v>
      </x:c>
      <x:c r="U99" s="22" t="n">
        <x:f>IF(COUNT(I99,M99,N99)=3,MAX(0,ROUND(I99+M99-N99,2)),"n.a.")</x:f>
        <x:v>1002.57</x:v>
      </x:c>
    </x:row>
    <x:row r="100" ht="22" customHeight="1">
      <x:c r="A100" s="2"/>
      <x:c r="B100" s="2"/>
      <x:c r="C100" s="27" t="n">
        <x:f>19</x:f>
        <x:v>19</x:v>
      </x:c>
      <x:c r="D100" s="28" t="n">
        <x:f>IF(ISNUMBER('Inputs'!$D$7),EDATE('Inputs'!$D$7,18),"n.a.")</x:f>
        <x:v>46874</x:v>
      </x:c>
      <x:c r="E100" s="26" t="n">
        <x:f>IF('Inputs'!$D$9&lt;&gt;"Ready","n.a.",IF(ISNUMBER('Inputs'!E37),IF('Inputs'!E37&gt;=0,'Inputs'!E37,"n.a."),IF('Inputs'!E37="",'Inputs'!$D$6,"n.a.")))</x:f>
        <x:v>500</x:v>
      </x:c>
      <x:c r="F100" s="22" t="n">
        <x:f>IF(COUNT($N$97:$N$101)=5,SUM($N$97:$N$101),"n.a.")</x:f>
        <x:v>150</x:v>
      </x:c>
      <x:c r="G100" s="22" t="n">
        <x:f>IF(COUNT(E100:F100)=2,MAX(0,E100-F100),"n.a.")</x:f>
        <x:v>350</x:v>
      </x:c>
      <x:c r="H100" s="26" t="str">
        <x:f>'Inputs'!C14</x:f>
        <x:v>Unused 4</x:v>
      </x:c>
      <x:c r="I100" s="26" t="n">
        <x:f>S95</x:f>
        <x:v>0</x:v>
      </x:c>
      <x:c r="J100" s="29" t="n">
        <x:f>IF('Inputs'!$D$9="Ready",'Inputs'!E14,"n.a.")</x:f>
        <x:v>0</x:v>
      </x:c>
      <x:c r="K100" s="26" t="n">
        <x:f>IF('Inputs'!$D$9="Ready",'Inputs'!F14,"n.a.")</x:f>
        <x:v>0</x:v>
      </x:c>
      <x:c r="L100" s="29" t="n">
        <x:f>IF('Inputs'!$D$9="Ready",'Inputs'!G14,"n.a.")</x:f>
        <x:v>0</x:v>
      </x:c>
      <x:c r="M100" s="22" t="n">
        <x:f>IF(COUNT(I100:L100)=4,ROUND(I100*J100/12,2),"n.a.")</x:f>
        <x:v>0</x:v>
      </x:c>
      <x:c r="N100" s="22" t="n">
        <x:f>IF(COUNT(I100:M100)=5,MIN(I100+M100,ROUND(MAX(K100,I100*L100+M100),2)),"n.a.")</x:f>
        <x:v>0</x:v>
      </x:c>
      <x:c r="O100" s="30" t="n">
        <x:f>IF(COUNT($I$97:$I$101)&lt;&gt;5,"n.a.",IF(I100=0,6,IF('Inputs'!$D$5=1,COUNTIFS($I$97:$I$101,"&gt;0",$I$97:$I$101,"&lt;"&amp;I100)+COUNTIFS($I$97:I100,I100),COUNTIFS($I$97:$I$101,"&gt;0",$J$97:$J$101,"&gt;"&amp;J100)+COUNTIFS($I$97:I100,"&gt;0",$J$97:J100,J100))))</x:f>
        <x:v>6</x:v>
      </x:c>
      <x:c r="P100" s="22" t="n">
        <x:f>IF(T100="Ready",MIN(U100,MAX(0,G100-SUMIFS($U$97:$U$101,$O$97:$O$101,"&lt;"&amp;O100))),"n.a.")</x:f>
        <x:v>0</x:v>
      </x:c>
      <x:c r="Q100" s="22" t="n">
        <x:f>IF(T100="Ready",ROUND(N100+P100,2),"n.a.")</x:f>
        <x:v>0</x:v>
      </x:c>
      <x:c r="R100" s="22" t="n">
        <x:f>IF(T100="Ready",ROUND(Q100-M100,2),"n.a.")</x:f>
        <x:v>0</x:v>
      </x:c>
      <x:c r="S100" s="22" t="n">
        <x:f>IF(T100="Ready",MAX(0,ROUND(I100+M100-Q100,2)),"n.a.")</x:f>
        <x:v>0</x:v>
      </x:c>
      <x:c r="T100" s="22" t="str">
        <x:f>IF(AND(COUNT($I$97:$I$101)=5,COUNT(E100:F100)=2),IF(E100&gt;=F100,"Ready","Budget below minima"),"Check inputs")</x:f>
        <x:v>Ready</x:v>
      </x:c>
      <x:c r="U100" s="22" t="n">
        <x:f>IF(COUNT(I100,M100,N100)=3,MAX(0,ROUND(I100+M100-N100,2)),"n.a.")</x:f>
        <x:v>0</x:v>
      </x:c>
    </x:row>
    <x:row r="101" ht="22" customHeight="1">
      <x:c r="A101" s="2"/>
      <x:c r="B101" s="2"/>
      <x:c r="C101" s="27" t="n">
        <x:f>19</x:f>
        <x:v>19</x:v>
      </x:c>
      <x:c r="D101" s="28" t="n">
        <x:f>IF(ISNUMBER('Inputs'!$D$7),EDATE('Inputs'!$D$7,18),"n.a.")</x:f>
        <x:v>46874</x:v>
      </x:c>
      <x:c r="E101" s="26" t="n">
        <x:f>IF('Inputs'!$D$9&lt;&gt;"Ready","n.a.",IF(ISNUMBER('Inputs'!E37),IF('Inputs'!E37&gt;=0,'Inputs'!E37,"n.a."),IF('Inputs'!E37="",'Inputs'!$D$6,"n.a.")))</x:f>
        <x:v>500</x:v>
      </x:c>
      <x:c r="F101" s="22" t="n">
        <x:f>IF(COUNT($N$97:$N$101)=5,SUM($N$97:$N$101),"n.a.")</x:f>
        <x:v>150</x:v>
      </x:c>
      <x:c r="G101" s="22" t="n">
        <x:f>IF(COUNT(E101:F101)=2,MAX(0,E101-F101),"n.a.")</x:f>
        <x:v>350</x:v>
      </x:c>
      <x:c r="H101" s="26" t="str">
        <x:f>'Inputs'!C15</x:f>
        <x:v>Unused 5</x:v>
      </x:c>
      <x:c r="I101" s="26" t="n">
        <x:f>S96</x:f>
        <x:v>0</x:v>
      </x:c>
      <x:c r="J101" s="29" t="n">
        <x:f>IF('Inputs'!$D$9="Ready",'Inputs'!E15,"n.a.")</x:f>
        <x:v>0</x:v>
      </x:c>
      <x:c r="K101" s="26" t="n">
        <x:f>IF('Inputs'!$D$9="Ready",'Inputs'!F15,"n.a.")</x:f>
        <x:v>0</x:v>
      </x:c>
      <x:c r="L101" s="29" t="n">
        <x:f>IF('Inputs'!$D$9="Ready",'Inputs'!G15,"n.a.")</x:f>
        <x:v>0</x:v>
      </x:c>
      <x:c r="M101" s="22" t="n">
        <x:f>IF(COUNT(I101:L101)=4,ROUND(I101*J101/12,2),"n.a.")</x:f>
        <x:v>0</x:v>
      </x:c>
      <x:c r="N101" s="22" t="n">
        <x:f>IF(COUNT(I101:M101)=5,MIN(I101+M101,ROUND(MAX(K101,I101*L101+M101),2)),"n.a.")</x:f>
        <x:v>0</x:v>
      </x:c>
      <x:c r="O101" s="30" t="n">
        <x:f>IF(COUNT($I$97:$I$101)&lt;&gt;5,"n.a.",IF(I101=0,6,IF('Inputs'!$D$5=1,COUNTIFS($I$97:$I$101,"&gt;0",$I$97:$I$101,"&lt;"&amp;I101)+COUNTIFS($I$97:I101,I101),COUNTIFS($I$97:$I$101,"&gt;0",$J$97:$J$101,"&gt;"&amp;J101)+COUNTIFS($I$97:I101,"&gt;0",$J$97:J101,J101))))</x:f>
        <x:v>6</x:v>
      </x:c>
      <x:c r="P101" s="22" t="n">
        <x:f>IF(T101="Ready",MIN(U101,MAX(0,G101-SUMIFS($U$97:$U$101,$O$97:$O$101,"&lt;"&amp;O101))),"n.a.")</x:f>
        <x:v>0</x:v>
      </x:c>
      <x:c r="Q101" s="22" t="n">
        <x:f>IF(T101="Ready",ROUND(N101+P101,2),"n.a.")</x:f>
        <x:v>0</x:v>
      </x:c>
      <x:c r="R101" s="22" t="n">
        <x:f>IF(T101="Ready",ROUND(Q101-M101,2),"n.a.")</x:f>
        <x:v>0</x:v>
      </x:c>
      <x:c r="S101" s="22" t="n">
        <x:f>IF(T101="Ready",MAX(0,ROUND(I101+M101-Q101,2)),"n.a.")</x:f>
        <x:v>0</x:v>
      </x:c>
      <x:c r="T101" s="22" t="str">
        <x:f>IF(AND(COUNT($I$97:$I$101)=5,COUNT(E101:F101)=2),IF(E101&gt;=F101,"Ready","Budget below minima"),"Check inputs")</x:f>
        <x:v>Ready</x:v>
      </x:c>
      <x:c r="U101" s="22" t="n">
        <x:f>IF(COUNT(I101,M101,N101)=3,MAX(0,ROUND(I101+M101-N101,2)),"n.a.")</x:f>
        <x:v>0</x:v>
      </x:c>
    </x:row>
    <x:row r="102" ht="22" customHeight="1">
      <x:c r="A102" s="2"/>
      <x:c r="B102" s="2"/>
      <x:c r="C102" s="27" t="n">
        <x:f>20</x:f>
        <x:v>20</x:v>
      </x:c>
      <x:c r="D102" s="28" t="n">
        <x:f>IF(ISNUMBER('Inputs'!$D$7),EDATE('Inputs'!$D$7,19),"n.a.")</x:f>
        <x:v>46905</x:v>
      </x:c>
      <x:c r="E102" s="26" t="n">
        <x:f>IF('Inputs'!$D$9&lt;&gt;"Ready","n.a.",IF(ISNUMBER('Inputs'!E38),IF('Inputs'!E38&gt;=0,'Inputs'!E38,"n.a."),IF('Inputs'!E38="",'Inputs'!$D$6,"n.a.")))</x:f>
        <x:v>500</x:v>
      </x:c>
      <x:c r="F102" s="22" t="n">
        <x:f>IF(COUNT($N$102:$N$106)=5,SUM($N$102:$N$106),"n.a.")</x:f>
        <x:v>150</x:v>
      </x:c>
      <x:c r="G102" s="22" t="n">
        <x:f>IF(COUNT(E102:F102)=2,MAX(0,E102-F102),"n.a.")</x:f>
        <x:v>350</x:v>
      </x:c>
      <x:c r="H102" s="26" t="str">
        <x:f>'Inputs'!C11</x:f>
        <x:v>Card A</x:v>
      </x:c>
      <x:c r="I102" s="26" t="n">
        <x:f>S97</x:f>
        <x:v>0</x:v>
      </x:c>
      <x:c r="J102" s="29" t="n">
        <x:f>IF('Inputs'!$D$9="Ready",'Inputs'!E11,"n.a.")</x:f>
        <x:v>0.24</x:v>
      </x:c>
      <x:c r="K102" s="26" t="n">
        <x:f>IF('Inputs'!$D$9="Ready",'Inputs'!F11,"n.a.")</x:f>
        <x:v>35</x:v>
      </x:c>
      <x:c r="L102" s="29" t="n">
        <x:f>IF('Inputs'!$D$9="Ready",'Inputs'!G11,"n.a.")</x:f>
        <x:v>0.02</x:v>
      </x:c>
      <x:c r="M102" s="22" t="n">
        <x:f>IF(COUNT(I102:L102)=4,ROUND(I102*J102/12,2),"n.a.")</x:f>
        <x:v>0</x:v>
      </x:c>
      <x:c r="N102" s="22" t="n">
        <x:f>IF(COUNT(I102:M102)=5,MIN(I102+M102,ROUND(MAX(K102,I102*L102+M102),2)),"n.a.")</x:f>
        <x:v>0</x:v>
      </x:c>
      <x:c r="O102" s="30" t="n">
        <x:f>IF(COUNT($I$102:$I$106)&lt;&gt;5,"n.a.",IF(I102=0,6,IF('Inputs'!$D$5=1,COUNTIFS($I$102:$I$106,"&gt;0",$I$102:$I$106,"&lt;"&amp;I102)+COUNTIFS($I$102:I102,I102),COUNTIFS($I$102:$I$106,"&gt;0",$J$102:$J$106,"&gt;"&amp;J102)+COUNTIFS($I$102:I102,"&gt;0",$J$102:J102,J102))))</x:f>
        <x:v>6</x:v>
      </x:c>
      <x:c r="P102" s="22" t="n">
        <x:f>IF(T102="Ready",MIN(U102,MAX(0,G102-SUMIFS($U$102:$U$106,$O$102:$O$106,"&lt;"&amp;O102))),"n.a.")</x:f>
        <x:v>0</x:v>
      </x:c>
      <x:c r="Q102" s="22" t="n">
        <x:f>IF(T102="Ready",ROUND(N102+P102,2),"n.a.")</x:f>
        <x:v>0</x:v>
      </x:c>
      <x:c r="R102" s="22" t="n">
        <x:f>IF(T102="Ready",ROUND(Q102-M102,2),"n.a.")</x:f>
        <x:v>0</x:v>
      </x:c>
      <x:c r="S102" s="22" t="n">
        <x:f>IF(T102="Ready",MAX(0,ROUND(I102+M102-Q102,2)),"n.a.")</x:f>
        <x:v>0</x:v>
      </x:c>
      <x:c r="T102" s="22" t="str">
        <x:f>IF(AND(COUNT($I$102:$I$106)=5,COUNT(E102:F102)=2),IF(E102&gt;=F102,"Ready","Budget below minima"),"Check inputs")</x:f>
        <x:v>Ready</x:v>
      </x:c>
      <x:c r="U102" s="22" t="n">
        <x:f>IF(COUNT(I102,M102,N102)=3,MAX(0,ROUND(I102+M102-N102,2)),"n.a.")</x:f>
        <x:v>0</x:v>
      </x:c>
    </x:row>
    <x:row r="103" ht="22" customHeight="1">
      <x:c r="A103" s="2"/>
      <x:c r="B103" s="2"/>
      <x:c r="C103" s="27" t="n">
        <x:f>20</x:f>
        <x:v>20</x:v>
      </x:c>
      <x:c r="D103" s="28" t="n">
        <x:f>IF(ISNUMBER('Inputs'!$D$7),EDATE('Inputs'!$D$7,19),"n.a.")</x:f>
        <x:v>46905</x:v>
      </x:c>
      <x:c r="E103" s="26" t="n">
        <x:f>IF('Inputs'!$D$9&lt;&gt;"Ready","n.a.",IF(ISNUMBER('Inputs'!E38),IF('Inputs'!E38&gt;=0,'Inputs'!E38,"n.a."),IF('Inputs'!E38="",'Inputs'!$D$6,"n.a.")))</x:f>
        <x:v>500</x:v>
      </x:c>
      <x:c r="F103" s="22" t="n">
        <x:f>IF(COUNT($N$102:$N$106)=5,SUM($N$102:$N$106),"n.a.")</x:f>
        <x:v>150</x:v>
      </x:c>
      <x:c r="G103" s="22" t="n">
        <x:f>IF(COUNT(E103:F103)=2,MAX(0,E103-F103),"n.a.")</x:f>
        <x:v>350</x:v>
      </x:c>
      <x:c r="H103" s="26" t="str">
        <x:f>'Inputs'!C12</x:f>
        <x:v>Card B</x:v>
      </x:c>
      <x:c r="I103" s="26" t="n">
        <x:f>S98</x:f>
        <x:v>0</x:v>
      </x:c>
      <x:c r="J103" s="29" t="n">
        <x:f>IF('Inputs'!$D$9="Ready",'Inputs'!E12,"n.a.")</x:f>
        <x:v>0.18</x:v>
      </x:c>
      <x:c r="K103" s="26" t="n">
        <x:f>IF('Inputs'!$D$9="Ready",'Inputs'!F12,"n.a.")</x:f>
        <x:v>60</x:v>
      </x:c>
      <x:c r="L103" s="29" t="n">
        <x:f>IF('Inputs'!$D$9="Ready",'Inputs'!G12,"n.a.")</x:f>
        <x:v>0.02</x:v>
      </x:c>
      <x:c r="M103" s="22" t="n">
        <x:f>IF(COUNT(I103:L103)=4,ROUND(I103*J103/12,2),"n.a.")</x:f>
        <x:v>0</x:v>
      </x:c>
      <x:c r="N103" s="22" t="n">
        <x:f>IF(COUNT(I103:M103)=5,MIN(I103+M103,ROUND(MAX(K103,I103*L103+M103),2)),"n.a.")</x:f>
        <x:v>0</x:v>
      </x:c>
      <x:c r="O103" s="30" t="n">
        <x:f>IF(COUNT($I$102:$I$106)&lt;&gt;5,"n.a.",IF(I103=0,6,IF('Inputs'!$D$5=1,COUNTIFS($I$102:$I$106,"&gt;0",$I$102:$I$106,"&lt;"&amp;I103)+COUNTIFS($I$102:I103,I103),COUNTIFS($I$102:$I$106,"&gt;0",$J$102:$J$106,"&gt;"&amp;J103)+COUNTIFS($I$102:I103,"&gt;0",$J$102:J103,J103))))</x:f>
        <x:v>6</x:v>
      </x:c>
      <x:c r="P103" s="22" t="n">
        <x:f>IF(T103="Ready",MIN(U103,MAX(0,G103-SUMIFS($U$102:$U$106,$O$102:$O$106,"&lt;"&amp;O103))),"n.a.")</x:f>
        <x:v>0</x:v>
      </x:c>
      <x:c r="Q103" s="22" t="n">
        <x:f>IF(T103="Ready",ROUND(N103+P103,2),"n.a.")</x:f>
        <x:v>0</x:v>
      </x:c>
      <x:c r="R103" s="22" t="n">
        <x:f>IF(T103="Ready",ROUND(Q103-M103,2),"n.a.")</x:f>
        <x:v>0</x:v>
      </x:c>
      <x:c r="S103" s="22" t="n">
        <x:f>IF(T103="Ready",MAX(0,ROUND(I103+M103-Q103,2)),"n.a.")</x:f>
        <x:v>0</x:v>
      </x:c>
      <x:c r="T103" s="22" t="str">
        <x:f>IF(AND(COUNT($I$102:$I$106)=5,COUNT(E103:F103)=2),IF(E103&gt;=F103,"Ready","Budget below minima"),"Check inputs")</x:f>
        <x:v>Ready</x:v>
      </x:c>
      <x:c r="U103" s="22" t="n">
        <x:f>IF(COUNT(I103,M103,N103)=3,MAX(0,ROUND(I103+M103-N103,2)),"n.a.")</x:f>
        <x:v>0</x:v>
      </x:c>
    </x:row>
    <x:row r="104" ht="22" customHeight="1">
      <x:c r="A104" s="2"/>
      <x:c r="B104" s="2"/>
      <x:c r="C104" s="27" t="n">
        <x:f>20</x:f>
        <x:v>20</x:v>
      </x:c>
      <x:c r="D104" s="28" t="n">
        <x:f>IF(ISNUMBER('Inputs'!$D$7),EDATE('Inputs'!$D$7,19),"n.a.")</x:f>
        <x:v>46905</x:v>
      </x:c>
      <x:c r="E104" s="26" t="n">
        <x:f>IF('Inputs'!$D$9&lt;&gt;"Ready","n.a.",IF(ISNUMBER('Inputs'!E38),IF('Inputs'!E38&gt;=0,'Inputs'!E38,"n.a."),IF('Inputs'!E38="",'Inputs'!$D$6,"n.a.")))</x:f>
        <x:v>500</x:v>
      </x:c>
      <x:c r="F104" s="22" t="n">
        <x:f>IF(COUNT($N$102:$N$106)=5,SUM($N$102:$N$106),"n.a.")</x:f>
        <x:v>150</x:v>
      </x:c>
      <x:c r="G104" s="22" t="n">
        <x:f>IF(COUNT(E104:F104)=2,MAX(0,E104-F104),"n.a.")</x:f>
        <x:v>350</x:v>
      </x:c>
      <x:c r="H104" s="26" t="str">
        <x:f>'Inputs'!C13</x:f>
        <x:v>Loan C</x:v>
      </x:c>
      <x:c r="I104" s="26" t="n">
        <x:f>S99</x:f>
        <x:v>652.57</x:v>
      </x:c>
      <x:c r="J104" s="29" t="n">
        <x:f>IF('Inputs'!$D$9="Ready",'Inputs'!E13,"n.a.")</x:f>
        <x:v>0.08</x:v>
      </x:c>
      <x:c r="K104" s="26" t="n">
        <x:f>IF('Inputs'!$D$9="Ready",'Inputs'!F13,"n.a.")</x:f>
        <x:v>150</x:v>
      </x:c>
      <x:c r="L104" s="29" t="n">
        <x:f>IF('Inputs'!$D$9="Ready",'Inputs'!G13,"n.a.")</x:f>
        <x:v>0</x:v>
      </x:c>
      <x:c r="M104" s="22" t="n">
        <x:f>IF(COUNT(I104:L104)=4,ROUND(I104*J104/12,2),"n.a.")</x:f>
        <x:v>4.35</x:v>
      </x:c>
      <x:c r="N104" s="22" t="n">
        <x:f>IF(COUNT(I104:M104)=5,MIN(I104+M104,ROUND(MAX(K104,I104*L104+M104),2)),"n.a.")</x:f>
        <x:v>150</x:v>
      </x:c>
      <x:c r="O104" s="30" t="n">
        <x:f>IF(COUNT($I$102:$I$106)&lt;&gt;5,"n.a.",IF(I104=0,6,IF('Inputs'!$D$5=1,COUNTIFS($I$102:$I$106,"&gt;0",$I$102:$I$106,"&lt;"&amp;I104)+COUNTIFS($I$102:I104,I104),COUNTIFS($I$102:$I$106,"&gt;0",$J$102:$J$106,"&gt;"&amp;J104)+COUNTIFS($I$102:I104,"&gt;0",$J$102:J104,J104))))</x:f>
        <x:v>1</x:v>
      </x:c>
      <x:c r="P104" s="22" t="n">
        <x:f>IF(T104="Ready",MIN(U104,MAX(0,G104-SUMIFS($U$102:$U$106,$O$102:$O$106,"&lt;"&amp;O104))),"n.a.")</x:f>
        <x:v>350</x:v>
      </x:c>
      <x:c r="Q104" s="22" t="n">
        <x:f>IF(T104="Ready",ROUND(N104+P104,2),"n.a.")</x:f>
        <x:v>500</x:v>
      </x:c>
      <x:c r="R104" s="22" t="n">
        <x:f>IF(T104="Ready",ROUND(Q104-M104,2),"n.a.")</x:f>
        <x:v>495.65</x:v>
      </x:c>
      <x:c r="S104" s="22" t="n">
        <x:f>IF(T104="Ready",MAX(0,ROUND(I104+M104-Q104,2)),"n.a.")</x:f>
        <x:v>156.92</x:v>
      </x:c>
      <x:c r="T104" s="22" t="str">
        <x:f>IF(AND(COUNT($I$102:$I$106)=5,COUNT(E104:F104)=2),IF(E104&gt;=F104,"Ready","Budget below minima"),"Check inputs")</x:f>
        <x:v>Ready</x:v>
      </x:c>
      <x:c r="U104" s="22" t="n">
        <x:f>IF(COUNT(I104,M104,N104)=3,MAX(0,ROUND(I104+M104-N104,2)),"n.a.")</x:f>
        <x:v>506.92</x:v>
      </x:c>
    </x:row>
    <x:row r="105" ht="22" customHeight="1">
      <x:c r="A105" s="2"/>
      <x:c r="B105" s="2"/>
      <x:c r="C105" s="27" t="n">
        <x:f>20</x:f>
        <x:v>20</x:v>
      </x:c>
      <x:c r="D105" s="28" t="n">
        <x:f>IF(ISNUMBER('Inputs'!$D$7),EDATE('Inputs'!$D$7,19),"n.a.")</x:f>
        <x:v>46905</x:v>
      </x:c>
      <x:c r="E105" s="26" t="n">
        <x:f>IF('Inputs'!$D$9&lt;&gt;"Ready","n.a.",IF(ISNUMBER('Inputs'!E38),IF('Inputs'!E38&gt;=0,'Inputs'!E38,"n.a."),IF('Inputs'!E38="",'Inputs'!$D$6,"n.a.")))</x:f>
        <x:v>500</x:v>
      </x:c>
      <x:c r="F105" s="22" t="n">
        <x:f>IF(COUNT($N$102:$N$106)=5,SUM($N$102:$N$106),"n.a.")</x:f>
        <x:v>150</x:v>
      </x:c>
      <x:c r="G105" s="22" t="n">
        <x:f>IF(COUNT(E105:F105)=2,MAX(0,E105-F105),"n.a.")</x:f>
        <x:v>350</x:v>
      </x:c>
      <x:c r="H105" s="26" t="str">
        <x:f>'Inputs'!C14</x:f>
        <x:v>Unused 4</x:v>
      </x:c>
      <x:c r="I105" s="26" t="n">
        <x:f>S100</x:f>
        <x:v>0</x:v>
      </x:c>
      <x:c r="J105" s="29" t="n">
        <x:f>IF('Inputs'!$D$9="Ready",'Inputs'!E14,"n.a.")</x:f>
        <x:v>0</x:v>
      </x:c>
      <x:c r="K105" s="26" t="n">
        <x:f>IF('Inputs'!$D$9="Ready",'Inputs'!F14,"n.a.")</x:f>
        <x:v>0</x:v>
      </x:c>
      <x:c r="L105" s="29" t="n">
        <x:f>IF('Inputs'!$D$9="Ready",'Inputs'!G14,"n.a.")</x:f>
        <x:v>0</x:v>
      </x:c>
      <x:c r="M105" s="22" t="n">
        <x:f>IF(COUNT(I105:L105)=4,ROUND(I105*J105/12,2),"n.a.")</x:f>
        <x:v>0</x:v>
      </x:c>
      <x:c r="N105" s="22" t="n">
        <x:f>IF(COUNT(I105:M105)=5,MIN(I105+M105,ROUND(MAX(K105,I105*L105+M105),2)),"n.a.")</x:f>
        <x:v>0</x:v>
      </x:c>
      <x:c r="O105" s="30" t="n">
        <x:f>IF(COUNT($I$102:$I$106)&lt;&gt;5,"n.a.",IF(I105=0,6,IF('Inputs'!$D$5=1,COUNTIFS($I$102:$I$106,"&gt;0",$I$102:$I$106,"&lt;"&amp;I105)+COUNTIFS($I$102:I105,I105),COUNTIFS($I$102:$I$106,"&gt;0",$J$102:$J$106,"&gt;"&amp;J105)+COUNTIFS($I$102:I105,"&gt;0",$J$102:J105,J105))))</x:f>
        <x:v>6</x:v>
      </x:c>
      <x:c r="P105" s="22" t="n">
        <x:f>IF(T105="Ready",MIN(U105,MAX(0,G105-SUMIFS($U$102:$U$106,$O$102:$O$106,"&lt;"&amp;O105))),"n.a.")</x:f>
        <x:v>0</x:v>
      </x:c>
      <x:c r="Q105" s="22" t="n">
        <x:f>IF(T105="Ready",ROUND(N105+P105,2),"n.a.")</x:f>
        <x:v>0</x:v>
      </x:c>
      <x:c r="R105" s="22" t="n">
        <x:f>IF(T105="Ready",ROUND(Q105-M105,2),"n.a.")</x:f>
        <x:v>0</x:v>
      </x:c>
      <x:c r="S105" s="22" t="n">
        <x:f>IF(T105="Ready",MAX(0,ROUND(I105+M105-Q105,2)),"n.a.")</x:f>
        <x:v>0</x:v>
      </x:c>
      <x:c r="T105" s="22" t="str">
        <x:f>IF(AND(COUNT($I$102:$I$106)=5,COUNT(E105:F105)=2),IF(E105&gt;=F105,"Ready","Budget below minima"),"Check inputs")</x:f>
        <x:v>Ready</x:v>
      </x:c>
      <x:c r="U105" s="22" t="n">
        <x:f>IF(COUNT(I105,M105,N105)=3,MAX(0,ROUND(I105+M105-N105,2)),"n.a.")</x:f>
        <x:v>0</x:v>
      </x:c>
    </x:row>
    <x:row r="106" ht="22" customHeight="1">
      <x:c r="A106" s="2"/>
      <x:c r="B106" s="2"/>
      <x:c r="C106" s="27" t="n">
        <x:f>20</x:f>
        <x:v>20</x:v>
      </x:c>
      <x:c r="D106" s="28" t="n">
        <x:f>IF(ISNUMBER('Inputs'!$D$7),EDATE('Inputs'!$D$7,19),"n.a.")</x:f>
        <x:v>46905</x:v>
      </x:c>
      <x:c r="E106" s="26" t="n">
        <x:f>IF('Inputs'!$D$9&lt;&gt;"Ready","n.a.",IF(ISNUMBER('Inputs'!E38),IF('Inputs'!E38&gt;=0,'Inputs'!E38,"n.a."),IF('Inputs'!E38="",'Inputs'!$D$6,"n.a.")))</x:f>
        <x:v>500</x:v>
      </x:c>
      <x:c r="F106" s="22" t="n">
        <x:f>IF(COUNT($N$102:$N$106)=5,SUM($N$102:$N$106),"n.a.")</x:f>
        <x:v>150</x:v>
      </x:c>
      <x:c r="G106" s="22" t="n">
        <x:f>IF(COUNT(E106:F106)=2,MAX(0,E106-F106),"n.a.")</x:f>
        <x:v>350</x:v>
      </x:c>
      <x:c r="H106" s="26" t="str">
        <x:f>'Inputs'!C15</x:f>
        <x:v>Unused 5</x:v>
      </x:c>
      <x:c r="I106" s="26" t="n">
        <x:f>S101</x:f>
        <x:v>0</x:v>
      </x:c>
      <x:c r="J106" s="29" t="n">
        <x:f>IF('Inputs'!$D$9="Ready",'Inputs'!E15,"n.a.")</x:f>
        <x:v>0</x:v>
      </x:c>
      <x:c r="K106" s="26" t="n">
        <x:f>IF('Inputs'!$D$9="Ready",'Inputs'!F15,"n.a.")</x:f>
        <x:v>0</x:v>
      </x:c>
      <x:c r="L106" s="29" t="n">
        <x:f>IF('Inputs'!$D$9="Ready",'Inputs'!G15,"n.a.")</x:f>
        <x:v>0</x:v>
      </x:c>
      <x:c r="M106" s="22" t="n">
        <x:f>IF(COUNT(I106:L106)=4,ROUND(I106*J106/12,2),"n.a.")</x:f>
        <x:v>0</x:v>
      </x:c>
      <x:c r="N106" s="22" t="n">
        <x:f>IF(COUNT(I106:M106)=5,MIN(I106+M106,ROUND(MAX(K106,I106*L106+M106),2)),"n.a.")</x:f>
        <x:v>0</x:v>
      </x:c>
      <x:c r="O106" s="30" t="n">
        <x:f>IF(COUNT($I$102:$I$106)&lt;&gt;5,"n.a.",IF(I106=0,6,IF('Inputs'!$D$5=1,COUNTIFS($I$102:$I$106,"&gt;0",$I$102:$I$106,"&lt;"&amp;I106)+COUNTIFS($I$102:I106,I106),COUNTIFS($I$102:$I$106,"&gt;0",$J$102:$J$106,"&gt;"&amp;J106)+COUNTIFS($I$102:I106,"&gt;0",$J$102:J106,J106))))</x:f>
        <x:v>6</x:v>
      </x:c>
      <x:c r="P106" s="22" t="n">
        <x:f>IF(T106="Ready",MIN(U106,MAX(0,G106-SUMIFS($U$102:$U$106,$O$102:$O$106,"&lt;"&amp;O106))),"n.a.")</x:f>
        <x:v>0</x:v>
      </x:c>
      <x:c r="Q106" s="22" t="n">
        <x:f>IF(T106="Ready",ROUND(N106+P106,2),"n.a.")</x:f>
        <x:v>0</x:v>
      </x:c>
      <x:c r="R106" s="22" t="n">
        <x:f>IF(T106="Ready",ROUND(Q106-M106,2),"n.a.")</x:f>
        <x:v>0</x:v>
      </x:c>
      <x:c r="S106" s="22" t="n">
        <x:f>IF(T106="Ready",MAX(0,ROUND(I106+M106-Q106,2)),"n.a.")</x:f>
        <x:v>0</x:v>
      </x:c>
      <x:c r="T106" s="22" t="str">
        <x:f>IF(AND(COUNT($I$102:$I$106)=5,COUNT(E106:F106)=2),IF(E106&gt;=F106,"Ready","Budget below minima"),"Check inputs")</x:f>
        <x:v>Ready</x:v>
      </x:c>
      <x:c r="U106" s="22" t="n">
        <x:f>IF(COUNT(I106,M106,N106)=3,MAX(0,ROUND(I106+M106-N106,2)),"n.a.")</x:f>
        <x:v>0</x:v>
      </x:c>
    </x:row>
    <x:row r="107" ht="22" customHeight="1">
      <x:c r="A107" s="2"/>
      <x:c r="B107" s="2"/>
      <x:c r="C107" s="27" t="n">
        <x:f>21</x:f>
        <x:v>21</x:v>
      </x:c>
      <x:c r="D107" s="28" t="n">
        <x:f>IF(ISNUMBER('Inputs'!$D$7),EDATE('Inputs'!$D$7,20),"n.a.")</x:f>
        <x:v>46935</x:v>
      </x:c>
      <x:c r="E107" s="26" t="n">
        <x:f>IF('Inputs'!$D$9&lt;&gt;"Ready","n.a.",IF(ISNUMBER('Inputs'!E39),IF('Inputs'!E39&gt;=0,'Inputs'!E39,"n.a."),IF('Inputs'!E39="",'Inputs'!$D$6,"n.a.")))</x:f>
        <x:v>500</x:v>
      </x:c>
      <x:c r="F107" s="22" t="n">
        <x:f>IF(COUNT($N$107:$N$111)=5,SUM($N$107:$N$111),"n.a.")</x:f>
        <x:v>150</x:v>
      </x:c>
      <x:c r="G107" s="22" t="n">
        <x:f>IF(COUNT(E107:F107)=2,MAX(0,E107-F107),"n.a.")</x:f>
        <x:v>350</x:v>
      </x:c>
      <x:c r="H107" s="26" t="str">
        <x:f>'Inputs'!C11</x:f>
        <x:v>Card A</x:v>
      </x:c>
      <x:c r="I107" s="26" t="n">
        <x:f>S102</x:f>
        <x:v>0</x:v>
      </x:c>
      <x:c r="J107" s="29" t="n">
        <x:f>IF('Inputs'!$D$9="Ready",'Inputs'!E11,"n.a.")</x:f>
        <x:v>0.24</x:v>
      </x:c>
      <x:c r="K107" s="26" t="n">
        <x:f>IF('Inputs'!$D$9="Ready",'Inputs'!F11,"n.a.")</x:f>
        <x:v>35</x:v>
      </x:c>
      <x:c r="L107" s="29" t="n">
        <x:f>IF('Inputs'!$D$9="Ready",'Inputs'!G11,"n.a.")</x:f>
        <x:v>0.02</x:v>
      </x:c>
      <x:c r="M107" s="22" t="n">
        <x:f>IF(COUNT(I107:L107)=4,ROUND(I107*J107/12,2),"n.a.")</x:f>
        <x:v>0</x:v>
      </x:c>
      <x:c r="N107" s="22" t="n">
        <x:f>IF(COUNT(I107:M107)=5,MIN(I107+M107,ROUND(MAX(K107,I107*L107+M107),2)),"n.a.")</x:f>
        <x:v>0</x:v>
      </x:c>
      <x:c r="O107" s="30" t="n">
        <x:f>IF(COUNT($I$107:$I$111)&lt;&gt;5,"n.a.",IF(I107=0,6,IF('Inputs'!$D$5=1,COUNTIFS($I$107:$I$111,"&gt;0",$I$107:$I$111,"&lt;"&amp;I107)+COUNTIFS($I$107:I107,I107),COUNTIFS($I$107:$I$111,"&gt;0",$J$107:$J$111,"&gt;"&amp;J107)+COUNTIFS($I$107:I107,"&gt;0",$J$107:J107,J107))))</x:f>
        <x:v>6</x:v>
      </x:c>
      <x:c r="P107" s="22" t="n">
        <x:f>IF(T107="Ready",MIN(U107,MAX(0,G107-SUMIFS($U$107:$U$111,$O$107:$O$111,"&lt;"&amp;O107))),"n.a.")</x:f>
        <x:v>0</x:v>
      </x:c>
      <x:c r="Q107" s="22" t="n">
        <x:f>IF(T107="Ready",ROUND(N107+P107,2),"n.a.")</x:f>
        <x:v>0</x:v>
      </x:c>
      <x:c r="R107" s="22" t="n">
        <x:f>IF(T107="Ready",ROUND(Q107-M107,2),"n.a.")</x:f>
        <x:v>0</x:v>
      </x:c>
      <x:c r="S107" s="22" t="n">
        <x:f>IF(T107="Ready",MAX(0,ROUND(I107+M107-Q107,2)),"n.a.")</x:f>
        <x:v>0</x:v>
      </x:c>
      <x:c r="T107" s="22" t="str">
        <x:f>IF(AND(COUNT($I$107:$I$111)=5,COUNT(E107:F107)=2),IF(E107&gt;=F107,"Ready","Budget below minima"),"Check inputs")</x:f>
        <x:v>Ready</x:v>
      </x:c>
      <x:c r="U107" s="22" t="n">
        <x:f>IF(COUNT(I107,M107,N107)=3,MAX(0,ROUND(I107+M107-N107,2)),"n.a.")</x:f>
        <x:v>0</x:v>
      </x:c>
    </x:row>
    <x:row r="108" ht="22" customHeight="1">
      <x:c r="A108" s="2"/>
      <x:c r="B108" s="2"/>
      <x:c r="C108" s="27" t="n">
        <x:f>21</x:f>
        <x:v>21</x:v>
      </x:c>
      <x:c r="D108" s="28" t="n">
        <x:f>IF(ISNUMBER('Inputs'!$D$7),EDATE('Inputs'!$D$7,20),"n.a.")</x:f>
        <x:v>46935</x:v>
      </x:c>
      <x:c r="E108" s="26" t="n">
        <x:f>IF('Inputs'!$D$9&lt;&gt;"Ready","n.a.",IF(ISNUMBER('Inputs'!E39),IF('Inputs'!E39&gt;=0,'Inputs'!E39,"n.a."),IF('Inputs'!E39="",'Inputs'!$D$6,"n.a.")))</x:f>
        <x:v>500</x:v>
      </x:c>
      <x:c r="F108" s="22" t="n">
        <x:f>IF(COUNT($N$107:$N$111)=5,SUM($N$107:$N$111),"n.a.")</x:f>
        <x:v>150</x:v>
      </x:c>
      <x:c r="G108" s="22" t="n">
        <x:f>IF(COUNT(E108:F108)=2,MAX(0,E108-F108),"n.a.")</x:f>
        <x:v>350</x:v>
      </x:c>
      <x:c r="H108" s="26" t="str">
        <x:f>'Inputs'!C12</x:f>
        <x:v>Card B</x:v>
      </x:c>
      <x:c r="I108" s="26" t="n">
        <x:f>S103</x:f>
        <x:v>0</x:v>
      </x:c>
      <x:c r="J108" s="29" t="n">
        <x:f>IF('Inputs'!$D$9="Ready",'Inputs'!E12,"n.a.")</x:f>
        <x:v>0.18</x:v>
      </x:c>
      <x:c r="K108" s="26" t="n">
        <x:f>IF('Inputs'!$D$9="Ready",'Inputs'!F12,"n.a.")</x:f>
        <x:v>60</x:v>
      </x:c>
      <x:c r="L108" s="29" t="n">
        <x:f>IF('Inputs'!$D$9="Ready",'Inputs'!G12,"n.a.")</x:f>
        <x:v>0.02</x:v>
      </x:c>
      <x:c r="M108" s="22" t="n">
        <x:f>IF(COUNT(I108:L108)=4,ROUND(I108*J108/12,2),"n.a.")</x:f>
        <x:v>0</x:v>
      </x:c>
      <x:c r="N108" s="22" t="n">
        <x:f>IF(COUNT(I108:M108)=5,MIN(I108+M108,ROUND(MAX(K108,I108*L108+M108),2)),"n.a.")</x:f>
        <x:v>0</x:v>
      </x:c>
      <x:c r="O108" s="30" t="n">
        <x:f>IF(COUNT($I$107:$I$111)&lt;&gt;5,"n.a.",IF(I108=0,6,IF('Inputs'!$D$5=1,COUNTIFS($I$107:$I$111,"&gt;0",$I$107:$I$111,"&lt;"&amp;I108)+COUNTIFS($I$107:I108,I108),COUNTIFS($I$107:$I$111,"&gt;0",$J$107:$J$111,"&gt;"&amp;J108)+COUNTIFS($I$107:I108,"&gt;0",$J$107:J108,J108))))</x:f>
        <x:v>6</x:v>
      </x:c>
      <x:c r="P108" s="22" t="n">
        <x:f>IF(T108="Ready",MIN(U108,MAX(0,G108-SUMIFS($U$107:$U$111,$O$107:$O$111,"&lt;"&amp;O108))),"n.a.")</x:f>
        <x:v>0</x:v>
      </x:c>
      <x:c r="Q108" s="22" t="n">
        <x:f>IF(T108="Ready",ROUND(N108+P108,2),"n.a.")</x:f>
        <x:v>0</x:v>
      </x:c>
      <x:c r="R108" s="22" t="n">
        <x:f>IF(T108="Ready",ROUND(Q108-M108,2),"n.a.")</x:f>
        <x:v>0</x:v>
      </x:c>
      <x:c r="S108" s="22" t="n">
        <x:f>IF(T108="Ready",MAX(0,ROUND(I108+M108-Q108,2)),"n.a.")</x:f>
        <x:v>0</x:v>
      </x:c>
      <x:c r="T108" s="22" t="str">
        <x:f>IF(AND(COUNT($I$107:$I$111)=5,COUNT(E108:F108)=2),IF(E108&gt;=F108,"Ready","Budget below minima"),"Check inputs")</x:f>
        <x:v>Ready</x:v>
      </x:c>
      <x:c r="U108" s="22" t="n">
        <x:f>IF(COUNT(I108,M108,N108)=3,MAX(0,ROUND(I108+M108-N108,2)),"n.a.")</x:f>
        <x:v>0</x:v>
      </x:c>
    </x:row>
    <x:row r="109" ht="22" customHeight="1">
      <x:c r="A109" s="2"/>
      <x:c r="B109" s="2"/>
      <x:c r="C109" s="27" t="n">
        <x:f>21</x:f>
        <x:v>21</x:v>
      </x:c>
      <x:c r="D109" s="28" t="n">
        <x:f>IF(ISNUMBER('Inputs'!$D$7),EDATE('Inputs'!$D$7,20),"n.a.")</x:f>
        <x:v>46935</x:v>
      </x:c>
      <x:c r="E109" s="26" t="n">
        <x:f>IF('Inputs'!$D$9&lt;&gt;"Ready","n.a.",IF(ISNUMBER('Inputs'!E39),IF('Inputs'!E39&gt;=0,'Inputs'!E39,"n.a."),IF('Inputs'!E39="",'Inputs'!$D$6,"n.a.")))</x:f>
        <x:v>500</x:v>
      </x:c>
      <x:c r="F109" s="22" t="n">
        <x:f>IF(COUNT($N$107:$N$111)=5,SUM($N$107:$N$111),"n.a.")</x:f>
        <x:v>150</x:v>
      </x:c>
      <x:c r="G109" s="22" t="n">
        <x:f>IF(COUNT(E109:F109)=2,MAX(0,E109-F109),"n.a.")</x:f>
        <x:v>350</x:v>
      </x:c>
      <x:c r="H109" s="26" t="str">
        <x:f>'Inputs'!C13</x:f>
        <x:v>Loan C</x:v>
      </x:c>
      <x:c r="I109" s="26" t="n">
        <x:f>S104</x:f>
        <x:v>156.92</x:v>
      </x:c>
      <x:c r="J109" s="29" t="n">
        <x:f>IF('Inputs'!$D$9="Ready",'Inputs'!E13,"n.a.")</x:f>
        <x:v>0.08</x:v>
      </x:c>
      <x:c r="K109" s="26" t="n">
        <x:f>IF('Inputs'!$D$9="Ready",'Inputs'!F13,"n.a.")</x:f>
        <x:v>150</x:v>
      </x:c>
      <x:c r="L109" s="29" t="n">
        <x:f>IF('Inputs'!$D$9="Ready",'Inputs'!G13,"n.a.")</x:f>
        <x:v>0</x:v>
      </x:c>
      <x:c r="M109" s="22" t="n">
        <x:f>IF(COUNT(I109:L109)=4,ROUND(I109*J109/12,2),"n.a.")</x:f>
        <x:v>1.05</x:v>
      </x:c>
      <x:c r="N109" s="22" t="n">
        <x:f>IF(COUNT(I109:M109)=5,MIN(I109+M109,ROUND(MAX(K109,I109*L109+M109),2)),"n.a.")</x:f>
        <x:v>150</x:v>
      </x:c>
      <x:c r="O109" s="30" t="n">
        <x:f>IF(COUNT($I$107:$I$111)&lt;&gt;5,"n.a.",IF(I109=0,6,IF('Inputs'!$D$5=1,COUNTIFS($I$107:$I$111,"&gt;0",$I$107:$I$111,"&lt;"&amp;I109)+COUNTIFS($I$107:I109,I109),COUNTIFS($I$107:$I$111,"&gt;0",$J$107:$J$111,"&gt;"&amp;J109)+COUNTIFS($I$107:I109,"&gt;0",$J$107:J109,J109))))</x:f>
        <x:v>1</x:v>
      </x:c>
      <x:c r="P109" s="22" t="n">
        <x:f>IF(T109="Ready",MIN(U109,MAX(0,G109-SUMIFS($U$107:$U$111,$O$107:$O$111,"&lt;"&amp;O109))),"n.a.")</x:f>
        <x:v>7.97</x:v>
      </x:c>
      <x:c r="Q109" s="22" t="n">
        <x:f>IF(T109="Ready",ROUND(N109+P109,2),"n.a.")</x:f>
        <x:v>157.97</x:v>
      </x:c>
      <x:c r="R109" s="22" t="n">
        <x:f>IF(T109="Ready",ROUND(Q109-M109,2),"n.a.")</x:f>
        <x:v>156.92</x:v>
      </x:c>
      <x:c r="S109" s="22" t="n">
        <x:f>IF(T109="Ready",MAX(0,ROUND(I109+M109-Q109,2)),"n.a.")</x:f>
        <x:v>0</x:v>
      </x:c>
      <x:c r="T109" s="22" t="str">
        <x:f>IF(AND(COUNT($I$107:$I$111)=5,COUNT(E109:F109)=2),IF(E109&gt;=F109,"Ready","Budget below minima"),"Check inputs")</x:f>
        <x:v>Ready</x:v>
      </x:c>
      <x:c r="U109" s="22" t="n">
        <x:f>IF(COUNT(I109,M109,N109)=3,MAX(0,ROUND(I109+M109-N109,2)),"n.a.")</x:f>
        <x:v>7.97</x:v>
      </x:c>
    </x:row>
    <x:row r="110" ht="22" customHeight="1">
      <x:c r="A110" s="2"/>
      <x:c r="B110" s="2"/>
      <x:c r="C110" s="27" t="n">
        <x:f>21</x:f>
        <x:v>21</x:v>
      </x:c>
      <x:c r="D110" s="28" t="n">
        <x:f>IF(ISNUMBER('Inputs'!$D$7),EDATE('Inputs'!$D$7,20),"n.a.")</x:f>
        <x:v>46935</x:v>
      </x:c>
      <x:c r="E110" s="26" t="n">
        <x:f>IF('Inputs'!$D$9&lt;&gt;"Ready","n.a.",IF(ISNUMBER('Inputs'!E39),IF('Inputs'!E39&gt;=0,'Inputs'!E39,"n.a."),IF('Inputs'!E39="",'Inputs'!$D$6,"n.a.")))</x:f>
        <x:v>500</x:v>
      </x:c>
      <x:c r="F110" s="22" t="n">
        <x:f>IF(COUNT($N$107:$N$111)=5,SUM($N$107:$N$111),"n.a.")</x:f>
        <x:v>150</x:v>
      </x:c>
      <x:c r="G110" s="22" t="n">
        <x:f>IF(COUNT(E110:F110)=2,MAX(0,E110-F110),"n.a.")</x:f>
        <x:v>350</x:v>
      </x:c>
      <x:c r="H110" s="26" t="str">
        <x:f>'Inputs'!C14</x:f>
        <x:v>Unused 4</x:v>
      </x:c>
      <x:c r="I110" s="26" t="n">
        <x:f>S105</x:f>
        <x:v>0</x:v>
      </x:c>
      <x:c r="J110" s="29" t="n">
        <x:f>IF('Inputs'!$D$9="Ready",'Inputs'!E14,"n.a.")</x:f>
        <x:v>0</x:v>
      </x:c>
      <x:c r="K110" s="26" t="n">
        <x:f>IF('Inputs'!$D$9="Ready",'Inputs'!F14,"n.a.")</x:f>
        <x:v>0</x:v>
      </x:c>
      <x:c r="L110" s="29" t="n">
        <x:f>IF('Inputs'!$D$9="Ready",'Inputs'!G14,"n.a.")</x:f>
        <x:v>0</x:v>
      </x:c>
      <x:c r="M110" s="22" t="n">
        <x:f>IF(COUNT(I110:L110)=4,ROUND(I110*J110/12,2),"n.a.")</x:f>
        <x:v>0</x:v>
      </x:c>
      <x:c r="N110" s="22" t="n">
        <x:f>IF(COUNT(I110:M110)=5,MIN(I110+M110,ROUND(MAX(K110,I110*L110+M110),2)),"n.a.")</x:f>
        <x:v>0</x:v>
      </x:c>
      <x:c r="O110" s="30" t="n">
        <x:f>IF(COUNT($I$107:$I$111)&lt;&gt;5,"n.a.",IF(I110=0,6,IF('Inputs'!$D$5=1,COUNTIFS($I$107:$I$111,"&gt;0",$I$107:$I$111,"&lt;"&amp;I110)+COUNTIFS($I$107:I110,I110),COUNTIFS($I$107:$I$111,"&gt;0",$J$107:$J$111,"&gt;"&amp;J110)+COUNTIFS($I$107:I110,"&gt;0",$J$107:J110,J110))))</x:f>
        <x:v>6</x:v>
      </x:c>
      <x:c r="P110" s="22" t="n">
        <x:f>IF(T110="Ready",MIN(U110,MAX(0,G110-SUMIFS($U$107:$U$111,$O$107:$O$111,"&lt;"&amp;O110))),"n.a.")</x:f>
        <x:v>0</x:v>
      </x:c>
      <x:c r="Q110" s="22" t="n">
        <x:f>IF(T110="Ready",ROUND(N110+P110,2),"n.a.")</x:f>
        <x:v>0</x:v>
      </x:c>
      <x:c r="R110" s="22" t="n">
        <x:f>IF(T110="Ready",ROUND(Q110-M110,2),"n.a.")</x:f>
        <x:v>0</x:v>
      </x:c>
      <x:c r="S110" s="22" t="n">
        <x:f>IF(T110="Ready",MAX(0,ROUND(I110+M110-Q110,2)),"n.a.")</x:f>
        <x:v>0</x:v>
      </x:c>
      <x:c r="T110" s="22" t="str">
        <x:f>IF(AND(COUNT($I$107:$I$111)=5,COUNT(E110:F110)=2),IF(E110&gt;=F110,"Ready","Budget below minima"),"Check inputs")</x:f>
        <x:v>Ready</x:v>
      </x:c>
      <x:c r="U110" s="22" t="n">
        <x:f>IF(COUNT(I110,M110,N110)=3,MAX(0,ROUND(I110+M110-N110,2)),"n.a.")</x:f>
        <x:v>0</x:v>
      </x:c>
    </x:row>
    <x:row r="111" ht="22" customHeight="1">
      <x:c r="A111" s="2"/>
      <x:c r="B111" s="2"/>
      <x:c r="C111" s="27" t="n">
        <x:f>21</x:f>
        <x:v>21</x:v>
      </x:c>
      <x:c r="D111" s="28" t="n">
        <x:f>IF(ISNUMBER('Inputs'!$D$7),EDATE('Inputs'!$D$7,20),"n.a.")</x:f>
        <x:v>46935</x:v>
      </x:c>
      <x:c r="E111" s="26" t="n">
        <x:f>IF('Inputs'!$D$9&lt;&gt;"Ready","n.a.",IF(ISNUMBER('Inputs'!E39),IF('Inputs'!E39&gt;=0,'Inputs'!E39,"n.a."),IF('Inputs'!E39="",'Inputs'!$D$6,"n.a.")))</x:f>
        <x:v>500</x:v>
      </x:c>
      <x:c r="F111" s="22" t="n">
        <x:f>IF(COUNT($N$107:$N$111)=5,SUM($N$107:$N$111),"n.a.")</x:f>
        <x:v>150</x:v>
      </x:c>
      <x:c r="G111" s="22" t="n">
        <x:f>IF(COUNT(E111:F111)=2,MAX(0,E111-F111),"n.a.")</x:f>
        <x:v>350</x:v>
      </x:c>
      <x:c r="H111" s="26" t="str">
        <x:f>'Inputs'!C15</x:f>
        <x:v>Unused 5</x:v>
      </x:c>
      <x:c r="I111" s="26" t="n">
        <x:f>S106</x:f>
        <x:v>0</x:v>
      </x:c>
      <x:c r="J111" s="29" t="n">
        <x:f>IF('Inputs'!$D$9="Ready",'Inputs'!E15,"n.a.")</x:f>
        <x:v>0</x:v>
      </x:c>
      <x:c r="K111" s="26" t="n">
        <x:f>IF('Inputs'!$D$9="Ready",'Inputs'!F15,"n.a.")</x:f>
        <x:v>0</x:v>
      </x:c>
      <x:c r="L111" s="29" t="n">
        <x:f>IF('Inputs'!$D$9="Ready",'Inputs'!G15,"n.a.")</x:f>
        <x:v>0</x:v>
      </x:c>
      <x:c r="M111" s="22" t="n">
        <x:f>IF(COUNT(I111:L111)=4,ROUND(I111*J111/12,2),"n.a.")</x:f>
        <x:v>0</x:v>
      </x:c>
      <x:c r="N111" s="22" t="n">
        <x:f>IF(COUNT(I111:M111)=5,MIN(I111+M111,ROUND(MAX(K111,I111*L111+M111),2)),"n.a.")</x:f>
        <x:v>0</x:v>
      </x:c>
      <x:c r="O111" s="30" t="n">
        <x:f>IF(COUNT($I$107:$I$111)&lt;&gt;5,"n.a.",IF(I111=0,6,IF('Inputs'!$D$5=1,COUNTIFS($I$107:$I$111,"&gt;0",$I$107:$I$111,"&lt;"&amp;I111)+COUNTIFS($I$107:I111,I111),COUNTIFS($I$107:$I$111,"&gt;0",$J$107:$J$111,"&gt;"&amp;J111)+COUNTIFS($I$107:I111,"&gt;0",$J$107:J111,J111))))</x:f>
        <x:v>6</x:v>
      </x:c>
      <x:c r="P111" s="22" t="n">
        <x:f>IF(T111="Ready",MIN(U111,MAX(0,G111-SUMIFS($U$107:$U$111,$O$107:$O$111,"&lt;"&amp;O111))),"n.a.")</x:f>
        <x:v>0</x:v>
      </x:c>
      <x:c r="Q111" s="22" t="n">
        <x:f>IF(T111="Ready",ROUND(N111+P111,2),"n.a.")</x:f>
        <x:v>0</x:v>
      </x:c>
      <x:c r="R111" s="22" t="n">
        <x:f>IF(T111="Ready",ROUND(Q111-M111,2),"n.a.")</x:f>
        <x:v>0</x:v>
      </x:c>
      <x:c r="S111" s="22" t="n">
        <x:f>IF(T111="Ready",MAX(0,ROUND(I111+M111-Q111,2)),"n.a.")</x:f>
        <x:v>0</x:v>
      </x:c>
      <x:c r="T111" s="22" t="str">
        <x:f>IF(AND(COUNT($I$107:$I$111)=5,COUNT(E111:F111)=2),IF(E111&gt;=F111,"Ready","Budget below minima"),"Check inputs")</x:f>
        <x:v>Ready</x:v>
      </x:c>
      <x:c r="U111" s="22" t="n">
        <x:f>IF(COUNT(I111,M111,N111)=3,MAX(0,ROUND(I111+M111-N111,2)),"n.a.")</x:f>
        <x:v>0</x:v>
      </x:c>
    </x:row>
    <x:row r="112" ht="22" customHeight="1">
      <x:c r="A112" s="2"/>
      <x:c r="B112" s="2"/>
      <x:c r="C112" s="27" t="n">
        <x:f>22</x:f>
        <x:v>22</x:v>
      </x:c>
      <x:c r="D112" s="28" t="n">
        <x:f>IF(ISNUMBER('Inputs'!$D$7),EDATE('Inputs'!$D$7,21),"n.a.")</x:f>
        <x:v>46966</x:v>
      </x:c>
      <x:c r="E112" s="26" t="n">
        <x:f>IF('Inputs'!$D$9&lt;&gt;"Ready","n.a.",IF(ISNUMBER('Inputs'!E40),IF('Inputs'!E40&gt;=0,'Inputs'!E40,"n.a."),IF('Inputs'!E40="",'Inputs'!$D$6,"n.a.")))</x:f>
        <x:v>500</x:v>
      </x:c>
      <x:c r="F112" s="22" t="n">
        <x:f>IF(COUNT($N$112:$N$116)=5,SUM($N$112:$N$116),"n.a.")</x:f>
        <x:v>0</x:v>
      </x:c>
      <x:c r="G112" s="22" t="n">
        <x:f>IF(COUNT(E112:F112)=2,MAX(0,E112-F112),"n.a.")</x:f>
        <x:v>500</x:v>
      </x:c>
      <x:c r="H112" s="26" t="str">
        <x:f>'Inputs'!C11</x:f>
        <x:v>Card A</x:v>
      </x:c>
      <x:c r="I112" s="26" t="n">
        <x:f>S107</x:f>
        <x:v>0</x:v>
      </x:c>
      <x:c r="J112" s="29" t="n">
        <x:f>IF('Inputs'!$D$9="Ready",'Inputs'!E11,"n.a.")</x:f>
        <x:v>0.24</x:v>
      </x:c>
      <x:c r="K112" s="26" t="n">
        <x:f>IF('Inputs'!$D$9="Ready",'Inputs'!F11,"n.a.")</x:f>
        <x:v>35</x:v>
      </x:c>
      <x:c r="L112" s="29" t="n">
        <x:f>IF('Inputs'!$D$9="Ready",'Inputs'!G11,"n.a.")</x:f>
        <x:v>0.02</x:v>
      </x:c>
      <x:c r="M112" s="22" t="n">
        <x:f>IF(COUNT(I112:L112)=4,ROUND(I112*J112/12,2),"n.a.")</x:f>
        <x:v>0</x:v>
      </x:c>
      <x:c r="N112" s="22" t="n">
        <x:f>IF(COUNT(I112:M112)=5,MIN(I112+M112,ROUND(MAX(K112,I112*L112+M112),2)),"n.a.")</x:f>
        <x:v>0</x:v>
      </x:c>
      <x:c r="O112" s="30" t="n">
        <x:f>IF(COUNT($I$112:$I$116)&lt;&gt;5,"n.a.",IF(I112=0,6,IF('Inputs'!$D$5=1,COUNTIFS($I$112:$I$116,"&gt;0",$I$112:$I$116,"&lt;"&amp;I112)+COUNTIFS($I$112:I112,I112),COUNTIFS($I$112:$I$116,"&gt;0",$J$112:$J$116,"&gt;"&amp;J112)+COUNTIFS($I$112:I112,"&gt;0",$J$112:J112,J112))))</x:f>
        <x:v>6</x:v>
      </x:c>
      <x:c r="P112" s="22" t="n">
        <x:f>IF(T112="Ready",MIN(U112,MAX(0,G112-SUMIFS($U$112:$U$116,$O$112:$O$116,"&lt;"&amp;O112))),"n.a.")</x:f>
        <x:v>0</x:v>
      </x:c>
      <x:c r="Q112" s="22" t="n">
        <x:f>IF(T112="Ready",ROUND(N112+P112,2),"n.a.")</x:f>
        <x:v>0</x:v>
      </x:c>
      <x:c r="R112" s="22" t="n">
        <x:f>IF(T112="Ready",ROUND(Q112-M112,2),"n.a.")</x:f>
        <x:v>0</x:v>
      </x:c>
      <x:c r="S112" s="22" t="n">
        <x:f>IF(T112="Ready",MAX(0,ROUND(I112+M112-Q112,2)),"n.a.")</x:f>
        <x:v>0</x:v>
      </x:c>
      <x:c r="T112" s="22" t="str">
        <x:f>IF(AND(COUNT($I$112:$I$116)=5,COUNT(E112:F112)=2),IF(E112&gt;=F112,"Ready","Budget below minima"),"Check inputs")</x:f>
        <x:v>Ready</x:v>
      </x:c>
      <x:c r="U112" s="22" t="n">
        <x:f>IF(COUNT(I112,M112,N112)=3,MAX(0,ROUND(I112+M112-N112,2)),"n.a.")</x:f>
        <x:v>0</x:v>
      </x:c>
    </x:row>
    <x:row r="113" ht="22" customHeight="1">
      <x:c r="A113" s="2"/>
      <x:c r="B113" s="2"/>
      <x:c r="C113" s="27" t="n">
        <x:f>22</x:f>
        <x:v>22</x:v>
      </x:c>
      <x:c r="D113" s="28" t="n">
        <x:f>IF(ISNUMBER('Inputs'!$D$7),EDATE('Inputs'!$D$7,21),"n.a.")</x:f>
        <x:v>46966</x:v>
      </x:c>
      <x:c r="E113" s="26" t="n">
        <x:f>IF('Inputs'!$D$9&lt;&gt;"Ready","n.a.",IF(ISNUMBER('Inputs'!E40),IF('Inputs'!E40&gt;=0,'Inputs'!E40,"n.a."),IF('Inputs'!E40="",'Inputs'!$D$6,"n.a.")))</x:f>
        <x:v>500</x:v>
      </x:c>
      <x:c r="F113" s="22" t="n">
        <x:f>IF(COUNT($N$112:$N$116)=5,SUM($N$112:$N$116),"n.a.")</x:f>
        <x:v>0</x:v>
      </x:c>
      <x:c r="G113" s="22" t="n">
        <x:f>IF(COUNT(E113:F113)=2,MAX(0,E113-F113),"n.a.")</x:f>
        <x:v>500</x:v>
      </x:c>
      <x:c r="H113" s="26" t="str">
        <x:f>'Inputs'!C12</x:f>
        <x:v>Card B</x:v>
      </x:c>
      <x:c r="I113" s="26" t="n">
        <x:f>S108</x:f>
        <x:v>0</x:v>
      </x:c>
      <x:c r="J113" s="29" t="n">
        <x:f>IF('Inputs'!$D$9="Ready",'Inputs'!E12,"n.a.")</x:f>
        <x:v>0.18</x:v>
      </x:c>
      <x:c r="K113" s="26" t="n">
        <x:f>IF('Inputs'!$D$9="Ready",'Inputs'!F12,"n.a.")</x:f>
        <x:v>60</x:v>
      </x:c>
      <x:c r="L113" s="29" t="n">
        <x:f>IF('Inputs'!$D$9="Ready",'Inputs'!G12,"n.a.")</x:f>
        <x:v>0.02</x:v>
      </x:c>
      <x:c r="M113" s="22" t="n">
        <x:f>IF(COUNT(I113:L113)=4,ROUND(I113*J113/12,2),"n.a.")</x:f>
        <x:v>0</x:v>
      </x:c>
      <x:c r="N113" s="22" t="n">
        <x:f>IF(COUNT(I113:M113)=5,MIN(I113+M113,ROUND(MAX(K113,I113*L113+M113),2)),"n.a.")</x:f>
        <x:v>0</x:v>
      </x:c>
      <x:c r="O113" s="30" t="n">
        <x:f>IF(COUNT($I$112:$I$116)&lt;&gt;5,"n.a.",IF(I113=0,6,IF('Inputs'!$D$5=1,COUNTIFS($I$112:$I$116,"&gt;0",$I$112:$I$116,"&lt;"&amp;I113)+COUNTIFS($I$112:I113,I113),COUNTIFS($I$112:$I$116,"&gt;0",$J$112:$J$116,"&gt;"&amp;J113)+COUNTIFS($I$112:I113,"&gt;0",$J$112:J113,J113))))</x:f>
        <x:v>6</x:v>
      </x:c>
      <x:c r="P113" s="22" t="n">
        <x:f>IF(T113="Ready",MIN(U113,MAX(0,G113-SUMIFS($U$112:$U$116,$O$112:$O$116,"&lt;"&amp;O113))),"n.a.")</x:f>
        <x:v>0</x:v>
      </x:c>
      <x:c r="Q113" s="22" t="n">
        <x:f>IF(T113="Ready",ROUND(N113+P113,2),"n.a.")</x:f>
        <x:v>0</x:v>
      </x:c>
      <x:c r="R113" s="22" t="n">
        <x:f>IF(T113="Ready",ROUND(Q113-M113,2),"n.a.")</x:f>
        <x:v>0</x:v>
      </x:c>
      <x:c r="S113" s="22" t="n">
        <x:f>IF(T113="Ready",MAX(0,ROUND(I113+M113-Q113,2)),"n.a.")</x:f>
        <x:v>0</x:v>
      </x:c>
      <x:c r="T113" s="22" t="str">
        <x:f>IF(AND(COUNT($I$112:$I$116)=5,COUNT(E113:F113)=2),IF(E113&gt;=F113,"Ready","Budget below minima"),"Check inputs")</x:f>
        <x:v>Ready</x:v>
      </x:c>
      <x:c r="U113" s="22" t="n">
        <x:f>IF(COUNT(I113,M113,N113)=3,MAX(0,ROUND(I113+M113-N113,2)),"n.a.")</x:f>
        <x:v>0</x:v>
      </x:c>
    </x:row>
    <x:row r="114" ht="22" customHeight="1">
      <x:c r="A114" s="2"/>
      <x:c r="B114" s="2"/>
      <x:c r="C114" s="27" t="n">
        <x:f>22</x:f>
        <x:v>22</x:v>
      </x:c>
      <x:c r="D114" s="28" t="n">
        <x:f>IF(ISNUMBER('Inputs'!$D$7),EDATE('Inputs'!$D$7,21),"n.a.")</x:f>
        <x:v>46966</x:v>
      </x:c>
      <x:c r="E114" s="26" t="n">
        <x:f>IF('Inputs'!$D$9&lt;&gt;"Ready","n.a.",IF(ISNUMBER('Inputs'!E40),IF('Inputs'!E40&gt;=0,'Inputs'!E40,"n.a."),IF('Inputs'!E40="",'Inputs'!$D$6,"n.a.")))</x:f>
        <x:v>500</x:v>
      </x:c>
      <x:c r="F114" s="22" t="n">
        <x:f>IF(COUNT($N$112:$N$116)=5,SUM($N$112:$N$116),"n.a.")</x:f>
        <x:v>0</x:v>
      </x:c>
      <x:c r="G114" s="22" t="n">
        <x:f>IF(COUNT(E114:F114)=2,MAX(0,E114-F114),"n.a.")</x:f>
        <x:v>500</x:v>
      </x:c>
      <x:c r="H114" s="26" t="str">
        <x:f>'Inputs'!C13</x:f>
        <x:v>Loan C</x:v>
      </x:c>
      <x:c r="I114" s="26" t="n">
        <x:f>S109</x:f>
        <x:v>0</x:v>
      </x:c>
      <x:c r="J114" s="29" t="n">
        <x:f>IF('Inputs'!$D$9="Ready",'Inputs'!E13,"n.a.")</x:f>
        <x:v>0.08</x:v>
      </x:c>
      <x:c r="K114" s="26" t="n">
        <x:f>IF('Inputs'!$D$9="Ready",'Inputs'!F13,"n.a.")</x:f>
        <x:v>150</x:v>
      </x:c>
      <x:c r="L114" s="29" t="n">
        <x:f>IF('Inputs'!$D$9="Ready",'Inputs'!G13,"n.a.")</x:f>
        <x:v>0</x:v>
      </x:c>
      <x:c r="M114" s="22" t="n">
        <x:f>IF(COUNT(I114:L114)=4,ROUND(I114*J114/12,2),"n.a.")</x:f>
        <x:v>0</x:v>
      </x:c>
      <x:c r="N114" s="22" t="n">
        <x:f>IF(COUNT(I114:M114)=5,MIN(I114+M114,ROUND(MAX(K114,I114*L114+M114),2)),"n.a.")</x:f>
        <x:v>0</x:v>
      </x:c>
      <x:c r="O114" s="30" t="n">
        <x:f>IF(COUNT($I$112:$I$116)&lt;&gt;5,"n.a.",IF(I114=0,6,IF('Inputs'!$D$5=1,COUNTIFS($I$112:$I$116,"&gt;0",$I$112:$I$116,"&lt;"&amp;I114)+COUNTIFS($I$112:I114,I114),COUNTIFS($I$112:$I$116,"&gt;0",$J$112:$J$116,"&gt;"&amp;J114)+COUNTIFS($I$112:I114,"&gt;0",$J$112:J114,J114))))</x:f>
        <x:v>6</x:v>
      </x:c>
      <x:c r="P114" s="22" t="n">
        <x:f>IF(T114="Ready",MIN(U114,MAX(0,G114-SUMIFS($U$112:$U$116,$O$112:$O$116,"&lt;"&amp;O114))),"n.a.")</x:f>
        <x:v>0</x:v>
      </x:c>
      <x:c r="Q114" s="22" t="n">
        <x:f>IF(T114="Ready",ROUND(N114+P114,2),"n.a.")</x:f>
        <x:v>0</x:v>
      </x:c>
      <x:c r="R114" s="22" t="n">
        <x:f>IF(T114="Ready",ROUND(Q114-M114,2),"n.a.")</x:f>
        <x:v>0</x:v>
      </x:c>
      <x:c r="S114" s="22" t="n">
        <x:f>IF(T114="Ready",MAX(0,ROUND(I114+M114-Q114,2)),"n.a.")</x:f>
        <x:v>0</x:v>
      </x:c>
      <x:c r="T114" s="22" t="str">
        <x:f>IF(AND(COUNT($I$112:$I$116)=5,COUNT(E114:F114)=2),IF(E114&gt;=F114,"Ready","Budget below minima"),"Check inputs")</x:f>
        <x:v>Ready</x:v>
      </x:c>
      <x:c r="U114" s="22" t="n">
        <x:f>IF(COUNT(I114,M114,N114)=3,MAX(0,ROUND(I114+M114-N114,2)),"n.a.")</x:f>
        <x:v>0</x:v>
      </x:c>
    </x:row>
    <x:row r="115" ht="22" customHeight="1">
      <x:c r="A115" s="2"/>
      <x:c r="B115" s="2"/>
      <x:c r="C115" s="27" t="n">
        <x:f>22</x:f>
        <x:v>22</x:v>
      </x:c>
      <x:c r="D115" s="28" t="n">
        <x:f>IF(ISNUMBER('Inputs'!$D$7),EDATE('Inputs'!$D$7,21),"n.a.")</x:f>
        <x:v>46966</x:v>
      </x:c>
      <x:c r="E115" s="26" t="n">
        <x:f>IF('Inputs'!$D$9&lt;&gt;"Ready","n.a.",IF(ISNUMBER('Inputs'!E40),IF('Inputs'!E40&gt;=0,'Inputs'!E40,"n.a."),IF('Inputs'!E40="",'Inputs'!$D$6,"n.a.")))</x:f>
        <x:v>500</x:v>
      </x:c>
      <x:c r="F115" s="22" t="n">
        <x:f>IF(COUNT($N$112:$N$116)=5,SUM($N$112:$N$116),"n.a.")</x:f>
        <x:v>0</x:v>
      </x:c>
      <x:c r="G115" s="22" t="n">
        <x:f>IF(COUNT(E115:F115)=2,MAX(0,E115-F115),"n.a.")</x:f>
        <x:v>500</x:v>
      </x:c>
      <x:c r="H115" s="26" t="str">
        <x:f>'Inputs'!C14</x:f>
        <x:v>Unused 4</x:v>
      </x:c>
      <x:c r="I115" s="26" t="n">
        <x:f>S110</x:f>
        <x:v>0</x:v>
      </x:c>
      <x:c r="J115" s="29" t="n">
        <x:f>IF('Inputs'!$D$9="Ready",'Inputs'!E14,"n.a.")</x:f>
        <x:v>0</x:v>
      </x:c>
      <x:c r="K115" s="26" t="n">
        <x:f>IF('Inputs'!$D$9="Ready",'Inputs'!F14,"n.a.")</x:f>
        <x:v>0</x:v>
      </x:c>
      <x:c r="L115" s="29" t="n">
        <x:f>IF('Inputs'!$D$9="Ready",'Inputs'!G14,"n.a.")</x:f>
        <x:v>0</x:v>
      </x:c>
      <x:c r="M115" s="22" t="n">
        <x:f>IF(COUNT(I115:L115)=4,ROUND(I115*J115/12,2),"n.a.")</x:f>
        <x:v>0</x:v>
      </x:c>
      <x:c r="N115" s="22" t="n">
        <x:f>IF(COUNT(I115:M115)=5,MIN(I115+M115,ROUND(MAX(K115,I115*L115+M115),2)),"n.a.")</x:f>
        <x:v>0</x:v>
      </x:c>
      <x:c r="O115" s="30" t="n">
        <x:f>IF(COUNT($I$112:$I$116)&lt;&gt;5,"n.a.",IF(I115=0,6,IF('Inputs'!$D$5=1,COUNTIFS($I$112:$I$116,"&gt;0",$I$112:$I$116,"&lt;"&amp;I115)+COUNTIFS($I$112:I115,I115),COUNTIFS($I$112:$I$116,"&gt;0",$J$112:$J$116,"&gt;"&amp;J115)+COUNTIFS($I$112:I115,"&gt;0",$J$112:J115,J115))))</x:f>
        <x:v>6</x:v>
      </x:c>
      <x:c r="P115" s="22" t="n">
        <x:f>IF(T115="Ready",MIN(U115,MAX(0,G115-SUMIFS($U$112:$U$116,$O$112:$O$116,"&lt;"&amp;O115))),"n.a.")</x:f>
        <x:v>0</x:v>
      </x:c>
      <x:c r="Q115" s="22" t="n">
        <x:f>IF(T115="Ready",ROUND(N115+P115,2),"n.a.")</x:f>
        <x:v>0</x:v>
      </x:c>
      <x:c r="R115" s="22" t="n">
        <x:f>IF(T115="Ready",ROUND(Q115-M115,2),"n.a.")</x:f>
        <x:v>0</x:v>
      </x:c>
      <x:c r="S115" s="22" t="n">
        <x:f>IF(T115="Ready",MAX(0,ROUND(I115+M115-Q115,2)),"n.a.")</x:f>
        <x:v>0</x:v>
      </x:c>
      <x:c r="T115" s="22" t="str">
        <x:f>IF(AND(COUNT($I$112:$I$116)=5,COUNT(E115:F115)=2),IF(E115&gt;=F115,"Ready","Budget below minima"),"Check inputs")</x:f>
        <x:v>Ready</x:v>
      </x:c>
      <x:c r="U115" s="22" t="n">
        <x:f>IF(COUNT(I115,M115,N115)=3,MAX(0,ROUND(I115+M115-N115,2)),"n.a.")</x:f>
        <x:v>0</x:v>
      </x:c>
    </x:row>
    <x:row r="116" ht="22" customHeight="1">
      <x:c r="A116" s="2"/>
      <x:c r="B116" s="2"/>
      <x:c r="C116" s="27" t="n">
        <x:f>22</x:f>
        <x:v>22</x:v>
      </x:c>
      <x:c r="D116" s="28" t="n">
        <x:f>IF(ISNUMBER('Inputs'!$D$7),EDATE('Inputs'!$D$7,21),"n.a.")</x:f>
        <x:v>46966</x:v>
      </x:c>
      <x:c r="E116" s="26" t="n">
        <x:f>IF('Inputs'!$D$9&lt;&gt;"Ready","n.a.",IF(ISNUMBER('Inputs'!E40),IF('Inputs'!E40&gt;=0,'Inputs'!E40,"n.a."),IF('Inputs'!E40="",'Inputs'!$D$6,"n.a.")))</x:f>
        <x:v>500</x:v>
      </x:c>
      <x:c r="F116" s="22" t="n">
        <x:f>IF(COUNT($N$112:$N$116)=5,SUM($N$112:$N$116),"n.a.")</x:f>
        <x:v>0</x:v>
      </x:c>
      <x:c r="G116" s="22" t="n">
        <x:f>IF(COUNT(E116:F116)=2,MAX(0,E116-F116),"n.a.")</x:f>
        <x:v>500</x:v>
      </x:c>
      <x:c r="H116" s="26" t="str">
        <x:f>'Inputs'!C15</x:f>
        <x:v>Unused 5</x:v>
      </x:c>
      <x:c r="I116" s="26" t="n">
        <x:f>S111</x:f>
        <x:v>0</x:v>
      </x:c>
      <x:c r="J116" s="29" t="n">
        <x:f>IF('Inputs'!$D$9="Ready",'Inputs'!E15,"n.a.")</x:f>
        <x:v>0</x:v>
      </x:c>
      <x:c r="K116" s="26" t="n">
        <x:f>IF('Inputs'!$D$9="Ready",'Inputs'!F15,"n.a.")</x:f>
        <x:v>0</x:v>
      </x:c>
      <x:c r="L116" s="29" t="n">
        <x:f>IF('Inputs'!$D$9="Ready",'Inputs'!G15,"n.a.")</x:f>
        <x:v>0</x:v>
      </x:c>
      <x:c r="M116" s="22" t="n">
        <x:f>IF(COUNT(I116:L116)=4,ROUND(I116*J116/12,2),"n.a.")</x:f>
        <x:v>0</x:v>
      </x:c>
      <x:c r="N116" s="22" t="n">
        <x:f>IF(COUNT(I116:M116)=5,MIN(I116+M116,ROUND(MAX(K116,I116*L116+M116),2)),"n.a.")</x:f>
        <x:v>0</x:v>
      </x:c>
      <x:c r="O116" s="30" t="n">
        <x:f>IF(COUNT($I$112:$I$116)&lt;&gt;5,"n.a.",IF(I116=0,6,IF('Inputs'!$D$5=1,COUNTIFS($I$112:$I$116,"&gt;0",$I$112:$I$116,"&lt;"&amp;I116)+COUNTIFS($I$112:I116,I116),COUNTIFS($I$112:$I$116,"&gt;0",$J$112:$J$116,"&gt;"&amp;J116)+COUNTIFS($I$112:I116,"&gt;0",$J$112:J116,J116))))</x:f>
        <x:v>6</x:v>
      </x:c>
      <x:c r="P116" s="22" t="n">
        <x:f>IF(T116="Ready",MIN(U116,MAX(0,G116-SUMIFS($U$112:$U$116,$O$112:$O$116,"&lt;"&amp;O116))),"n.a.")</x:f>
        <x:v>0</x:v>
      </x:c>
      <x:c r="Q116" s="22" t="n">
        <x:f>IF(T116="Ready",ROUND(N116+P116,2),"n.a.")</x:f>
        <x:v>0</x:v>
      </x:c>
      <x:c r="R116" s="22" t="n">
        <x:f>IF(T116="Ready",ROUND(Q116-M116,2),"n.a.")</x:f>
        <x:v>0</x:v>
      </x:c>
      <x:c r="S116" s="22" t="n">
        <x:f>IF(T116="Ready",MAX(0,ROUND(I116+M116-Q116,2)),"n.a.")</x:f>
        <x:v>0</x:v>
      </x:c>
      <x:c r="T116" s="22" t="str">
        <x:f>IF(AND(COUNT($I$112:$I$116)=5,COUNT(E116:F116)=2),IF(E116&gt;=F116,"Ready","Budget below minima"),"Check inputs")</x:f>
        <x:v>Ready</x:v>
      </x:c>
      <x:c r="U116" s="22" t="n">
        <x:f>IF(COUNT(I116,M116,N116)=3,MAX(0,ROUND(I116+M116-N116,2)),"n.a.")</x:f>
        <x:v>0</x:v>
      </x:c>
    </x:row>
    <x:row r="117" ht="22" customHeight="1">
      <x:c r="A117" s="2"/>
      <x:c r="B117" s="2"/>
      <x:c r="C117" s="27" t="n">
        <x:f>23</x:f>
        <x:v>23</x:v>
      </x:c>
      <x:c r="D117" s="28" t="n">
        <x:f>IF(ISNUMBER('Inputs'!$D$7),EDATE('Inputs'!$D$7,22),"n.a.")</x:f>
        <x:v>46997</x:v>
      </x:c>
      <x:c r="E117" s="26" t="n">
        <x:f>IF('Inputs'!$D$9&lt;&gt;"Ready","n.a.",IF(ISNUMBER('Inputs'!E41),IF('Inputs'!E41&gt;=0,'Inputs'!E41,"n.a."),IF('Inputs'!E41="",'Inputs'!$D$6,"n.a.")))</x:f>
        <x:v>500</x:v>
      </x:c>
      <x:c r="F117" s="22" t="n">
        <x:f>IF(COUNT($N$117:$N$121)=5,SUM($N$117:$N$121),"n.a.")</x:f>
        <x:v>0</x:v>
      </x:c>
      <x:c r="G117" s="22" t="n">
        <x:f>IF(COUNT(E117:F117)=2,MAX(0,E117-F117),"n.a.")</x:f>
        <x:v>500</x:v>
      </x:c>
      <x:c r="H117" s="26" t="str">
        <x:f>'Inputs'!C11</x:f>
        <x:v>Card A</x:v>
      </x:c>
      <x:c r="I117" s="26" t="n">
        <x:f>S112</x:f>
        <x:v>0</x:v>
      </x:c>
      <x:c r="J117" s="29" t="n">
        <x:f>IF('Inputs'!$D$9="Ready",'Inputs'!E11,"n.a.")</x:f>
        <x:v>0.24</x:v>
      </x:c>
      <x:c r="K117" s="26" t="n">
        <x:f>IF('Inputs'!$D$9="Ready",'Inputs'!F11,"n.a.")</x:f>
        <x:v>35</x:v>
      </x:c>
      <x:c r="L117" s="29" t="n">
        <x:f>IF('Inputs'!$D$9="Ready",'Inputs'!G11,"n.a.")</x:f>
        <x:v>0.02</x:v>
      </x:c>
      <x:c r="M117" s="22" t="n">
        <x:f>IF(COUNT(I117:L117)=4,ROUND(I117*J117/12,2),"n.a.")</x:f>
        <x:v>0</x:v>
      </x:c>
      <x:c r="N117" s="22" t="n">
        <x:f>IF(COUNT(I117:M117)=5,MIN(I117+M117,ROUND(MAX(K117,I117*L117+M117),2)),"n.a.")</x:f>
        <x:v>0</x:v>
      </x:c>
      <x:c r="O117" s="30" t="n">
        <x:f>IF(COUNT($I$117:$I$121)&lt;&gt;5,"n.a.",IF(I117=0,6,IF('Inputs'!$D$5=1,COUNTIFS($I$117:$I$121,"&gt;0",$I$117:$I$121,"&lt;"&amp;I117)+COUNTIFS($I$117:I117,I117),COUNTIFS($I$117:$I$121,"&gt;0",$J$117:$J$121,"&gt;"&amp;J117)+COUNTIFS($I$117:I117,"&gt;0",$J$117:J117,J117))))</x:f>
        <x:v>6</x:v>
      </x:c>
      <x:c r="P117" s="22" t="n">
        <x:f>IF(T117="Ready",MIN(U117,MAX(0,G117-SUMIFS($U$117:$U$121,$O$117:$O$121,"&lt;"&amp;O117))),"n.a.")</x:f>
        <x:v>0</x:v>
      </x:c>
      <x:c r="Q117" s="22" t="n">
        <x:f>IF(T117="Ready",ROUND(N117+P117,2),"n.a.")</x:f>
        <x:v>0</x:v>
      </x:c>
      <x:c r="R117" s="22" t="n">
        <x:f>IF(T117="Ready",ROUND(Q117-M117,2),"n.a.")</x:f>
        <x:v>0</x:v>
      </x:c>
      <x:c r="S117" s="22" t="n">
        <x:f>IF(T117="Ready",MAX(0,ROUND(I117+M117-Q117,2)),"n.a.")</x:f>
        <x:v>0</x:v>
      </x:c>
      <x:c r="T117" s="22" t="str">
        <x:f>IF(AND(COUNT($I$117:$I$121)=5,COUNT(E117:F117)=2),IF(E117&gt;=F117,"Ready","Budget below minima"),"Check inputs")</x:f>
        <x:v>Ready</x:v>
      </x:c>
      <x:c r="U117" s="22" t="n">
        <x:f>IF(COUNT(I117,M117,N117)=3,MAX(0,ROUND(I117+M117-N117,2)),"n.a.")</x:f>
        <x:v>0</x:v>
      </x:c>
    </x:row>
    <x:row r="118" ht="22" customHeight="1">
      <x:c r="A118" s="2"/>
      <x:c r="B118" s="2"/>
      <x:c r="C118" s="27" t="n">
        <x:f>23</x:f>
        <x:v>23</x:v>
      </x:c>
      <x:c r="D118" s="28" t="n">
        <x:f>IF(ISNUMBER('Inputs'!$D$7),EDATE('Inputs'!$D$7,22),"n.a.")</x:f>
        <x:v>46997</x:v>
      </x:c>
      <x:c r="E118" s="26" t="n">
        <x:f>IF('Inputs'!$D$9&lt;&gt;"Ready","n.a.",IF(ISNUMBER('Inputs'!E41),IF('Inputs'!E41&gt;=0,'Inputs'!E41,"n.a."),IF('Inputs'!E41="",'Inputs'!$D$6,"n.a.")))</x:f>
        <x:v>500</x:v>
      </x:c>
      <x:c r="F118" s="22" t="n">
        <x:f>IF(COUNT($N$117:$N$121)=5,SUM($N$117:$N$121),"n.a.")</x:f>
        <x:v>0</x:v>
      </x:c>
      <x:c r="G118" s="22" t="n">
        <x:f>IF(COUNT(E118:F118)=2,MAX(0,E118-F118),"n.a.")</x:f>
        <x:v>500</x:v>
      </x:c>
      <x:c r="H118" s="26" t="str">
        <x:f>'Inputs'!C12</x:f>
        <x:v>Card B</x:v>
      </x:c>
      <x:c r="I118" s="26" t="n">
        <x:f>S113</x:f>
        <x:v>0</x:v>
      </x:c>
      <x:c r="J118" s="29" t="n">
        <x:f>IF('Inputs'!$D$9="Ready",'Inputs'!E12,"n.a.")</x:f>
        <x:v>0.18</x:v>
      </x:c>
      <x:c r="K118" s="26" t="n">
        <x:f>IF('Inputs'!$D$9="Ready",'Inputs'!F12,"n.a.")</x:f>
        <x:v>60</x:v>
      </x:c>
      <x:c r="L118" s="29" t="n">
        <x:f>IF('Inputs'!$D$9="Ready",'Inputs'!G12,"n.a.")</x:f>
        <x:v>0.02</x:v>
      </x:c>
      <x:c r="M118" s="22" t="n">
        <x:f>IF(COUNT(I118:L118)=4,ROUND(I118*J118/12,2),"n.a.")</x:f>
        <x:v>0</x:v>
      </x:c>
      <x:c r="N118" s="22" t="n">
        <x:f>IF(COUNT(I118:M118)=5,MIN(I118+M118,ROUND(MAX(K118,I118*L118+M118),2)),"n.a.")</x:f>
        <x:v>0</x:v>
      </x:c>
      <x:c r="O118" s="30" t="n">
        <x:f>IF(COUNT($I$117:$I$121)&lt;&gt;5,"n.a.",IF(I118=0,6,IF('Inputs'!$D$5=1,COUNTIFS($I$117:$I$121,"&gt;0",$I$117:$I$121,"&lt;"&amp;I118)+COUNTIFS($I$117:I118,I118),COUNTIFS($I$117:$I$121,"&gt;0",$J$117:$J$121,"&gt;"&amp;J118)+COUNTIFS($I$117:I118,"&gt;0",$J$117:J118,J118))))</x:f>
        <x:v>6</x:v>
      </x:c>
      <x:c r="P118" s="22" t="n">
        <x:f>IF(T118="Ready",MIN(U118,MAX(0,G118-SUMIFS($U$117:$U$121,$O$117:$O$121,"&lt;"&amp;O118))),"n.a.")</x:f>
        <x:v>0</x:v>
      </x:c>
      <x:c r="Q118" s="22" t="n">
        <x:f>IF(T118="Ready",ROUND(N118+P118,2),"n.a.")</x:f>
        <x:v>0</x:v>
      </x:c>
      <x:c r="R118" s="22" t="n">
        <x:f>IF(T118="Ready",ROUND(Q118-M118,2),"n.a.")</x:f>
        <x:v>0</x:v>
      </x:c>
      <x:c r="S118" s="22" t="n">
        <x:f>IF(T118="Ready",MAX(0,ROUND(I118+M118-Q118,2)),"n.a.")</x:f>
        <x:v>0</x:v>
      </x:c>
      <x:c r="T118" s="22" t="str">
        <x:f>IF(AND(COUNT($I$117:$I$121)=5,COUNT(E118:F118)=2),IF(E118&gt;=F118,"Ready","Budget below minima"),"Check inputs")</x:f>
        <x:v>Ready</x:v>
      </x:c>
      <x:c r="U118" s="22" t="n">
        <x:f>IF(COUNT(I118,M118,N118)=3,MAX(0,ROUND(I118+M118-N118,2)),"n.a.")</x:f>
        <x:v>0</x:v>
      </x:c>
    </x:row>
    <x:row r="119" ht="22" customHeight="1">
      <x:c r="A119" s="2"/>
      <x:c r="B119" s="2"/>
      <x:c r="C119" s="27" t="n">
        <x:f>23</x:f>
        <x:v>23</x:v>
      </x:c>
      <x:c r="D119" s="28" t="n">
        <x:f>IF(ISNUMBER('Inputs'!$D$7),EDATE('Inputs'!$D$7,22),"n.a.")</x:f>
        <x:v>46997</x:v>
      </x:c>
      <x:c r="E119" s="26" t="n">
        <x:f>IF('Inputs'!$D$9&lt;&gt;"Ready","n.a.",IF(ISNUMBER('Inputs'!E41),IF('Inputs'!E41&gt;=0,'Inputs'!E41,"n.a."),IF('Inputs'!E41="",'Inputs'!$D$6,"n.a.")))</x:f>
        <x:v>500</x:v>
      </x:c>
      <x:c r="F119" s="22" t="n">
        <x:f>IF(COUNT($N$117:$N$121)=5,SUM($N$117:$N$121),"n.a.")</x:f>
        <x:v>0</x:v>
      </x:c>
      <x:c r="G119" s="22" t="n">
        <x:f>IF(COUNT(E119:F119)=2,MAX(0,E119-F119),"n.a.")</x:f>
        <x:v>500</x:v>
      </x:c>
      <x:c r="H119" s="26" t="str">
        <x:f>'Inputs'!C13</x:f>
        <x:v>Loan C</x:v>
      </x:c>
      <x:c r="I119" s="26" t="n">
        <x:f>S114</x:f>
        <x:v>0</x:v>
      </x:c>
      <x:c r="J119" s="29" t="n">
        <x:f>IF('Inputs'!$D$9="Ready",'Inputs'!E13,"n.a.")</x:f>
        <x:v>0.08</x:v>
      </x:c>
      <x:c r="K119" s="26" t="n">
        <x:f>IF('Inputs'!$D$9="Ready",'Inputs'!F13,"n.a.")</x:f>
        <x:v>150</x:v>
      </x:c>
      <x:c r="L119" s="29" t="n">
        <x:f>IF('Inputs'!$D$9="Ready",'Inputs'!G13,"n.a.")</x:f>
        <x:v>0</x:v>
      </x:c>
      <x:c r="M119" s="22" t="n">
        <x:f>IF(COUNT(I119:L119)=4,ROUND(I119*J119/12,2),"n.a.")</x:f>
        <x:v>0</x:v>
      </x:c>
      <x:c r="N119" s="22" t="n">
        <x:f>IF(COUNT(I119:M119)=5,MIN(I119+M119,ROUND(MAX(K119,I119*L119+M119),2)),"n.a.")</x:f>
        <x:v>0</x:v>
      </x:c>
      <x:c r="O119" s="30" t="n">
        <x:f>IF(COUNT($I$117:$I$121)&lt;&gt;5,"n.a.",IF(I119=0,6,IF('Inputs'!$D$5=1,COUNTIFS($I$117:$I$121,"&gt;0",$I$117:$I$121,"&lt;"&amp;I119)+COUNTIFS($I$117:I119,I119),COUNTIFS($I$117:$I$121,"&gt;0",$J$117:$J$121,"&gt;"&amp;J119)+COUNTIFS($I$117:I119,"&gt;0",$J$117:J119,J119))))</x:f>
        <x:v>6</x:v>
      </x:c>
      <x:c r="P119" s="22" t="n">
        <x:f>IF(T119="Ready",MIN(U119,MAX(0,G119-SUMIFS($U$117:$U$121,$O$117:$O$121,"&lt;"&amp;O119))),"n.a.")</x:f>
        <x:v>0</x:v>
      </x:c>
      <x:c r="Q119" s="22" t="n">
        <x:f>IF(T119="Ready",ROUND(N119+P119,2),"n.a.")</x:f>
        <x:v>0</x:v>
      </x:c>
      <x:c r="R119" s="22" t="n">
        <x:f>IF(T119="Ready",ROUND(Q119-M119,2),"n.a.")</x:f>
        <x:v>0</x:v>
      </x:c>
      <x:c r="S119" s="22" t="n">
        <x:f>IF(T119="Ready",MAX(0,ROUND(I119+M119-Q119,2)),"n.a.")</x:f>
        <x:v>0</x:v>
      </x:c>
      <x:c r="T119" s="22" t="str">
        <x:f>IF(AND(COUNT($I$117:$I$121)=5,COUNT(E119:F119)=2),IF(E119&gt;=F119,"Ready","Budget below minima"),"Check inputs")</x:f>
        <x:v>Ready</x:v>
      </x:c>
      <x:c r="U119" s="22" t="n">
        <x:f>IF(COUNT(I119,M119,N119)=3,MAX(0,ROUND(I119+M119-N119,2)),"n.a.")</x:f>
        <x:v>0</x:v>
      </x:c>
    </x:row>
    <x:row r="120" ht="22" customHeight="1">
      <x:c r="A120" s="2"/>
      <x:c r="B120" s="2"/>
      <x:c r="C120" s="27" t="n">
        <x:f>23</x:f>
        <x:v>23</x:v>
      </x:c>
      <x:c r="D120" s="28" t="n">
        <x:f>IF(ISNUMBER('Inputs'!$D$7),EDATE('Inputs'!$D$7,22),"n.a.")</x:f>
        <x:v>46997</x:v>
      </x:c>
      <x:c r="E120" s="26" t="n">
        <x:f>IF('Inputs'!$D$9&lt;&gt;"Ready","n.a.",IF(ISNUMBER('Inputs'!E41),IF('Inputs'!E41&gt;=0,'Inputs'!E41,"n.a."),IF('Inputs'!E41="",'Inputs'!$D$6,"n.a.")))</x:f>
        <x:v>500</x:v>
      </x:c>
      <x:c r="F120" s="22" t="n">
        <x:f>IF(COUNT($N$117:$N$121)=5,SUM($N$117:$N$121),"n.a.")</x:f>
        <x:v>0</x:v>
      </x:c>
      <x:c r="G120" s="22" t="n">
        <x:f>IF(COUNT(E120:F120)=2,MAX(0,E120-F120),"n.a.")</x:f>
        <x:v>500</x:v>
      </x:c>
      <x:c r="H120" s="26" t="str">
        <x:f>'Inputs'!C14</x:f>
        <x:v>Unused 4</x:v>
      </x:c>
      <x:c r="I120" s="26" t="n">
        <x:f>S115</x:f>
        <x:v>0</x:v>
      </x:c>
      <x:c r="J120" s="29" t="n">
        <x:f>IF('Inputs'!$D$9="Ready",'Inputs'!E14,"n.a.")</x:f>
        <x:v>0</x:v>
      </x:c>
      <x:c r="K120" s="26" t="n">
        <x:f>IF('Inputs'!$D$9="Ready",'Inputs'!F14,"n.a.")</x:f>
        <x:v>0</x:v>
      </x:c>
      <x:c r="L120" s="29" t="n">
        <x:f>IF('Inputs'!$D$9="Ready",'Inputs'!G14,"n.a.")</x:f>
        <x:v>0</x:v>
      </x:c>
      <x:c r="M120" s="22" t="n">
        <x:f>IF(COUNT(I120:L120)=4,ROUND(I120*J120/12,2),"n.a.")</x:f>
        <x:v>0</x:v>
      </x:c>
      <x:c r="N120" s="22" t="n">
        <x:f>IF(COUNT(I120:M120)=5,MIN(I120+M120,ROUND(MAX(K120,I120*L120+M120),2)),"n.a.")</x:f>
        <x:v>0</x:v>
      </x:c>
      <x:c r="O120" s="30" t="n">
        <x:f>IF(COUNT($I$117:$I$121)&lt;&gt;5,"n.a.",IF(I120=0,6,IF('Inputs'!$D$5=1,COUNTIFS($I$117:$I$121,"&gt;0",$I$117:$I$121,"&lt;"&amp;I120)+COUNTIFS($I$117:I120,I120),COUNTIFS($I$117:$I$121,"&gt;0",$J$117:$J$121,"&gt;"&amp;J120)+COUNTIFS($I$117:I120,"&gt;0",$J$117:J120,J120))))</x:f>
        <x:v>6</x:v>
      </x:c>
      <x:c r="P120" s="22" t="n">
        <x:f>IF(T120="Ready",MIN(U120,MAX(0,G120-SUMIFS($U$117:$U$121,$O$117:$O$121,"&lt;"&amp;O120))),"n.a.")</x:f>
        <x:v>0</x:v>
      </x:c>
      <x:c r="Q120" s="22" t="n">
        <x:f>IF(T120="Ready",ROUND(N120+P120,2),"n.a.")</x:f>
        <x:v>0</x:v>
      </x:c>
      <x:c r="R120" s="22" t="n">
        <x:f>IF(T120="Ready",ROUND(Q120-M120,2),"n.a.")</x:f>
        <x:v>0</x:v>
      </x:c>
      <x:c r="S120" s="22" t="n">
        <x:f>IF(T120="Ready",MAX(0,ROUND(I120+M120-Q120,2)),"n.a.")</x:f>
        <x:v>0</x:v>
      </x:c>
      <x:c r="T120" s="22" t="str">
        <x:f>IF(AND(COUNT($I$117:$I$121)=5,COUNT(E120:F120)=2),IF(E120&gt;=F120,"Ready","Budget below minima"),"Check inputs")</x:f>
        <x:v>Ready</x:v>
      </x:c>
      <x:c r="U120" s="22" t="n">
        <x:f>IF(COUNT(I120,M120,N120)=3,MAX(0,ROUND(I120+M120-N120,2)),"n.a.")</x:f>
        <x:v>0</x:v>
      </x:c>
    </x:row>
    <x:row r="121" ht="22" customHeight="1">
      <x:c r="A121" s="2"/>
      <x:c r="B121" s="2"/>
      <x:c r="C121" s="27" t="n">
        <x:f>23</x:f>
        <x:v>23</x:v>
      </x:c>
      <x:c r="D121" s="28" t="n">
        <x:f>IF(ISNUMBER('Inputs'!$D$7),EDATE('Inputs'!$D$7,22),"n.a.")</x:f>
        <x:v>46997</x:v>
      </x:c>
      <x:c r="E121" s="26" t="n">
        <x:f>IF('Inputs'!$D$9&lt;&gt;"Ready","n.a.",IF(ISNUMBER('Inputs'!E41),IF('Inputs'!E41&gt;=0,'Inputs'!E41,"n.a."),IF('Inputs'!E41="",'Inputs'!$D$6,"n.a.")))</x:f>
        <x:v>500</x:v>
      </x:c>
      <x:c r="F121" s="22" t="n">
        <x:f>IF(COUNT($N$117:$N$121)=5,SUM($N$117:$N$121),"n.a.")</x:f>
        <x:v>0</x:v>
      </x:c>
      <x:c r="G121" s="22" t="n">
        <x:f>IF(COUNT(E121:F121)=2,MAX(0,E121-F121),"n.a.")</x:f>
        <x:v>500</x:v>
      </x:c>
      <x:c r="H121" s="26" t="str">
        <x:f>'Inputs'!C15</x:f>
        <x:v>Unused 5</x:v>
      </x:c>
      <x:c r="I121" s="26" t="n">
        <x:f>S116</x:f>
        <x:v>0</x:v>
      </x:c>
      <x:c r="J121" s="29" t="n">
        <x:f>IF('Inputs'!$D$9="Ready",'Inputs'!E15,"n.a.")</x:f>
        <x:v>0</x:v>
      </x:c>
      <x:c r="K121" s="26" t="n">
        <x:f>IF('Inputs'!$D$9="Ready",'Inputs'!F15,"n.a.")</x:f>
        <x:v>0</x:v>
      </x:c>
      <x:c r="L121" s="29" t="n">
        <x:f>IF('Inputs'!$D$9="Ready",'Inputs'!G15,"n.a.")</x:f>
        <x:v>0</x:v>
      </x:c>
      <x:c r="M121" s="22" t="n">
        <x:f>IF(COUNT(I121:L121)=4,ROUND(I121*J121/12,2),"n.a.")</x:f>
        <x:v>0</x:v>
      </x:c>
      <x:c r="N121" s="22" t="n">
        <x:f>IF(COUNT(I121:M121)=5,MIN(I121+M121,ROUND(MAX(K121,I121*L121+M121),2)),"n.a.")</x:f>
        <x:v>0</x:v>
      </x:c>
      <x:c r="O121" s="30" t="n">
        <x:f>IF(COUNT($I$117:$I$121)&lt;&gt;5,"n.a.",IF(I121=0,6,IF('Inputs'!$D$5=1,COUNTIFS($I$117:$I$121,"&gt;0",$I$117:$I$121,"&lt;"&amp;I121)+COUNTIFS($I$117:I121,I121),COUNTIFS($I$117:$I$121,"&gt;0",$J$117:$J$121,"&gt;"&amp;J121)+COUNTIFS($I$117:I121,"&gt;0",$J$117:J121,J121))))</x:f>
        <x:v>6</x:v>
      </x:c>
      <x:c r="P121" s="22" t="n">
        <x:f>IF(T121="Ready",MIN(U121,MAX(0,G121-SUMIFS($U$117:$U$121,$O$117:$O$121,"&lt;"&amp;O121))),"n.a.")</x:f>
        <x:v>0</x:v>
      </x:c>
      <x:c r="Q121" s="22" t="n">
        <x:f>IF(T121="Ready",ROUND(N121+P121,2),"n.a.")</x:f>
        <x:v>0</x:v>
      </x:c>
      <x:c r="R121" s="22" t="n">
        <x:f>IF(T121="Ready",ROUND(Q121-M121,2),"n.a.")</x:f>
        <x:v>0</x:v>
      </x:c>
      <x:c r="S121" s="22" t="n">
        <x:f>IF(T121="Ready",MAX(0,ROUND(I121+M121-Q121,2)),"n.a.")</x:f>
        <x:v>0</x:v>
      </x:c>
      <x:c r="T121" s="22" t="str">
        <x:f>IF(AND(COUNT($I$117:$I$121)=5,COUNT(E121:F121)=2),IF(E121&gt;=F121,"Ready","Budget below minima"),"Check inputs")</x:f>
        <x:v>Ready</x:v>
      </x:c>
      <x:c r="U121" s="22" t="n">
        <x:f>IF(COUNT(I121,M121,N121)=3,MAX(0,ROUND(I121+M121-N121,2)),"n.a.")</x:f>
        <x:v>0</x:v>
      </x:c>
    </x:row>
    <x:row r="122" ht="22" customHeight="1">
      <x:c r="A122" s="2"/>
      <x:c r="B122" s="2"/>
      <x:c r="C122" s="27" t="n">
        <x:f>24</x:f>
        <x:v>24</x:v>
      </x:c>
      <x:c r="D122" s="28" t="n">
        <x:f>IF(ISNUMBER('Inputs'!$D$7),EDATE('Inputs'!$D$7,23),"n.a.")</x:f>
        <x:v>47027</x:v>
      </x:c>
      <x:c r="E122" s="26" t="n">
        <x:f>IF('Inputs'!$D$9&lt;&gt;"Ready","n.a.",IF(ISNUMBER('Inputs'!E42),IF('Inputs'!E42&gt;=0,'Inputs'!E42,"n.a."),IF('Inputs'!E42="",'Inputs'!$D$6,"n.a.")))</x:f>
        <x:v>500</x:v>
      </x:c>
      <x:c r="F122" s="22" t="n">
        <x:f>IF(COUNT($N$122:$N$126)=5,SUM($N$122:$N$126),"n.a.")</x:f>
        <x:v>0</x:v>
      </x:c>
      <x:c r="G122" s="22" t="n">
        <x:f>IF(COUNT(E122:F122)=2,MAX(0,E122-F122),"n.a.")</x:f>
        <x:v>500</x:v>
      </x:c>
      <x:c r="H122" s="26" t="str">
        <x:f>'Inputs'!C11</x:f>
        <x:v>Card A</x:v>
      </x:c>
      <x:c r="I122" s="26" t="n">
        <x:f>S117</x:f>
        <x:v>0</x:v>
      </x:c>
      <x:c r="J122" s="29" t="n">
        <x:f>IF('Inputs'!$D$9="Ready",'Inputs'!E11,"n.a.")</x:f>
        <x:v>0.24</x:v>
      </x:c>
      <x:c r="K122" s="26" t="n">
        <x:f>IF('Inputs'!$D$9="Ready",'Inputs'!F11,"n.a.")</x:f>
        <x:v>35</x:v>
      </x:c>
      <x:c r="L122" s="29" t="n">
        <x:f>IF('Inputs'!$D$9="Ready",'Inputs'!G11,"n.a.")</x:f>
        <x:v>0.02</x:v>
      </x:c>
      <x:c r="M122" s="22" t="n">
        <x:f>IF(COUNT(I122:L122)=4,ROUND(I122*J122/12,2),"n.a.")</x:f>
        <x:v>0</x:v>
      </x:c>
      <x:c r="N122" s="22" t="n">
        <x:f>IF(COUNT(I122:M122)=5,MIN(I122+M122,ROUND(MAX(K122,I122*L122+M122),2)),"n.a.")</x:f>
        <x:v>0</x:v>
      </x:c>
      <x:c r="O122" s="30" t="n">
        <x:f>IF(COUNT($I$122:$I$126)&lt;&gt;5,"n.a.",IF(I122=0,6,IF('Inputs'!$D$5=1,COUNTIFS($I$122:$I$126,"&gt;0",$I$122:$I$126,"&lt;"&amp;I122)+COUNTIFS($I$122:I122,I122),COUNTIFS($I$122:$I$126,"&gt;0",$J$122:$J$126,"&gt;"&amp;J122)+COUNTIFS($I$122:I122,"&gt;0",$J$122:J122,J122))))</x:f>
        <x:v>6</x:v>
      </x:c>
      <x:c r="P122" s="22" t="n">
        <x:f>IF(T122="Ready",MIN(U122,MAX(0,G122-SUMIFS($U$122:$U$126,$O$122:$O$126,"&lt;"&amp;O122))),"n.a.")</x:f>
        <x:v>0</x:v>
      </x:c>
      <x:c r="Q122" s="22" t="n">
        <x:f>IF(T122="Ready",ROUND(N122+P122,2),"n.a.")</x:f>
        <x:v>0</x:v>
      </x:c>
      <x:c r="R122" s="22" t="n">
        <x:f>IF(T122="Ready",ROUND(Q122-M122,2),"n.a.")</x:f>
        <x:v>0</x:v>
      </x:c>
      <x:c r="S122" s="22" t="n">
        <x:f>IF(T122="Ready",MAX(0,ROUND(I122+M122-Q122,2)),"n.a.")</x:f>
        <x:v>0</x:v>
      </x:c>
      <x:c r="T122" s="22" t="str">
        <x:f>IF(AND(COUNT($I$122:$I$126)=5,COUNT(E122:F122)=2),IF(E122&gt;=F122,"Ready","Budget below minima"),"Check inputs")</x:f>
        <x:v>Ready</x:v>
      </x:c>
      <x:c r="U122" s="22" t="n">
        <x:f>IF(COUNT(I122,M122,N122)=3,MAX(0,ROUND(I122+M122-N122,2)),"n.a.")</x:f>
        <x:v>0</x:v>
      </x:c>
    </x:row>
    <x:row r="123" ht="22" customHeight="1">
      <x:c r="A123" s="2"/>
      <x:c r="B123" s="2"/>
      <x:c r="C123" s="27" t="n">
        <x:f>24</x:f>
        <x:v>24</x:v>
      </x:c>
      <x:c r="D123" s="28" t="n">
        <x:f>IF(ISNUMBER('Inputs'!$D$7),EDATE('Inputs'!$D$7,23),"n.a.")</x:f>
        <x:v>47027</x:v>
      </x:c>
      <x:c r="E123" s="26" t="n">
        <x:f>IF('Inputs'!$D$9&lt;&gt;"Ready","n.a.",IF(ISNUMBER('Inputs'!E42),IF('Inputs'!E42&gt;=0,'Inputs'!E42,"n.a."),IF('Inputs'!E42="",'Inputs'!$D$6,"n.a.")))</x:f>
        <x:v>500</x:v>
      </x:c>
      <x:c r="F123" s="22" t="n">
        <x:f>IF(COUNT($N$122:$N$126)=5,SUM($N$122:$N$126),"n.a.")</x:f>
        <x:v>0</x:v>
      </x:c>
      <x:c r="G123" s="22" t="n">
        <x:f>IF(COUNT(E123:F123)=2,MAX(0,E123-F123),"n.a.")</x:f>
        <x:v>500</x:v>
      </x:c>
      <x:c r="H123" s="26" t="str">
        <x:f>'Inputs'!C12</x:f>
        <x:v>Card B</x:v>
      </x:c>
      <x:c r="I123" s="26" t="n">
        <x:f>S118</x:f>
        <x:v>0</x:v>
      </x:c>
      <x:c r="J123" s="29" t="n">
        <x:f>IF('Inputs'!$D$9="Ready",'Inputs'!E12,"n.a.")</x:f>
        <x:v>0.18</x:v>
      </x:c>
      <x:c r="K123" s="26" t="n">
        <x:f>IF('Inputs'!$D$9="Ready",'Inputs'!F12,"n.a.")</x:f>
        <x:v>60</x:v>
      </x:c>
      <x:c r="L123" s="29" t="n">
        <x:f>IF('Inputs'!$D$9="Ready",'Inputs'!G12,"n.a.")</x:f>
        <x:v>0.02</x:v>
      </x:c>
      <x:c r="M123" s="22" t="n">
        <x:f>IF(COUNT(I123:L123)=4,ROUND(I123*J123/12,2),"n.a.")</x:f>
        <x:v>0</x:v>
      </x:c>
      <x:c r="N123" s="22" t="n">
        <x:f>IF(COUNT(I123:M123)=5,MIN(I123+M123,ROUND(MAX(K123,I123*L123+M123),2)),"n.a.")</x:f>
        <x:v>0</x:v>
      </x:c>
      <x:c r="O123" s="30" t="n">
        <x:f>IF(COUNT($I$122:$I$126)&lt;&gt;5,"n.a.",IF(I123=0,6,IF('Inputs'!$D$5=1,COUNTIFS($I$122:$I$126,"&gt;0",$I$122:$I$126,"&lt;"&amp;I123)+COUNTIFS($I$122:I123,I123),COUNTIFS($I$122:$I$126,"&gt;0",$J$122:$J$126,"&gt;"&amp;J123)+COUNTIFS($I$122:I123,"&gt;0",$J$122:J123,J123))))</x:f>
        <x:v>6</x:v>
      </x:c>
      <x:c r="P123" s="22" t="n">
        <x:f>IF(T123="Ready",MIN(U123,MAX(0,G123-SUMIFS($U$122:$U$126,$O$122:$O$126,"&lt;"&amp;O123))),"n.a.")</x:f>
        <x:v>0</x:v>
      </x:c>
      <x:c r="Q123" s="22" t="n">
        <x:f>IF(T123="Ready",ROUND(N123+P123,2),"n.a.")</x:f>
        <x:v>0</x:v>
      </x:c>
      <x:c r="R123" s="22" t="n">
        <x:f>IF(T123="Ready",ROUND(Q123-M123,2),"n.a.")</x:f>
        <x:v>0</x:v>
      </x:c>
      <x:c r="S123" s="22" t="n">
        <x:f>IF(T123="Ready",MAX(0,ROUND(I123+M123-Q123,2)),"n.a.")</x:f>
        <x:v>0</x:v>
      </x:c>
      <x:c r="T123" s="22" t="str">
        <x:f>IF(AND(COUNT($I$122:$I$126)=5,COUNT(E123:F123)=2),IF(E123&gt;=F123,"Ready","Budget below minima"),"Check inputs")</x:f>
        <x:v>Ready</x:v>
      </x:c>
      <x:c r="U123" s="22" t="n">
        <x:f>IF(COUNT(I123,M123,N123)=3,MAX(0,ROUND(I123+M123-N123,2)),"n.a.")</x:f>
        <x:v>0</x:v>
      </x:c>
    </x:row>
    <x:row r="124" ht="22" customHeight="1">
      <x:c r="A124" s="2"/>
      <x:c r="B124" s="2"/>
      <x:c r="C124" s="27" t="n">
        <x:f>24</x:f>
        <x:v>24</x:v>
      </x:c>
      <x:c r="D124" s="28" t="n">
        <x:f>IF(ISNUMBER('Inputs'!$D$7),EDATE('Inputs'!$D$7,23),"n.a.")</x:f>
        <x:v>47027</x:v>
      </x:c>
      <x:c r="E124" s="26" t="n">
        <x:f>IF('Inputs'!$D$9&lt;&gt;"Ready","n.a.",IF(ISNUMBER('Inputs'!E42),IF('Inputs'!E42&gt;=0,'Inputs'!E42,"n.a."),IF('Inputs'!E42="",'Inputs'!$D$6,"n.a.")))</x:f>
        <x:v>500</x:v>
      </x:c>
      <x:c r="F124" s="22" t="n">
        <x:f>IF(COUNT($N$122:$N$126)=5,SUM($N$122:$N$126),"n.a.")</x:f>
        <x:v>0</x:v>
      </x:c>
      <x:c r="G124" s="22" t="n">
        <x:f>IF(COUNT(E124:F124)=2,MAX(0,E124-F124),"n.a.")</x:f>
        <x:v>500</x:v>
      </x:c>
      <x:c r="H124" s="26" t="str">
        <x:f>'Inputs'!C13</x:f>
        <x:v>Loan C</x:v>
      </x:c>
      <x:c r="I124" s="26" t="n">
        <x:f>S119</x:f>
        <x:v>0</x:v>
      </x:c>
      <x:c r="J124" s="29" t="n">
        <x:f>IF('Inputs'!$D$9="Ready",'Inputs'!E13,"n.a.")</x:f>
        <x:v>0.08</x:v>
      </x:c>
      <x:c r="K124" s="26" t="n">
        <x:f>IF('Inputs'!$D$9="Ready",'Inputs'!F13,"n.a.")</x:f>
        <x:v>150</x:v>
      </x:c>
      <x:c r="L124" s="29" t="n">
        <x:f>IF('Inputs'!$D$9="Ready",'Inputs'!G13,"n.a.")</x:f>
        <x:v>0</x:v>
      </x:c>
      <x:c r="M124" s="22" t="n">
        <x:f>IF(COUNT(I124:L124)=4,ROUND(I124*J124/12,2),"n.a.")</x:f>
        <x:v>0</x:v>
      </x:c>
      <x:c r="N124" s="22" t="n">
        <x:f>IF(COUNT(I124:M124)=5,MIN(I124+M124,ROUND(MAX(K124,I124*L124+M124),2)),"n.a.")</x:f>
        <x:v>0</x:v>
      </x:c>
      <x:c r="O124" s="30" t="n">
        <x:f>IF(COUNT($I$122:$I$126)&lt;&gt;5,"n.a.",IF(I124=0,6,IF('Inputs'!$D$5=1,COUNTIFS($I$122:$I$126,"&gt;0",$I$122:$I$126,"&lt;"&amp;I124)+COUNTIFS($I$122:I124,I124),COUNTIFS($I$122:$I$126,"&gt;0",$J$122:$J$126,"&gt;"&amp;J124)+COUNTIFS($I$122:I124,"&gt;0",$J$122:J124,J124))))</x:f>
        <x:v>6</x:v>
      </x:c>
      <x:c r="P124" s="22" t="n">
        <x:f>IF(T124="Ready",MIN(U124,MAX(0,G124-SUMIFS($U$122:$U$126,$O$122:$O$126,"&lt;"&amp;O124))),"n.a.")</x:f>
        <x:v>0</x:v>
      </x:c>
      <x:c r="Q124" s="22" t="n">
        <x:f>IF(T124="Ready",ROUND(N124+P124,2),"n.a.")</x:f>
        <x:v>0</x:v>
      </x:c>
      <x:c r="R124" s="22" t="n">
        <x:f>IF(T124="Ready",ROUND(Q124-M124,2),"n.a.")</x:f>
        <x:v>0</x:v>
      </x:c>
      <x:c r="S124" s="22" t="n">
        <x:f>IF(T124="Ready",MAX(0,ROUND(I124+M124-Q124,2)),"n.a.")</x:f>
        <x:v>0</x:v>
      </x:c>
      <x:c r="T124" s="22" t="str">
        <x:f>IF(AND(COUNT($I$122:$I$126)=5,COUNT(E124:F124)=2),IF(E124&gt;=F124,"Ready","Budget below minima"),"Check inputs")</x:f>
        <x:v>Ready</x:v>
      </x:c>
      <x:c r="U124" s="22" t="n">
        <x:f>IF(COUNT(I124,M124,N124)=3,MAX(0,ROUND(I124+M124-N124,2)),"n.a.")</x:f>
        <x:v>0</x:v>
      </x:c>
    </x:row>
    <x:row r="125" ht="22" customHeight="1">
      <x:c r="A125" s="2"/>
      <x:c r="B125" s="2"/>
      <x:c r="C125" s="27" t="n">
        <x:f>24</x:f>
        <x:v>24</x:v>
      </x:c>
      <x:c r="D125" s="28" t="n">
        <x:f>IF(ISNUMBER('Inputs'!$D$7),EDATE('Inputs'!$D$7,23),"n.a.")</x:f>
        <x:v>47027</x:v>
      </x:c>
      <x:c r="E125" s="26" t="n">
        <x:f>IF('Inputs'!$D$9&lt;&gt;"Ready","n.a.",IF(ISNUMBER('Inputs'!E42),IF('Inputs'!E42&gt;=0,'Inputs'!E42,"n.a."),IF('Inputs'!E42="",'Inputs'!$D$6,"n.a.")))</x:f>
        <x:v>500</x:v>
      </x:c>
      <x:c r="F125" s="22" t="n">
        <x:f>IF(COUNT($N$122:$N$126)=5,SUM($N$122:$N$126),"n.a.")</x:f>
        <x:v>0</x:v>
      </x:c>
      <x:c r="G125" s="22" t="n">
        <x:f>IF(COUNT(E125:F125)=2,MAX(0,E125-F125),"n.a.")</x:f>
        <x:v>500</x:v>
      </x:c>
      <x:c r="H125" s="26" t="str">
        <x:f>'Inputs'!C14</x:f>
        <x:v>Unused 4</x:v>
      </x:c>
      <x:c r="I125" s="26" t="n">
        <x:f>S120</x:f>
        <x:v>0</x:v>
      </x:c>
      <x:c r="J125" s="29" t="n">
        <x:f>IF('Inputs'!$D$9="Ready",'Inputs'!E14,"n.a.")</x:f>
        <x:v>0</x:v>
      </x:c>
      <x:c r="K125" s="26" t="n">
        <x:f>IF('Inputs'!$D$9="Ready",'Inputs'!F14,"n.a.")</x:f>
        <x:v>0</x:v>
      </x:c>
      <x:c r="L125" s="29" t="n">
        <x:f>IF('Inputs'!$D$9="Ready",'Inputs'!G14,"n.a.")</x:f>
        <x:v>0</x:v>
      </x:c>
      <x:c r="M125" s="22" t="n">
        <x:f>IF(COUNT(I125:L125)=4,ROUND(I125*J125/12,2),"n.a.")</x:f>
        <x:v>0</x:v>
      </x:c>
      <x:c r="N125" s="22" t="n">
        <x:f>IF(COUNT(I125:M125)=5,MIN(I125+M125,ROUND(MAX(K125,I125*L125+M125),2)),"n.a.")</x:f>
        <x:v>0</x:v>
      </x:c>
      <x:c r="O125" s="30" t="n">
        <x:f>IF(COUNT($I$122:$I$126)&lt;&gt;5,"n.a.",IF(I125=0,6,IF('Inputs'!$D$5=1,COUNTIFS($I$122:$I$126,"&gt;0",$I$122:$I$126,"&lt;"&amp;I125)+COUNTIFS($I$122:I125,I125),COUNTIFS($I$122:$I$126,"&gt;0",$J$122:$J$126,"&gt;"&amp;J125)+COUNTIFS($I$122:I125,"&gt;0",$J$122:J125,J125))))</x:f>
        <x:v>6</x:v>
      </x:c>
      <x:c r="P125" s="22" t="n">
        <x:f>IF(T125="Ready",MIN(U125,MAX(0,G125-SUMIFS($U$122:$U$126,$O$122:$O$126,"&lt;"&amp;O125))),"n.a.")</x:f>
        <x:v>0</x:v>
      </x:c>
      <x:c r="Q125" s="22" t="n">
        <x:f>IF(T125="Ready",ROUND(N125+P125,2),"n.a.")</x:f>
        <x:v>0</x:v>
      </x:c>
      <x:c r="R125" s="22" t="n">
        <x:f>IF(T125="Ready",ROUND(Q125-M125,2),"n.a.")</x:f>
        <x:v>0</x:v>
      </x:c>
      <x:c r="S125" s="22" t="n">
        <x:f>IF(T125="Ready",MAX(0,ROUND(I125+M125-Q125,2)),"n.a.")</x:f>
        <x:v>0</x:v>
      </x:c>
      <x:c r="T125" s="22" t="str">
        <x:f>IF(AND(COUNT($I$122:$I$126)=5,COUNT(E125:F125)=2),IF(E125&gt;=F125,"Ready","Budget below minima"),"Check inputs")</x:f>
        <x:v>Ready</x:v>
      </x:c>
      <x:c r="U125" s="22" t="n">
        <x:f>IF(COUNT(I125,M125,N125)=3,MAX(0,ROUND(I125+M125-N125,2)),"n.a.")</x:f>
        <x:v>0</x:v>
      </x:c>
    </x:row>
    <x:row r="126" ht="22" customHeight="1">
      <x:c r="A126" s="2"/>
      <x:c r="B126" s="2"/>
      <x:c r="C126" s="27" t="n">
        <x:f>24</x:f>
        <x:v>24</x:v>
      </x:c>
      <x:c r="D126" s="28" t="n">
        <x:f>IF(ISNUMBER('Inputs'!$D$7),EDATE('Inputs'!$D$7,23),"n.a.")</x:f>
        <x:v>47027</x:v>
      </x:c>
      <x:c r="E126" s="26" t="n">
        <x:f>IF('Inputs'!$D$9&lt;&gt;"Ready","n.a.",IF(ISNUMBER('Inputs'!E42),IF('Inputs'!E42&gt;=0,'Inputs'!E42,"n.a."),IF('Inputs'!E42="",'Inputs'!$D$6,"n.a.")))</x:f>
        <x:v>500</x:v>
      </x:c>
      <x:c r="F126" s="22" t="n">
        <x:f>IF(COUNT($N$122:$N$126)=5,SUM($N$122:$N$126),"n.a.")</x:f>
        <x:v>0</x:v>
      </x:c>
      <x:c r="G126" s="22" t="n">
        <x:f>IF(COUNT(E126:F126)=2,MAX(0,E126-F126),"n.a.")</x:f>
        <x:v>500</x:v>
      </x:c>
      <x:c r="H126" s="26" t="str">
        <x:f>'Inputs'!C15</x:f>
        <x:v>Unused 5</x:v>
      </x:c>
      <x:c r="I126" s="26" t="n">
        <x:f>S121</x:f>
        <x:v>0</x:v>
      </x:c>
      <x:c r="J126" s="29" t="n">
        <x:f>IF('Inputs'!$D$9="Ready",'Inputs'!E15,"n.a.")</x:f>
        <x:v>0</x:v>
      </x:c>
      <x:c r="K126" s="26" t="n">
        <x:f>IF('Inputs'!$D$9="Ready",'Inputs'!F15,"n.a.")</x:f>
        <x:v>0</x:v>
      </x:c>
      <x:c r="L126" s="29" t="n">
        <x:f>IF('Inputs'!$D$9="Ready",'Inputs'!G15,"n.a.")</x:f>
        <x:v>0</x:v>
      </x:c>
      <x:c r="M126" s="22" t="n">
        <x:f>IF(COUNT(I126:L126)=4,ROUND(I126*J126/12,2),"n.a.")</x:f>
        <x:v>0</x:v>
      </x:c>
      <x:c r="N126" s="22" t="n">
        <x:f>IF(COUNT(I126:M126)=5,MIN(I126+M126,ROUND(MAX(K126,I126*L126+M126),2)),"n.a.")</x:f>
        <x:v>0</x:v>
      </x:c>
      <x:c r="O126" s="30" t="n">
        <x:f>IF(COUNT($I$122:$I$126)&lt;&gt;5,"n.a.",IF(I126=0,6,IF('Inputs'!$D$5=1,COUNTIFS($I$122:$I$126,"&gt;0",$I$122:$I$126,"&lt;"&amp;I126)+COUNTIFS($I$122:I126,I126),COUNTIFS($I$122:$I$126,"&gt;0",$J$122:$J$126,"&gt;"&amp;J126)+COUNTIFS($I$122:I126,"&gt;0",$J$122:J126,J126))))</x:f>
        <x:v>6</x:v>
      </x:c>
      <x:c r="P126" s="22" t="n">
        <x:f>IF(T126="Ready",MIN(U126,MAX(0,G126-SUMIFS($U$122:$U$126,$O$122:$O$126,"&lt;"&amp;O126))),"n.a.")</x:f>
        <x:v>0</x:v>
      </x:c>
      <x:c r="Q126" s="22" t="n">
        <x:f>IF(T126="Ready",ROUND(N126+P126,2),"n.a.")</x:f>
        <x:v>0</x:v>
      </x:c>
      <x:c r="R126" s="22" t="n">
        <x:f>IF(T126="Ready",ROUND(Q126-M126,2),"n.a.")</x:f>
        <x:v>0</x:v>
      </x:c>
      <x:c r="S126" s="22" t="n">
        <x:f>IF(T126="Ready",MAX(0,ROUND(I126+M126-Q126,2)),"n.a.")</x:f>
        <x:v>0</x:v>
      </x:c>
      <x:c r="T126" s="22" t="str">
        <x:f>IF(AND(COUNT($I$122:$I$126)=5,COUNT(E126:F126)=2),IF(E126&gt;=F126,"Ready","Budget below minima"),"Check inputs")</x:f>
        <x:v>Ready</x:v>
      </x:c>
      <x:c r="U126" s="22" t="n">
        <x:f>IF(COUNT(I126,M126,N126)=3,MAX(0,ROUND(I126+M126-N126,2)),"n.a.")</x:f>
        <x:v>0</x:v>
      </x:c>
    </x:row>
    <x:row r="127" ht="22" customHeight="1">
      <x:c r="A127" s="2"/>
      <x:c r="B127" s="2"/>
      <x:c r="C127" s="27" t="n">
        <x:f>25</x:f>
        <x:v>25</x:v>
      </x:c>
      <x:c r="D127" s="28" t="n">
        <x:f>IF(ISNUMBER('Inputs'!$D$7),EDATE('Inputs'!$D$7,24),"n.a.")</x:f>
        <x:v>47058</x:v>
      </x:c>
      <x:c r="E127" s="26" t="n">
        <x:f>IF('Inputs'!$D$9&lt;&gt;"Ready","n.a.",IF(ISNUMBER('Inputs'!E43),IF('Inputs'!E43&gt;=0,'Inputs'!E43,"n.a."),IF('Inputs'!E43="",'Inputs'!$D$6,"n.a.")))</x:f>
        <x:v>500</x:v>
      </x:c>
      <x:c r="F127" s="22" t="n">
        <x:f>IF(COUNT($N$127:$N$131)=5,SUM($N$127:$N$131),"n.a.")</x:f>
        <x:v>0</x:v>
      </x:c>
      <x:c r="G127" s="22" t="n">
        <x:f>IF(COUNT(E127:F127)=2,MAX(0,E127-F127),"n.a.")</x:f>
        <x:v>500</x:v>
      </x:c>
      <x:c r="H127" s="26" t="str">
        <x:f>'Inputs'!C11</x:f>
        <x:v>Card A</x:v>
      </x:c>
      <x:c r="I127" s="26" t="n">
        <x:f>S122</x:f>
        <x:v>0</x:v>
      </x:c>
      <x:c r="J127" s="29" t="n">
        <x:f>IF('Inputs'!$D$9="Ready",'Inputs'!E11,"n.a.")</x:f>
        <x:v>0.24</x:v>
      </x:c>
      <x:c r="K127" s="26" t="n">
        <x:f>IF('Inputs'!$D$9="Ready",'Inputs'!F11,"n.a.")</x:f>
        <x:v>35</x:v>
      </x:c>
      <x:c r="L127" s="29" t="n">
        <x:f>IF('Inputs'!$D$9="Ready",'Inputs'!G11,"n.a.")</x:f>
        <x:v>0.02</x:v>
      </x:c>
      <x:c r="M127" s="22" t="n">
        <x:f>IF(COUNT(I127:L127)=4,ROUND(I127*J127/12,2),"n.a.")</x:f>
        <x:v>0</x:v>
      </x:c>
      <x:c r="N127" s="22" t="n">
        <x:f>IF(COUNT(I127:M127)=5,MIN(I127+M127,ROUND(MAX(K127,I127*L127+M127),2)),"n.a.")</x:f>
        <x:v>0</x:v>
      </x:c>
      <x:c r="O127" s="30" t="n">
        <x:f>IF(COUNT($I$127:$I$131)&lt;&gt;5,"n.a.",IF(I127=0,6,IF('Inputs'!$D$5=1,COUNTIFS($I$127:$I$131,"&gt;0",$I$127:$I$131,"&lt;"&amp;I127)+COUNTIFS($I$127:I127,I127),COUNTIFS($I$127:$I$131,"&gt;0",$J$127:$J$131,"&gt;"&amp;J127)+COUNTIFS($I$127:I127,"&gt;0",$J$127:J127,J127))))</x:f>
        <x:v>6</x:v>
      </x:c>
      <x:c r="P127" s="22" t="n">
        <x:f>IF(T127="Ready",MIN(U127,MAX(0,G127-SUMIFS($U$127:$U$131,$O$127:$O$131,"&lt;"&amp;O127))),"n.a.")</x:f>
        <x:v>0</x:v>
      </x:c>
      <x:c r="Q127" s="22" t="n">
        <x:f>IF(T127="Ready",ROUND(N127+P127,2),"n.a.")</x:f>
        <x:v>0</x:v>
      </x:c>
      <x:c r="R127" s="22" t="n">
        <x:f>IF(T127="Ready",ROUND(Q127-M127,2),"n.a.")</x:f>
        <x:v>0</x:v>
      </x:c>
      <x:c r="S127" s="22" t="n">
        <x:f>IF(T127="Ready",MAX(0,ROUND(I127+M127-Q127,2)),"n.a.")</x:f>
        <x:v>0</x:v>
      </x:c>
      <x:c r="T127" s="22" t="str">
        <x:f>IF(AND(COUNT($I$127:$I$131)=5,COUNT(E127:F127)=2),IF(E127&gt;=F127,"Ready","Budget below minima"),"Check inputs")</x:f>
        <x:v>Ready</x:v>
      </x:c>
      <x:c r="U127" s="22" t="n">
        <x:f>IF(COUNT(I127,M127,N127)=3,MAX(0,ROUND(I127+M127-N127,2)),"n.a.")</x:f>
        <x:v>0</x:v>
      </x:c>
    </x:row>
    <x:row r="128" ht="22" customHeight="1">
      <x:c r="A128" s="2"/>
      <x:c r="B128" s="2"/>
      <x:c r="C128" s="27" t="n">
        <x:f>25</x:f>
        <x:v>25</x:v>
      </x:c>
      <x:c r="D128" s="28" t="n">
        <x:f>IF(ISNUMBER('Inputs'!$D$7),EDATE('Inputs'!$D$7,24),"n.a.")</x:f>
        <x:v>47058</x:v>
      </x:c>
      <x:c r="E128" s="26" t="n">
        <x:f>IF('Inputs'!$D$9&lt;&gt;"Ready","n.a.",IF(ISNUMBER('Inputs'!E43),IF('Inputs'!E43&gt;=0,'Inputs'!E43,"n.a."),IF('Inputs'!E43="",'Inputs'!$D$6,"n.a.")))</x:f>
        <x:v>500</x:v>
      </x:c>
      <x:c r="F128" s="22" t="n">
        <x:f>IF(COUNT($N$127:$N$131)=5,SUM($N$127:$N$131),"n.a.")</x:f>
        <x:v>0</x:v>
      </x:c>
      <x:c r="G128" s="22" t="n">
        <x:f>IF(COUNT(E128:F128)=2,MAX(0,E128-F128),"n.a.")</x:f>
        <x:v>500</x:v>
      </x:c>
      <x:c r="H128" s="26" t="str">
        <x:f>'Inputs'!C12</x:f>
        <x:v>Card B</x:v>
      </x:c>
      <x:c r="I128" s="26" t="n">
        <x:f>S123</x:f>
        <x:v>0</x:v>
      </x:c>
      <x:c r="J128" s="29" t="n">
        <x:f>IF('Inputs'!$D$9="Ready",'Inputs'!E12,"n.a.")</x:f>
        <x:v>0.18</x:v>
      </x:c>
      <x:c r="K128" s="26" t="n">
        <x:f>IF('Inputs'!$D$9="Ready",'Inputs'!F12,"n.a.")</x:f>
        <x:v>60</x:v>
      </x:c>
      <x:c r="L128" s="29" t="n">
        <x:f>IF('Inputs'!$D$9="Ready",'Inputs'!G12,"n.a.")</x:f>
        <x:v>0.02</x:v>
      </x:c>
      <x:c r="M128" s="22" t="n">
        <x:f>IF(COUNT(I128:L128)=4,ROUND(I128*J128/12,2),"n.a.")</x:f>
        <x:v>0</x:v>
      </x:c>
      <x:c r="N128" s="22" t="n">
        <x:f>IF(COUNT(I128:M128)=5,MIN(I128+M128,ROUND(MAX(K128,I128*L128+M128),2)),"n.a.")</x:f>
        <x:v>0</x:v>
      </x:c>
      <x:c r="O128" s="30" t="n">
        <x:f>IF(COUNT($I$127:$I$131)&lt;&gt;5,"n.a.",IF(I128=0,6,IF('Inputs'!$D$5=1,COUNTIFS($I$127:$I$131,"&gt;0",$I$127:$I$131,"&lt;"&amp;I128)+COUNTIFS($I$127:I128,I128),COUNTIFS($I$127:$I$131,"&gt;0",$J$127:$J$131,"&gt;"&amp;J128)+COUNTIFS($I$127:I128,"&gt;0",$J$127:J128,J128))))</x:f>
        <x:v>6</x:v>
      </x:c>
      <x:c r="P128" s="22" t="n">
        <x:f>IF(T128="Ready",MIN(U128,MAX(0,G128-SUMIFS($U$127:$U$131,$O$127:$O$131,"&lt;"&amp;O128))),"n.a.")</x:f>
        <x:v>0</x:v>
      </x:c>
      <x:c r="Q128" s="22" t="n">
        <x:f>IF(T128="Ready",ROUND(N128+P128,2),"n.a.")</x:f>
        <x:v>0</x:v>
      </x:c>
      <x:c r="R128" s="22" t="n">
        <x:f>IF(T128="Ready",ROUND(Q128-M128,2),"n.a.")</x:f>
        <x:v>0</x:v>
      </x:c>
      <x:c r="S128" s="22" t="n">
        <x:f>IF(T128="Ready",MAX(0,ROUND(I128+M128-Q128,2)),"n.a.")</x:f>
        <x:v>0</x:v>
      </x:c>
      <x:c r="T128" s="22" t="str">
        <x:f>IF(AND(COUNT($I$127:$I$131)=5,COUNT(E128:F128)=2),IF(E128&gt;=F128,"Ready","Budget below minima"),"Check inputs")</x:f>
        <x:v>Ready</x:v>
      </x:c>
      <x:c r="U128" s="22" t="n">
        <x:f>IF(COUNT(I128,M128,N128)=3,MAX(0,ROUND(I128+M128-N128,2)),"n.a.")</x:f>
        <x:v>0</x:v>
      </x:c>
    </x:row>
    <x:row r="129" ht="22" customHeight="1">
      <x:c r="A129" s="2"/>
      <x:c r="B129" s="2"/>
      <x:c r="C129" s="27" t="n">
        <x:f>25</x:f>
        <x:v>25</x:v>
      </x:c>
      <x:c r="D129" s="28" t="n">
        <x:f>IF(ISNUMBER('Inputs'!$D$7),EDATE('Inputs'!$D$7,24),"n.a.")</x:f>
        <x:v>47058</x:v>
      </x:c>
      <x:c r="E129" s="26" t="n">
        <x:f>IF('Inputs'!$D$9&lt;&gt;"Ready","n.a.",IF(ISNUMBER('Inputs'!E43),IF('Inputs'!E43&gt;=0,'Inputs'!E43,"n.a."),IF('Inputs'!E43="",'Inputs'!$D$6,"n.a.")))</x:f>
        <x:v>500</x:v>
      </x:c>
      <x:c r="F129" s="22" t="n">
        <x:f>IF(COUNT($N$127:$N$131)=5,SUM($N$127:$N$131),"n.a.")</x:f>
        <x:v>0</x:v>
      </x:c>
      <x:c r="G129" s="22" t="n">
        <x:f>IF(COUNT(E129:F129)=2,MAX(0,E129-F129),"n.a.")</x:f>
        <x:v>500</x:v>
      </x:c>
      <x:c r="H129" s="26" t="str">
        <x:f>'Inputs'!C13</x:f>
        <x:v>Loan C</x:v>
      </x:c>
      <x:c r="I129" s="26" t="n">
        <x:f>S124</x:f>
        <x:v>0</x:v>
      </x:c>
      <x:c r="J129" s="29" t="n">
        <x:f>IF('Inputs'!$D$9="Ready",'Inputs'!E13,"n.a.")</x:f>
        <x:v>0.08</x:v>
      </x:c>
      <x:c r="K129" s="26" t="n">
        <x:f>IF('Inputs'!$D$9="Ready",'Inputs'!F13,"n.a.")</x:f>
        <x:v>150</x:v>
      </x:c>
      <x:c r="L129" s="29" t="n">
        <x:f>IF('Inputs'!$D$9="Ready",'Inputs'!G13,"n.a.")</x:f>
        <x:v>0</x:v>
      </x:c>
      <x:c r="M129" s="22" t="n">
        <x:f>IF(COUNT(I129:L129)=4,ROUND(I129*J129/12,2),"n.a.")</x:f>
        <x:v>0</x:v>
      </x:c>
      <x:c r="N129" s="22" t="n">
        <x:f>IF(COUNT(I129:M129)=5,MIN(I129+M129,ROUND(MAX(K129,I129*L129+M129),2)),"n.a.")</x:f>
        <x:v>0</x:v>
      </x:c>
      <x:c r="O129" s="30" t="n">
        <x:f>IF(COUNT($I$127:$I$131)&lt;&gt;5,"n.a.",IF(I129=0,6,IF('Inputs'!$D$5=1,COUNTIFS($I$127:$I$131,"&gt;0",$I$127:$I$131,"&lt;"&amp;I129)+COUNTIFS($I$127:I129,I129),COUNTIFS($I$127:$I$131,"&gt;0",$J$127:$J$131,"&gt;"&amp;J129)+COUNTIFS($I$127:I129,"&gt;0",$J$127:J129,J129))))</x:f>
        <x:v>6</x:v>
      </x:c>
      <x:c r="P129" s="22" t="n">
        <x:f>IF(T129="Ready",MIN(U129,MAX(0,G129-SUMIFS($U$127:$U$131,$O$127:$O$131,"&lt;"&amp;O129))),"n.a.")</x:f>
        <x:v>0</x:v>
      </x:c>
      <x:c r="Q129" s="22" t="n">
        <x:f>IF(T129="Ready",ROUND(N129+P129,2),"n.a.")</x:f>
        <x:v>0</x:v>
      </x:c>
      <x:c r="R129" s="22" t="n">
        <x:f>IF(T129="Ready",ROUND(Q129-M129,2),"n.a.")</x:f>
        <x:v>0</x:v>
      </x:c>
      <x:c r="S129" s="22" t="n">
        <x:f>IF(T129="Ready",MAX(0,ROUND(I129+M129-Q129,2)),"n.a.")</x:f>
        <x:v>0</x:v>
      </x:c>
      <x:c r="T129" s="22" t="str">
        <x:f>IF(AND(COUNT($I$127:$I$131)=5,COUNT(E129:F129)=2),IF(E129&gt;=F129,"Ready","Budget below minima"),"Check inputs")</x:f>
        <x:v>Ready</x:v>
      </x:c>
      <x:c r="U129" s="22" t="n">
        <x:f>IF(COUNT(I129,M129,N129)=3,MAX(0,ROUND(I129+M129-N129,2)),"n.a.")</x:f>
        <x:v>0</x:v>
      </x:c>
    </x:row>
    <x:row r="130" ht="22" customHeight="1">
      <x:c r="A130" s="2"/>
      <x:c r="B130" s="2"/>
      <x:c r="C130" s="27" t="n">
        <x:f>25</x:f>
        <x:v>25</x:v>
      </x:c>
      <x:c r="D130" s="28" t="n">
        <x:f>IF(ISNUMBER('Inputs'!$D$7),EDATE('Inputs'!$D$7,24),"n.a.")</x:f>
        <x:v>47058</x:v>
      </x:c>
      <x:c r="E130" s="26" t="n">
        <x:f>IF('Inputs'!$D$9&lt;&gt;"Ready","n.a.",IF(ISNUMBER('Inputs'!E43),IF('Inputs'!E43&gt;=0,'Inputs'!E43,"n.a."),IF('Inputs'!E43="",'Inputs'!$D$6,"n.a.")))</x:f>
        <x:v>500</x:v>
      </x:c>
      <x:c r="F130" s="22" t="n">
        <x:f>IF(COUNT($N$127:$N$131)=5,SUM($N$127:$N$131),"n.a.")</x:f>
        <x:v>0</x:v>
      </x:c>
      <x:c r="G130" s="22" t="n">
        <x:f>IF(COUNT(E130:F130)=2,MAX(0,E130-F130),"n.a.")</x:f>
        <x:v>500</x:v>
      </x:c>
      <x:c r="H130" s="26" t="str">
        <x:f>'Inputs'!C14</x:f>
        <x:v>Unused 4</x:v>
      </x:c>
      <x:c r="I130" s="26" t="n">
        <x:f>S125</x:f>
        <x:v>0</x:v>
      </x:c>
      <x:c r="J130" s="29" t="n">
        <x:f>IF('Inputs'!$D$9="Ready",'Inputs'!E14,"n.a.")</x:f>
        <x:v>0</x:v>
      </x:c>
      <x:c r="K130" s="26" t="n">
        <x:f>IF('Inputs'!$D$9="Ready",'Inputs'!F14,"n.a.")</x:f>
        <x:v>0</x:v>
      </x:c>
      <x:c r="L130" s="29" t="n">
        <x:f>IF('Inputs'!$D$9="Ready",'Inputs'!G14,"n.a.")</x:f>
        <x:v>0</x:v>
      </x:c>
      <x:c r="M130" s="22" t="n">
        <x:f>IF(COUNT(I130:L130)=4,ROUND(I130*J130/12,2),"n.a.")</x:f>
        <x:v>0</x:v>
      </x:c>
      <x:c r="N130" s="22" t="n">
        <x:f>IF(COUNT(I130:M130)=5,MIN(I130+M130,ROUND(MAX(K130,I130*L130+M130),2)),"n.a.")</x:f>
        <x:v>0</x:v>
      </x:c>
      <x:c r="O130" s="30" t="n">
        <x:f>IF(COUNT($I$127:$I$131)&lt;&gt;5,"n.a.",IF(I130=0,6,IF('Inputs'!$D$5=1,COUNTIFS($I$127:$I$131,"&gt;0",$I$127:$I$131,"&lt;"&amp;I130)+COUNTIFS($I$127:I130,I130),COUNTIFS($I$127:$I$131,"&gt;0",$J$127:$J$131,"&gt;"&amp;J130)+COUNTIFS($I$127:I130,"&gt;0",$J$127:J130,J130))))</x:f>
        <x:v>6</x:v>
      </x:c>
      <x:c r="P130" s="22" t="n">
        <x:f>IF(T130="Ready",MIN(U130,MAX(0,G130-SUMIFS($U$127:$U$131,$O$127:$O$131,"&lt;"&amp;O130))),"n.a.")</x:f>
        <x:v>0</x:v>
      </x:c>
      <x:c r="Q130" s="22" t="n">
        <x:f>IF(T130="Ready",ROUND(N130+P130,2),"n.a.")</x:f>
        <x:v>0</x:v>
      </x:c>
      <x:c r="R130" s="22" t="n">
        <x:f>IF(T130="Ready",ROUND(Q130-M130,2),"n.a.")</x:f>
        <x:v>0</x:v>
      </x:c>
      <x:c r="S130" s="22" t="n">
        <x:f>IF(T130="Ready",MAX(0,ROUND(I130+M130-Q130,2)),"n.a.")</x:f>
        <x:v>0</x:v>
      </x:c>
      <x:c r="T130" s="22" t="str">
        <x:f>IF(AND(COUNT($I$127:$I$131)=5,COUNT(E130:F130)=2),IF(E130&gt;=F130,"Ready","Budget below minima"),"Check inputs")</x:f>
        <x:v>Ready</x:v>
      </x:c>
      <x:c r="U130" s="22" t="n">
        <x:f>IF(COUNT(I130,M130,N130)=3,MAX(0,ROUND(I130+M130-N130,2)),"n.a.")</x:f>
        <x:v>0</x:v>
      </x:c>
    </x:row>
    <x:row r="131" ht="22" customHeight="1">
      <x:c r="A131" s="2"/>
      <x:c r="B131" s="2"/>
      <x:c r="C131" s="27" t="n">
        <x:f>25</x:f>
        <x:v>25</x:v>
      </x:c>
      <x:c r="D131" s="28" t="n">
        <x:f>IF(ISNUMBER('Inputs'!$D$7),EDATE('Inputs'!$D$7,24),"n.a.")</x:f>
        <x:v>47058</x:v>
      </x:c>
      <x:c r="E131" s="26" t="n">
        <x:f>IF('Inputs'!$D$9&lt;&gt;"Ready","n.a.",IF(ISNUMBER('Inputs'!E43),IF('Inputs'!E43&gt;=0,'Inputs'!E43,"n.a."),IF('Inputs'!E43="",'Inputs'!$D$6,"n.a.")))</x:f>
        <x:v>500</x:v>
      </x:c>
      <x:c r="F131" s="22" t="n">
        <x:f>IF(COUNT($N$127:$N$131)=5,SUM($N$127:$N$131),"n.a.")</x:f>
        <x:v>0</x:v>
      </x:c>
      <x:c r="G131" s="22" t="n">
        <x:f>IF(COUNT(E131:F131)=2,MAX(0,E131-F131),"n.a.")</x:f>
        <x:v>500</x:v>
      </x:c>
      <x:c r="H131" s="26" t="str">
        <x:f>'Inputs'!C15</x:f>
        <x:v>Unused 5</x:v>
      </x:c>
      <x:c r="I131" s="26" t="n">
        <x:f>S126</x:f>
        <x:v>0</x:v>
      </x:c>
      <x:c r="J131" s="29" t="n">
        <x:f>IF('Inputs'!$D$9="Ready",'Inputs'!E15,"n.a.")</x:f>
        <x:v>0</x:v>
      </x:c>
      <x:c r="K131" s="26" t="n">
        <x:f>IF('Inputs'!$D$9="Ready",'Inputs'!F15,"n.a.")</x:f>
        <x:v>0</x:v>
      </x:c>
      <x:c r="L131" s="29" t="n">
        <x:f>IF('Inputs'!$D$9="Ready",'Inputs'!G15,"n.a.")</x:f>
        <x:v>0</x:v>
      </x:c>
      <x:c r="M131" s="22" t="n">
        <x:f>IF(COUNT(I131:L131)=4,ROUND(I131*J131/12,2),"n.a.")</x:f>
        <x:v>0</x:v>
      </x:c>
      <x:c r="N131" s="22" t="n">
        <x:f>IF(COUNT(I131:M131)=5,MIN(I131+M131,ROUND(MAX(K131,I131*L131+M131),2)),"n.a.")</x:f>
        <x:v>0</x:v>
      </x:c>
      <x:c r="O131" s="30" t="n">
        <x:f>IF(COUNT($I$127:$I$131)&lt;&gt;5,"n.a.",IF(I131=0,6,IF('Inputs'!$D$5=1,COUNTIFS($I$127:$I$131,"&gt;0",$I$127:$I$131,"&lt;"&amp;I131)+COUNTIFS($I$127:I131,I131),COUNTIFS($I$127:$I$131,"&gt;0",$J$127:$J$131,"&gt;"&amp;J131)+COUNTIFS($I$127:I131,"&gt;0",$J$127:J131,J131))))</x:f>
        <x:v>6</x:v>
      </x:c>
      <x:c r="P131" s="22" t="n">
        <x:f>IF(T131="Ready",MIN(U131,MAX(0,G131-SUMIFS($U$127:$U$131,$O$127:$O$131,"&lt;"&amp;O131))),"n.a.")</x:f>
        <x:v>0</x:v>
      </x:c>
      <x:c r="Q131" s="22" t="n">
        <x:f>IF(T131="Ready",ROUND(N131+P131,2),"n.a.")</x:f>
        <x:v>0</x:v>
      </x:c>
      <x:c r="R131" s="22" t="n">
        <x:f>IF(T131="Ready",ROUND(Q131-M131,2),"n.a.")</x:f>
        <x:v>0</x:v>
      </x:c>
      <x:c r="S131" s="22" t="n">
        <x:f>IF(T131="Ready",MAX(0,ROUND(I131+M131-Q131,2)),"n.a.")</x:f>
        <x:v>0</x:v>
      </x:c>
      <x:c r="T131" s="22" t="str">
        <x:f>IF(AND(COUNT($I$127:$I$131)=5,COUNT(E131:F131)=2),IF(E131&gt;=F131,"Ready","Budget below minima"),"Check inputs")</x:f>
        <x:v>Ready</x:v>
      </x:c>
      <x:c r="U131" s="22" t="n">
        <x:f>IF(COUNT(I131,M131,N131)=3,MAX(0,ROUND(I131+M131-N131,2)),"n.a.")</x:f>
        <x:v>0</x:v>
      </x:c>
    </x:row>
    <x:row r="132" ht="22" customHeight="1">
      <x:c r="A132" s="2"/>
      <x:c r="B132" s="2"/>
      <x:c r="C132" s="27" t="n">
        <x:f>26</x:f>
        <x:v>26</x:v>
      </x:c>
      <x:c r="D132" s="28" t="n">
        <x:f>IF(ISNUMBER('Inputs'!$D$7),EDATE('Inputs'!$D$7,25),"n.a.")</x:f>
        <x:v>47088</x:v>
      </x:c>
      <x:c r="E132" s="26" t="n">
        <x:f>IF('Inputs'!$D$9&lt;&gt;"Ready","n.a.",IF(ISNUMBER('Inputs'!E44),IF('Inputs'!E44&gt;=0,'Inputs'!E44,"n.a."),IF('Inputs'!E44="",'Inputs'!$D$6,"n.a.")))</x:f>
        <x:v>500</x:v>
      </x:c>
      <x:c r="F132" s="22" t="n">
        <x:f>IF(COUNT($N$132:$N$136)=5,SUM($N$132:$N$136),"n.a.")</x:f>
        <x:v>0</x:v>
      </x:c>
      <x:c r="G132" s="22" t="n">
        <x:f>IF(COUNT(E132:F132)=2,MAX(0,E132-F132),"n.a.")</x:f>
        <x:v>500</x:v>
      </x:c>
      <x:c r="H132" s="26" t="str">
        <x:f>'Inputs'!C11</x:f>
        <x:v>Card A</x:v>
      </x:c>
      <x:c r="I132" s="26" t="n">
        <x:f>S127</x:f>
        <x:v>0</x:v>
      </x:c>
      <x:c r="J132" s="29" t="n">
        <x:f>IF('Inputs'!$D$9="Ready",'Inputs'!E11,"n.a.")</x:f>
        <x:v>0.24</x:v>
      </x:c>
      <x:c r="K132" s="26" t="n">
        <x:f>IF('Inputs'!$D$9="Ready",'Inputs'!F11,"n.a.")</x:f>
        <x:v>35</x:v>
      </x:c>
      <x:c r="L132" s="29" t="n">
        <x:f>IF('Inputs'!$D$9="Ready",'Inputs'!G11,"n.a.")</x:f>
        <x:v>0.02</x:v>
      </x:c>
      <x:c r="M132" s="22" t="n">
        <x:f>IF(COUNT(I132:L132)=4,ROUND(I132*J132/12,2),"n.a.")</x:f>
        <x:v>0</x:v>
      </x:c>
      <x:c r="N132" s="22" t="n">
        <x:f>IF(COUNT(I132:M132)=5,MIN(I132+M132,ROUND(MAX(K132,I132*L132+M132),2)),"n.a.")</x:f>
        <x:v>0</x:v>
      </x:c>
      <x:c r="O132" s="30" t="n">
        <x:f>IF(COUNT($I$132:$I$136)&lt;&gt;5,"n.a.",IF(I132=0,6,IF('Inputs'!$D$5=1,COUNTIFS($I$132:$I$136,"&gt;0",$I$132:$I$136,"&lt;"&amp;I132)+COUNTIFS($I$132:I132,I132),COUNTIFS($I$132:$I$136,"&gt;0",$J$132:$J$136,"&gt;"&amp;J132)+COUNTIFS($I$132:I132,"&gt;0",$J$132:J132,J132))))</x:f>
        <x:v>6</x:v>
      </x:c>
      <x:c r="P132" s="22" t="n">
        <x:f>IF(T132="Ready",MIN(U132,MAX(0,G132-SUMIFS($U$132:$U$136,$O$132:$O$136,"&lt;"&amp;O132))),"n.a.")</x:f>
        <x:v>0</x:v>
      </x:c>
      <x:c r="Q132" s="22" t="n">
        <x:f>IF(T132="Ready",ROUND(N132+P132,2),"n.a.")</x:f>
        <x:v>0</x:v>
      </x:c>
      <x:c r="R132" s="22" t="n">
        <x:f>IF(T132="Ready",ROUND(Q132-M132,2),"n.a.")</x:f>
        <x:v>0</x:v>
      </x:c>
      <x:c r="S132" s="22" t="n">
        <x:f>IF(T132="Ready",MAX(0,ROUND(I132+M132-Q132,2)),"n.a.")</x:f>
        <x:v>0</x:v>
      </x:c>
      <x:c r="T132" s="22" t="str">
        <x:f>IF(AND(COUNT($I$132:$I$136)=5,COUNT(E132:F132)=2),IF(E132&gt;=F132,"Ready","Budget below minima"),"Check inputs")</x:f>
        <x:v>Ready</x:v>
      </x:c>
      <x:c r="U132" s="22" t="n">
        <x:f>IF(COUNT(I132,M132,N132)=3,MAX(0,ROUND(I132+M132-N132,2)),"n.a.")</x:f>
        <x:v>0</x:v>
      </x:c>
    </x:row>
    <x:row r="133" ht="22" customHeight="1">
      <x:c r="A133" s="2"/>
      <x:c r="B133" s="2"/>
      <x:c r="C133" s="27" t="n">
        <x:f>26</x:f>
        <x:v>26</x:v>
      </x:c>
      <x:c r="D133" s="28" t="n">
        <x:f>IF(ISNUMBER('Inputs'!$D$7),EDATE('Inputs'!$D$7,25),"n.a.")</x:f>
        <x:v>47088</x:v>
      </x:c>
      <x:c r="E133" s="26" t="n">
        <x:f>IF('Inputs'!$D$9&lt;&gt;"Ready","n.a.",IF(ISNUMBER('Inputs'!E44),IF('Inputs'!E44&gt;=0,'Inputs'!E44,"n.a."),IF('Inputs'!E44="",'Inputs'!$D$6,"n.a.")))</x:f>
        <x:v>500</x:v>
      </x:c>
      <x:c r="F133" s="22" t="n">
        <x:f>IF(COUNT($N$132:$N$136)=5,SUM($N$132:$N$136),"n.a.")</x:f>
        <x:v>0</x:v>
      </x:c>
      <x:c r="G133" s="22" t="n">
        <x:f>IF(COUNT(E133:F133)=2,MAX(0,E133-F133),"n.a.")</x:f>
        <x:v>500</x:v>
      </x:c>
      <x:c r="H133" s="26" t="str">
        <x:f>'Inputs'!C12</x:f>
        <x:v>Card B</x:v>
      </x:c>
      <x:c r="I133" s="26" t="n">
        <x:f>S128</x:f>
        <x:v>0</x:v>
      </x:c>
      <x:c r="J133" s="29" t="n">
        <x:f>IF('Inputs'!$D$9="Ready",'Inputs'!E12,"n.a.")</x:f>
        <x:v>0.18</x:v>
      </x:c>
      <x:c r="K133" s="26" t="n">
        <x:f>IF('Inputs'!$D$9="Ready",'Inputs'!F12,"n.a.")</x:f>
        <x:v>60</x:v>
      </x:c>
      <x:c r="L133" s="29" t="n">
        <x:f>IF('Inputs'!$D$9="Ready",'Inputs'!G12,"n.a.")</x:f>
        <x:v>0.02</x:v>
      </x:c>
      <x:c r="M133" s="22" t="n">
        <x:f>IF(COUNT(I133:L133)=4,ROUND(I133*J133/12,2),"n.a.")</x:f>
        <x:v>0</x:v>
      </x:c>
      <x:c r="N133" s="22" t="n">
        <x:f>IF(COUNT(I133:M133)=5,MIN(I133+M133,ROUND(MAX(K133,I133*L133+M133),2)),"n.a.")</x:f>
        <x:v>0</x:v>
      </x:c>
      <x:c r="O133" s="30" t="n">
        <x:f>IF(COUNT($I$132:$I$136)&lt;&gt;5,"n.a.",IF(I133=0,6,IF('Inputs'!$D$5=1,COUNTIFS($I$132:$I$136,"&gt;0",$I$132:$I$136,"&lt;"&amp;I133)+COUNTIFS($I$132:I133,I133),COUNTIFS($I$132:$I$136,"&gt;0",$J$132:$J$136,"&gt;"&amp;J133)+COUNTIFS($I$132:I133,"&gt;0",$J$132:J133,J133))))</x:f>
        <x:v>6</x:v>
      </x:c>
      <x:c r="P133" s="22" t="n">
        <x:f>IF(T133="Ready",MIN(U133,MAX(0,G133-SUMIFS($U$132:$U$136,$O$132:$O$136,"&lt;"&amp;O133))),"n.a.")</x:f>
        <x:v>0</x:v>
      </x:c>
      <x:c r="Q133" s="22" t="n">
        <x:f>IF(T133="Ready",ROUND(N133+P133,2),"n.a.")</x:f>
        <x:v>0</x:v>
      </x:c>
      <x:c r="R133" s="22" t="n">
        <x:f>IF(T133="Ready",ROUND(Q133-M133,2),"n.a.")</x:f>
        <x:v>0</x:v>
      </x:c>
      <x:c r="S133" s="22" t="n">
        <x:f>IF(T133="Ready",MAX(0,ROUND(I133+M133-Q133,2)),"n.a.")</x:f>
        <x:v>0</x:v>
      </x:c>
      <x:c r="T133" s="22" t="str">
        <x:f>IF(AND(COUNT($I$132:$I$136)=5,COUNT(E133:F133)=2),IF(E133&gt;=F133,"Ready","Budget below minima"),"Check inputs")</x:f>
        <x:v>Ready</x:v>
      </x:c>
      <x:c r="U133" s="22" t="n">
        <x:f>IF(COUNT(I133,M133,N133)=3,MAX(0,ROUND(I133+M133-N133,2)),"n.a.")</x:f>
        <x:v>0</x:v>
      </x:c>
    </x:row>
    <x:row r="134" ht="22" customHeight="1">
      <x:c r="A134" s="2"/>
      <x:c r="B134" s="2"/>
      <x:c r="C134" s="27" t="n">
        <x:f>26</x:f>
        <x:v>26</x:v>
      </x:c>
      <x:c r="D134" s="28" t="n">
        <x:f>IF(ISNUMBER('Inputs'!$D$7),EDATE('Inputs'!$D$7,25),"n.a.")</x:f>
        <x:v>47088</x:v>
      </x:c>
      <x:c r="E134" s="26" t="n">
        <x:f>IF('Inputs'!$D$9&lt;&gt;"Ready","n.a.",IF(ISNUMBER('Inputs'!E44),IF('Inputs'!E44&gt;=0,'Inputs'!E44,"n.a."),IF('Inputs'!E44="",'Inputs'!$D$6,"n.a.")))</x:f>
        <x:v>500</x:v>
      </x:c>
      <x:c r="F134" s="22" t="n">
        <x:f>IF(COUNT($N$132:$N$136)=5,SUM($N$132:$N$136),"n.a.")</x:f>
        <x:v>0</x:v>
      </x:c>
      <x:c r="G134" s="22" t="n">
        <x:f>IF(COUNT(E134:F134)=2,MAX(0,E134-F134),"n.a.")</x:f>
        <x:v>500</x:v>
      </x:c>
      <x:c r="H134" s="26" t="str">
        <x:f>'Inputs'!C13</x:f>
        <x:v>Loan C</x:v>
      </x:c>
      <x:c r="I134" s="26" t="n">
        <x:f>S129</x:f>
        <x:v>0</x:v>
      </x:c>
      <x:c r="J134" s="29" t="n">
        <x:f>IF('Inputs'!$D$9="Ready",'Inputs'!E13,"n.a.")</x:f>
        <x:v>0.08</x:v>
      </x:c>
      <x:c r="K134" s="26" t="n">
        <x:f>IF('Inputs'!$D$9="Ready",'Inputs'!F13,"n.a.")</x:f>
        <x:v>150</x:v>
      </x:c>
      <x:c r="L134" s="29" t="n">
        <x:f>IF('Inputs'!$D$9="Ready",'Inputs'!G13,"n.a.")</x:f>
        <x:v>0</x:v>
      </x:c>
      <x:c r="M134" s="22" t="n">
        <x:f>IF(COUNT(I134:L134)=4,ROUND(I134*J134/12,2),"n.a.")</x:f>
        <x:v>0</x:v>
      </x:c>
      <x:c r="N134" s="22" t="n">
        <x:f>IF(COUNT(I134:M134)=5,MIN(I134+M134,ROUND(MAX(K134,I134*L134+M134),2)),"n.a.")</x:f>
        <x:v>0</x:v>
      </x:c>
      <x:c r="O134" s="30" t="n">
        <x:f>IF(COUNT($I$132:$I$136)&lt;&gt;5,"n.a.",IF(I134=0,6,IF('Inputs'!$D$5=1,COUNTIFS($I$132:$I$136,"&gt;0",$I$132:$I$136,"&lt;"&amp;I134)+COUNTIFS($I$132:I134,I134),COUNTIFS($I$132:$I$136,"&gt;0",$J$132:$J$136,"&gt;"&amp;J134)+COUNTIFS($I$132:I134,"&gt;0",$J$132:J134,J134))))</x:f>
        <x:v>6</x:v>
      </x:c>
      <x:c r="P134" s="22" t="n">
        <x:f>IF(T134="Ready",MIN(U134,MAX(0,G134-SUMIFS($U$132:$U$136,$O$132:$O$136,"&lt;"&amp;O134))),"n.a.")</x:f>
        <x:v>0</x:v>
      </x:c>
      <x:c r="Q134" s="22" t="n">
        <x:f>IF(T134="Ready",ROUND(N134+P134,2),"n.a.")</x:f>
        <x:v>0</x:v>
      </x:c>
      <x:c r="R134" s="22" t="n">
        <x:f>IF(T134="Ready",ROUND(Q134-M134,2),"n.a.")</x:f>
        <x:v>0</x:v>
      </x:c>
      <x:c r="S134" s="22" t="n">
        <x:f>IF(T134="Ready",MAX(0,ROUND(I134+M134-Q134,2)),"n.a.")</x:f>
        <x:v>0</x:v>
      </x:c>
      <x:c r="T134" s="22" t="str">
        <x:f>IF(AND(COUNT($I$132:$I$136)=5,COUNT(E134:F134)=2),IF(E134&gt;=F134,"Ready","Budget below minima"),"Check inputs")</x:f>
        <x:v>Ready</x:v>
      </x:c>
      <x:c r="U134" s="22" t="n">
        <x:f>IF(COUNT(I134,M134,N134)=3,MAX(0,ROUND(I134+M134-N134,2)),"n.a.")</x:f>
        <x:v>0</x:v>
      </x:c>
    </x:row>
    <x:row r="135" ht="22" customHeight="1">
      <x:c r="A135" s="2"/>
      <x:c r="B135" s="2"/>
      <x:c r="C135" s="27" t="n">
        <x:f>26</x:f>
        <x:v>26</x:v>
      </x:c>
      <x:c r="D135" s="28" t="n">
        <x:f>IF(ISNUMBER('Inputs'!$D$7),EDATE('Inputs'!$D$7,25),"n.a.")</x:f>
        <x:v>47088</x:v>
      </x:c>
      <x:c r="E135" s="26" t="n">
        <x:f>IF('Inputs'!$D$9&lt;&gt;"Ready","n.a.",IF(ISNUMBER('Inputs'!E44),IF('Inputs'!E44&gt;=0,'Inputs'!E44,"n.a."),IF('Inputs'!E44="",'Inputs'!$D$6,"n.a.")))</x:f>
        <x:v>500</x:v>
      </x:c>
      <x:c r="F135" s="22" t="n">
        <x:f>IF(COUNT($N$132:$N$136)=5,SUM($N$132:$N$136),"n.a.")</x:f>
        <x:v>0</x:v>
      </x:c>
      <x:c r="G135" s="22" t="n">
        <x:f>IF(COUNT(E135:F135)=2,MAX(0,E135-F135),"n.a.")</x:f>
        <x:v>500</x:v>
      </x:c>
      <x:c r="H135" s="26" t="str">
        <x:f>'Inputs'!C14</x:f>
        <x:v>Unused 4</x:v>
      </x:c>
      <x:c r="I135" s="26" t="n">
        <x:f>S130</x:f>
        <x:v>0</x:v>
      </x:c>
      <x:c r="J135" s="29" t="n">
        <x:f>IF('Inputs'!$D$9="Ready",'Inputs'!E14,"n.a.")</x:f>
        <x:v>0</x:v>
      </x:c>
      <x:c r="K135" s="26" t="n">
        <x:f>IF('Inputs'!$D$9="Ready",'Inputs'!F14,"n.a.")</x:f>
        <x:v>0</x:v>
      </x:c>
      <x:c r="L135" s="29" t="n">
        <x:f>IF('Inputs'!$D$9="Ready",'Inputs'!G14,"n.a.")</x:f>
        <x:v>0</x:v>
      </x:c>
      <x:c r="M135" s="22" t="n">
        <x:f>IF(COUNT(I135:L135)=4,ROUND(I135*J135/12,2),"n.a.")</x:f>
        <x:v>0</x:v>
      </x:c>
      <x:c r="N135" s="22" t="n">
        <x:f>IF(COUNT(I135:M135)=5,MIN(I135+M135,ROUND(MAX(K135,I135*L135+M135),2)),"n.a.")</x:f>
        <x:v>0</x:v>
      </x:c>
      <x:c r="O135" s="30" t="n">
        <x:f>IF(COUNT($I$132:$I$136)&lt;&gt;5,"n.a.",IF(I135=0,6,IF('Inputs'!$D$5=1,COUNTIFS($I$132:$I$136,"&gt;0",$I$132:$I$136,"&lt;"&amp;I135)+COUNTIFS($I$132:I135,I135),COUNTIFS($I$132:$I$136,"&gt;0",$J$132:$J$136,"&gt;"&amp;J135)+COUNTIFS($I$132:I135,"&gt;0",$J$132:J135,J135))))</x:f>
        <x:v>6</x:v>
      </x:c>
      <x:c r="P135" s="22" t="n">
        <x:f>IF(T135="Ready",MIN(U135,MAX(0,G135-SUMIFS($U$132:$U$136,$O$132:$O$136,"&lt;"&amp;O135))),"n.a.")</x:f>
        <x:v>0</x:v>
      </x:c>
      <x:c r="Q135" s="22" t="n">
        <x:f>IF(T135="Ready",ROUND(N135+P135,2),"n.a.")</x:f>
        <x:v>0</x:v>
      </x:c>
      <x:c r="R135" s="22" t="n">
        <x:f>IF(T135="Ready",ROUND(Q135-M135,2),"n.a.")</x:f>
        <x:v>0</x:v>
      </x:c>
      <x:c r="S135" s="22" t="n">
        <x:f>IF(T135="Ready",MAX(0,ROUND(I135+M135-Q135,2)),"n.a.")</x:f>
        <x:v>0</x:v>
      </x:c>
      <x:c r="T135" s="22" t="str">
        <x:f>IF(AND(COUNT($I$132:$I$136)=5,COUNT(E135:F135)=2),IF(E135&gt;=F135,"Ready","Budget below minima"),"Check inputs")</x:f>
        <x:v>Ready</x:v>
      </x:c>
      <x:c r="U135" s="22" t="n">
        <x:f>IF(COUNT(I135,M135,N135)=3,MAX(0,ROUND(I135+M135-N135,2)),"n.a.")</x:f>
        <x:v>0</x:v>
      </x:c>
    </x:row>
    <x:row r="136" ht="22" customHeight="1">
      <x:c r="A136" s="2"/>
      <x:c r="B136" s="2"/>
      <x:c r="C136" s="27" t="n">
        <x:f>26</x:f>
        <x:v>26</x:v>
      </x:c>
      <x:c r="D136" s="28" t="n">
        <x:f>IF(ISNUMBER('Inputs'!$D$7),EDATE('Inputs'!$D$7,25),"n.a.")</x:f>
        <x:v>47088</x:v>
      </x:c>
      <x:c r="E136" s="26" t="n">
        <x:f>IF('Inputs'!$D$9&lt;&gt;"Ready","n.a.",IF(ISNUMBER('Inputs'!E44),IF('Inputs'!E44&gt;=0,'Inputs'!E44,"n.a."),IF('Inputs'!E44="",'Inputs'!$D$6,"n.a.")))</x:f>
        <x:v>500</x:v>
      </x:c>
      <x:c r="F136" s="22" t="n">
        <x:f>IF(COUNT($N$132:$N$136)=5,SUM($N$132:$N$136),"n.a.")</x:f>
        <x:v>0</x:v>
      </x:c>
      <x:c r="G136" s="22" t="n">
        <x:f>IF(COUNT(E136:F136)=2,MAX(0,E136-F136),"n.a.")</x:f>
        <x:v>500</x:v>
      </x:c>
      <x:c r="H136" s="26" t="str">
        <x:f>'Inputs'!C15</x:f>
        <x:v>Unused 5</x:v>
      </x:c>
      <x:c r="I136" s="26" t="n">
        <x:f>S131</x:f>
        <x:v>0</x:v>
      </x:c>
      <x:c r="J136" s="29" t="n">
        <x:f>IF('Inputs'!$D$9="Ready",'Inputs'!E15,"n.a.")</x:f>
        <x:v>0</x:v>
      </x:c>
      <x:c r="K136" s="26" t="n">
        <x:f>IF('Inputs'!$D$9="Ready",'Inputs'!F15,"n.a.")</x:f>
        <x:v>0</x:v>
      </x:c>
      <x:c r="L136" s="29" t="n">
        <x:f>IF('Inputs'!$D$9="Ready",'Inputs'!G15,"n.a.")</x:f>
        <x:v>0</x:v>
      </x:c>
      <x:c r="M136" s="22" t="n">
        <x:f>IF(COUNT(I136:L136)=4,ROUND(I136*J136/12,2),"n.a.")</x:f>
        <x:v>0</x:v>
      </x:c>
      <x:c r="N136" s="22" t="n">
        <x:f>IF(COUNT(I136:M136)=5,MIN(I136+M136,ROUND(MAX(K136,I136*L136+M136),2)),"n.a.")</x:f>
        <x:v>0</x:v>
      </x:c>
      <x:c r="O136" s="30" t="n">
        <x:f>IF(COUNT($I$132:$I$136)&lt;&gt;5,"n.a.",IF(I136=0,6,IF('Inputs'!$D$5=1,COUNTIFS($I$132:$I$136,"&gt;0",$I$132:$I$136,"&lt;"&amp;I136)+COUNTIFS($I$132:I136,I136),COUNTIFS($I$132:$I$136,"&gt;0",$J$132:$J$136,"&gt;"&amp;J136)+COUNTIFS($I$132:I136,"&gt;0",$J$132:J136,J136))))</x:f>
        <x:v>6</x:v>
      </x:c>
      <x:c r="P136" s="22" t="n">
        <x:f>IF(T136="Ready",MIN(U136,MAX(0,G136-SUMIFS($U$132:$U$136,$O$132:$O$136,"&lt;"&amp;O136))),"n.a.")</x:f>
        <x:v>0</x:v>
      </x:c>
      <x:c r="Q136" s="22" t="n">
        <x:f>IF(T136="Ready",ROUND(N136+P136,2),"n.a.")</x:f>
        <x:v>0</x:v>
      </x:c>
      <x:c r="R136" s="22" t="n">
        <x:f>IF(T136="Ready",ROUND(Q136-M136,2),"n.a.")</x:f>
        <x:v>0</x:v>
      </x:c>
      <x:c r="S136" s="22" t="n">
        <x:f>IF(T136="Ready",MAX(0,ROUND(I136+M136-Q136,2)),"n.a.")</x:f>
        <x:v>0</x:v>
      </x:c>
      <x:c r="T136" s="22" t="str">
        <x:f>IF(AND(COUNT($I$132:$I$136)=5,COUNT(E136:F136)=2),IF(E136&gt;=F136,"Ready","Budget below minima"),"Check inputs")</x:f>
        <x:v>Ready</x:v>
      </x:c>
      <x:c r="U136" s="22" t="n">
        <x:f>IF(COUNT(I136,M136,N136)=3,MAX(0,ROUND(I136+M136-N136,2)),"n.a.")</x:f>
        <x:v>0</x:v>
      </x:c>
    </x:row>
    <x:row r="137" ht="22" customHeight="1">
      <x:c r="A137" s="2"/>
      <x:c r="B137" s="2"/>
      <x:c r="C137" s="27" t="n">
        <x:f>27</x:f>
        <x:v>27</x:v>
      </x:c>
      <x:c r="D137" s="28" t="n">
        <x:f>IF(ISNUMBER('Inputs'!$D$7),EDATE('Inputs'!$D$7,26),"n.a.")</x:f>
        <x:v>47119</x:v>
      </x:c>
      <x:c r="E137" s="26" t="n">
        <x:f>IF('Inputs'!$D$9&lt;&gt;"Ready","n.a.",IF(ISNUMBER('Inputs'!E45),IF('Inputs'!E45&gt;=0,'Inputs'!E45,"n.a."),IF('Inputs'!E45="",'Inputs'!$D$6,"n.a.")))</x:f>
        <x:v>500</x:v>
      </x:c>
      <x:c r="F137" s="22" t="n">
        <x:f>IF(COUNT($N$137:$N$141)=5,SUM($N$137:$N$141),"n.a.")</x:f>
        <x:v>0</x:v>
      </x:c>
      <x:c r="G137" s="22" t="n">
        <x:f>IF(COUNT(E137:F137)=2,MAX(0,E137-F137),"n.a.")</x:f>
        <x:v>500</x:v>
      </x:c>
      <x:c r="H137" s="26" t="str">
        <x:f>'Inputs'!C11</x:f>
        <x:v>Card A</x:v>
      </x:c>
      <x:c r="I137" s="26" t="n">
        <x:f>S132</x:f>
        <x:v>0</x:v>
      </x:c>
      <x:c r="J137" s="29" t="n">
        <x:f>IF('Inputs'!$D$9="Ready",'Inputs'!E11,"n.a.")</x:f>
        <x:v>0.24</x:v>
      </x:c>
      <x:c r="K137" s="26" t="n">
        <x:f>IF('Inputs'!$D$9="Ready",'Inputs'!F11,"n.a.")</x:f>
        <x:v>35</x:v>
      </x:c>
      <x:c r="L137" s="29" t="n">
        <x:f>IF('Inputs'!$D$9="Ready",'Inputs'!G11,"n.a.")</x:f>
        <x:v>0.02</x:v>
      </x:c>
      <x:c r="M137" s="22" t="n">
        <x:f>IF(COUNT(I137:L137)=4,ROUND(I137*J137/12,2),"n.a.")</x:f>
        <x:v>0</x:v>
      </x:c>
      <x:c r="N137" s="22" t="n">
        <x:f>IF(COUNT(I137:M137)=5,MIN(I137+M137,ROUND(MAX(K137,I137*L137+M137),2)),"n.a.")</x:f>
        <x:v>0</x:v>
      </x:c>
      <x:c r="O137" s="30" t="n">
        <x:f>IF(COUNT($I$137:$I$141)&lt;&gt;5,"n.a.",IF(I137=0,6,IF('Inputs'!$D$5=1,COUNTIFS($I$137:$I$141,"&gt;0",$I$137:$I$141,"&lt;"&amp;I137)+COUNTIFS($I$137:I137,I137),COUNTIFS($I$137:$I$141,"&gt;0",$J$137:$J$141,"&gt;"&amp;J137)+COUNTIFS($I$137:I137,"&gt;0",$J$137:J137,J137))))</x:f>
        <x:v>6</x:v>
      </x:c>
      <x:c r="P137" s="22" t="n">
        <x:f>IF(T137="Ready",MIN(U137,MAX(0,G137-SUMIFS($U$137:$U$141,$O$137:$O$141,"&lt;"&amp;O137))),"n.a.")</x:f>
        <x:v>0</x:v>
      </x:c>
      <x:c r="Q137" s="22" t="n">
        <x:f>IF(T137="Ready",ROUND(N137+P137,2),"n.a.")</x:f>
        <x:v>0</x:v>
      </x:c>
      <x:c r="R137" s="22" t="n">
        <x:f>IF(T137="Ready",ROUND(Q137-M137,2),"n.a.")</x:f>
        <x:v>0</x:v>
      </x:c>
      <x:c r="S137" s="22" t="n">
        <x:f>IF(T137="Ready",MAX(0,ROUND(I137+M137-Q137,2)),"n.a.")</x:f>
        <x:v>0</x:v>
      </x:c>
      <x:c r="T137" s="22" t="str">
        <x:f>IF(AND(COUNT($I$137:$I$141)=5,COUNT(E137:F137)=2),IF(E137&gt;=F137,"Ready","Budget below minima"),"Check inputs")</x:f>
        <x:v>Ready</x:v>
      </x:c>
      <x:c r="U137" s="22" t="n">
        <x:f>IF(COUNT(I137,M137,N137)=3,MAX(0,ROUND(I137+M137-N137,2)),"n.a.")</x:f>
        <x:v>0</x:v>
      </x:c>
    </x:row>
    <x:row r="138" ht="22" customHeight="1">
      <x:c r="A138" s="2"/>
      <x:c r="B138" s="2"/>
      <x:c r="C138" s="27" t="n">
        <x:f>27</x:f>
        <x:v>27</x:v>
      </x:c>
      <x:c r="D138" s="28" t="n">
        <x:f>IF(ISNUMBER('Inputs'!$D$7),EDATE('Inputs'!$D$7,26),"n.a.")</x:f>
        <x:v>47119</x:v>
      </x:c>
      <x:c r="E138" s="26" t="n">
        <x:f>IF('Inputs'!$D$9&lt;&gt;"Ready","n.a.",IF(ISNUMBER('Inputs'!E45),IF('Inputs'!E45&gt;=0,'Inputs'!E45,"n.a."),IF('Inputs'!E45="",'Inputs'!$D$6,"n.a.")))</x:f>
        <x:v>500</x:v>
      </x:c>
      <x:c r="F138" s="22" t="n">
        <x:f>IF(COUNT($N$137:$N$141)=5,SUM($N$137:$N$141),"n.a.")</x:f>
        <x:v>0</x:v>
      </x:c>
      <x:c r="G138" s="22" t="n">
        <x:f>IF(COUNT(E138:F138)=2,MAX(0,E138-F138),"n.a.")</x:f>
        <x:v>500</x:v>
      </x:c>
      <x:c r="H138" s="26" t="str">
        <x:f>'Inputs'!C12</x:f>
        <x:v>Card B</x:v>
      </x:c>
      <x:c r="I138" s="26" t="n">
        <x:f>S133</x:f>
        <x:v>0</x:v>
      </x:c>
      <x:c r="J138" s="29" t="n">
        <x:f>IF('Inputs'!$D$9="Ready",'Inputs'!E12,"n.a.")</x:f>
        <x:v>0.18</x:v>
      </x:c>
      <x:c r="K138" s="26" t="n">
        <x:f>IF('Inputs'!$D$9="Ready",'Inputs'!F12,"n.a.")</x:f>
        <x:v>60</x:v>
      </x:c>
      <x:c r="L138" s="29" t="n">
        <x:f>IF('Inputs'!$D$9="Ready",'Inputs'!G12,"n.a.")</x:f>
        <x:v>0.02</x:v>
      </x:c>
      <x:c r="M138" s="22" t="n">
        <x:f>IF(COUNT(I138:L138)=4,ROUND(I138*J138/12,2),"n.a.")</x:f>
        <x:v>0</x:v>
      </x:c>
      <x:c r="N138" s="22" t="n">
        <x:f>IF(COUNT(I138:M138)=5,MIN(I138+M138,ROUND(MAX(K138,I138*L138+M138),2)),"n.a.")</x:f>
        <x:v>0</x:v>
      </x:c>
      <x:c r="O138" s="30" t="n">
        <x:f>IF(COUNT($I$137:$I$141)&lt;&gt;5,"n.a.",IF(I138=0,6,IF('Inputs'!$D$5=1,COUNTIFS($I$137:$I$141,"&gt;0",$I$137:$I$141,"&lt;"&amp;I138)+COUNTIFS($I$137:I138,I138),COUNTIFS($I$137:$I$141,"&gt;0",$J$137:$J$141,"&gt;"&amp;J138)+COUNTIFS($I$137:I138,"&gt;0",$J$137:J138,J138))))</x:f>
        <x:v>6</x:v>
      </x:c>
      <x:c r="P138" s="22" t="n">
        <x:f>IF(T138="Ready",MIN(U138,MAX(0,G138-SUMIFS($U$137:$U$141,$O$137:$O$141,"&lt;"&amp;O138))),"n.a.")</x:f>
        <x:v>0</x:v>
      </x:c>
      <x:c r="Q138" s="22" t="n">
        <x:f>IF(T138="Ready",ROUND(N138+P138,2),"n.a.")</x:f>
        <x:v>0</x:v>
      </x:c>
      <x:c r="R138" s="22" t="n">
        <x:f>IF(T138="Ready",ROUND(Q138-M138,2),"n.a.")</x:f>
        <x:v>0</x:v>
      </x:c>
      <x:c r="S138" s="22" t="n">
        <x:f>IF(T138="Ready",MAX(0,ROUND(I138+M138-Q138,2)),"n.a.")</x:f>
        <x:v>0</x:v>
      </x:c>
      <x:c r="T138" s="22" t="str">
        <x:f>IF(AND(COUNT($I$137:$I$141)=5,COUNT(E138:F138)=2),IF(E138&gt;=F138,"Ready","Budget below minima"),"Check inputs")</x:f>
        <x:v>Ready</x:v>
      </x:c>
      <x:c r="U138" s="22" t="n">
        <x:f>IF(COUNT(I138,M138,N138)=3,MAX(0,ROUND(I138+M138-N138,2)),"n.a.")</x:f>
        <x:v>0</x:v>
      </x:c>
    </x:row>
    <x:row r="139" ht="22" customHeight="1">
      <x:c r="A139" s="2"/>
      <x:c r="B139" s="2"/>
      <x:c r="C139" s="27" t="n">
        <x:f>27</x:f>
        <x:v>27</x:v>
      </x:c>
      <x:c r="D139" s="28" t="n">
        <x:f>IF(ISNUMBER('Inputs'!$D$7),EDATE('Inputs'!$D$7,26),"n.a.")</x:f>
        <x:v>47119</x:v>
      </x:c>
      <x:c r="E139" s="26" t="n">
        <x:f>IF('Inputs'!$D$9&lt;&gt;"Ready","n.a.",IF(ISNUMBER('Inputs'!E45),IF('Inputs'!E45&gt;=0,'Inputs'!E45,"n.a."),IF('Inputs'!E45="",'Inputs'!$D$6,"n.a.")))</x:f>
        <x:v>500</x:v>
      </x:c>
      <x:c r="F139" s="22" t="n">
        <x:f>IF(COUNT($N$137:$N$141)=5,SUM($N$137:$N$141),"n.a.")</x:f>
        <x:v>0</x:v>
      </x:c>
      <x:c r="G139" s="22" t="n">
        <x:f>IF(COUNT(E139:F139)=2,MAX(0,E139-F139),"n.a.")</x:f>
        <x:v>500</x:v>
      </x:c>
      <x:c r="H139" s="26" t="str">
        <x:f>'Inputs'!C13</x:f>
        <x:v>Loan C</x:v>
      </x:c>
      <x:c r="I139" s="26" t="n">
        <x:f>S134</x:f>
        <x:v>0</x:v>
      </x:c>
      <x:c r="J139" s="29" t="n">
        <x:f>IF('Inputs'!$D$9="Ready",'Inputs'!E13,"n.a.")</x:f>
        <x:v>0.08</x:v>
      </x:c>
      <x:c r="K139" s="26" t="n">
        <x:f>IF('Inputs'!$D$9="Ready",'Inputs'!F13,"n.a.")</x:f>
        <x:v>150</x:v>
      </x:c>
      <x:c r="L139" s="29" t="n">
        <x:f>IF('Inputs'!$D$9="Ready",'Inputs'!G13,"n.a.")</x:f>
        <x:v>0</x:v>
      </x:c>
      <x:c r="M139" s="22" t="n">
        <x:f>IF(COUNT(I139:L139)=4,ROUND(I139*J139/12,2),"n.a.")</x:f>
        <x:v>0</x:v>
      </x:c>
      <x:c r="N139" s="22" t="n">
        <x:f>IF(COUNT(I139:M139)=5,MIN(I139+M139,ROUND(MAX(K139,I139*L139+M139),2)),"n.a.")</x:f>
        <x:v>0</x:v>
      </x:c>
      <x:c r="O139" s="30" t="n">
        <x:f>IF(COUNT($I$137:$I$141)&lt;&gt;5,"n.a.",IF(I139=0,6,IF('Inputs'!$D$5=1,COUNTIFS($I$137:$I$141,"&gt;0",$I$137:$I$141,"&lt;"&amp;I139)+COUNTIFS($I$137:I139,I139),COUNTIFS($I$137:$I$141,"&gt;0",$J$137:$J$141,"&gt;"&amp;J139)+COUNTIFS($I$137:I139,"&gt;0",$J$137:J139,J139))))</x:f>
        <x:v>6</x:v>
      </x:c>
      <x:c r="P139" s="22" t="n">
        <x:f>IF(T139="Ready",MIN(U139,MAX(0,G139-SUMIFS($U$137:$U$141,$O$137:$O$141,"&lt;"&amp;O139))),"n.a.")</x:f>
        <x:v>0</x:v>
      </x:c>
      <x:c r="Q139" s="22" t="n">
        <x:f>IF(T139="Ready",ROUND(N139+P139,2),"n.a.")</x:f>
        <x:v>0</x:v>
      </x:c>
      <x:c r="R139" s="22" t="n">
        <x:f>IF(T139="Ready",ROUND(Q139-M139,2),"n.a.")</x:f>
        <x:v>0</x:v>
      </x:c>
      <x:c r="S139" s="22" t="n">
        <x:f>IF(T139="Ready",MAX(0,ROUND(I139+M139-Q139,2)),"n.a.")</x:f>
        <x:v>0</x:v>
      </x:c>
      <x:c r="T139" s="22" t="str">
        <x:f>IF(AND(COUNT($I$137:$I$141)=5,COUNT(E139:F139)=2),IF(E139&gt;=F139,"Ready","Budget below minima"),"Check inputs")</x:f>
        <x:v>Ready</x:v>
      </x:c>
      <x:c r="U139" s="22" t="n">
        <x:f>IF(COUNT(I139,M139,N139)=3,MAX(0,ROUND(I139+M139-N139,2)),"n.a.")</x:f>
        <x:v>0</x:v>
      </x:c>
    </x:row>
    <x:row r="140" ht="22" customHeight="1">
      <x:c r="A140" s="2"/>
      <x:c r="B140" s="2"/>
      <x:c r="C140" s="27" t="n">
        <x:f>27</x:f>
        <x:v>27</x:v>
      </x:c>
      <x:c r="D140" s="28" t="n">
        <x:f>IF(ISNUMBER('Inputs'!$D$7),EDATE('Inputs'!$D$7,26),"n.a.")</x:f>
        <x:v>47119</x:v>
      </x:c>
      <x:c r="E140" s="26" t="n">
        <x:f>IF('Inputs'!$D$9&lt;&gt;"Ready","n.a.",IF(ISNUMBER('Inputs'!E45),IF('Inputs'!E45&gt;=0,'Inputs'!E45,"n.a."),IF('Inputs'!E45="",'Inputs'!$D$6,"n.a.")))</x:f>
        <x:v>500</x:v>
      </x:c>
      <x:c r="F140" s="22" t="n">
        <x:f>IF(COUNT($N$137:$N$141)=5,SUM($N$137:$N$141),"n.a.")</x:f>
        <x:v>0</x:v>
      </x:c>
      <x:c r="G140" s="22" t="n">
        <x:f>IF(COUNT(E140:F140)=2,MAX(0,E140-F140),"n.a.")</x:f>
        <x:v>500</x:v>
      </x:c>
      <x:c r="H140" s="26" t="str">
        <x:f>'Inputs'!C14</x:f>
        <x:v>Unused 4</x:v>
      </x:c>
      <x:c r="I140" s="26" t="n">
        <x:f>S135</x:f>
        <x:v>0</x:v>
      </x:c>
      <x:c r="J140" s="29" t="n">
        <x:f>IF('Inputs'!$D$9="Ready",'Inputs'!E14,"n.a.")</x:f>
        <x:v>0</x:v>
      </x:c>
      <x:c r="K140" s="26" t="n">
        <x:f>IF('Inputs'!$D$9="Ready",'Inputs'!F14,"n.a.")</x:f>
        <x:v>0</x:v>
      </x:c>
      <x:c r="L140" s="29" t="n">
        <x:f>IF('Inputs'!$D$9="Ready",'Inputs'!G14,"n.a.")</x:f>
        <x:v>0</x:v>
      </x:c>
      <x:c r="M140" s="22" t="n">
        <x:f>IF(COUNT(I140:L140)=4,ROUND(I140*J140/12,2),"n.a.")</x:f>
        <x:v>0</x:v>
      </x:c>
      <x:c r="N140" s="22" t="n">
        <x:f>IF(COUNT(I140:M140)=5,MIN(I140+M140,ROUND(MAX(K140,I140*L140+M140),2)),"n.a.")</x:f>
        <x:v>0</x:v>
      </x:c>
      <x:c r="O140" s="30" t="n">
        <x:f>IF(COUNT($I$137:$I$141)&lt;&gt;5,"n.a.",IF(I140=0,6,IF('Inputs'!$D$5=1,COUNTIFS($I$137:$I$141,"&gt;0",$I$137:$I$141,"&lt;"&amp;I140)+COUNTIFS($I$137:I140,I140),COUNTIFS($I$137:$I$141,"&gt;0",$J$137:$J$141,"&gt;"&amp;J140)+COUNTIFS($I$137:I140,"&gt;0",$J$137:J140,J140))))</x:f>
        <x:v>6</x:v>
      </x:c>
      <x:c r="P140" s="22" t="n">
        <x:f>IF(T140="Ready",MIN(U140,MAX(0,G140-SUMIFS($U$137:$U$141,$O$137:$O$141,"&lt;"&amp;O140))),"n.a.")</x:f>
        <x:v>0</x:v>
      </x:c>
      <x:c r="Q140" s="22" t="n">
        <x:f>IF(T140="Ready",ROUND(N140+P140,2),"n.a.")</x:f>
        <x:v>0</x:v>
      </x:c>
      <x:c r="R140" s="22" t="n">
        <x:f>IF(T140="Ready",ROUND(Q140-M140,2),"n.a.")</x:f>
        <x:v>0</x:v>
      </x:c>
      <x:c r="S140" s="22" t="n">
        <x:f>IF(T140="Ready",MAX(0,ROUND(I140+M140-Q140,2)),"n.a.")</x:f>
        <x:v>0</x:v>
      </x:c>
      <x:c r="T140" s="22" t="str">
        <x:f>IF(AND(COUNT($I$137:$I$141)=5,COUNT(E140:F140)=2),IF(E140&gt;=F140,"Ready","Budget below minima"),"Check inputs")</x:f>
        <x:v>Ready</x:v>
      </x:c>
      <x:c r="U140" s="22" t="n">
        <x:f>IF(COUNT(I140,M140,N140)=3,MAX(0,ROUND(I140+M140-N140,2)),"n.a.")</x:f>
        <x:v>0</x:v>
      </x:c>
    </x:row>
    <x:row r="141" ht="22" customHeight="1">
      <x:c r="A141" s="2"/>
      <x:c r="B141" s="2"/>
      <x:c r="C141" s="27" t="n">
        <x:f>27</x:f>
        <x:v>27</x:v>
      </x:c>
      <x:c r="D141" s="28" t="n">
        <x:f>IF(ISNUMBER('Inputs'!$D$7),EDATE('Inputs'!$D$7,26),"n.a.")</x:f>
        <x:v>47119</x:v>
      </x:c>
      <x:c r="E141" s="26" t="n">
        <x:f>IF('Inputs'!$D$9&lt;&gt;"Ready","n.a.",IF(ISNUMBER('Inputs'!E45),IF('Inputs'!E45&gt;=0,'Inputs'!E45,"n.a."),IF('Inputs'!E45="",'Inputs'!$D$6,"n.a.")))</x:f>
        <x:v>500</x:v>
      </x:c>
      <x:c r="F141" s="22" t="n">
        <x:f>IF(COUNT($N$137:$N$141)=5,SUM($N$137:$N$141),"n.a.")</x:f>
        <x:v>0</x:v>
      </x:c>
      <x:c r="G141" s="22" t="n">
        <x:f>IF(COUNT(E141:F141)=2,MAX(0,E141-F141),"n.a.")</x:f>
        <x:v>500</x:v>
      </x:c>
      <x:c r="H141" s="26" t="str">
        <x:f>'Inputs'!C15</x:f>
        <x:v>Unused 5</x:v>
      </x:c>
      <x:c r="I141" s="26" t="n">
        <x:f>S136</x:f>
        <x:v>0</x:v>
      </x:c>
      <x:c r="J141" s="29" t="n">
        <x:f>IF('Inputs'!$D$9="Ready",'Inputs'!E15,"n.a.")</x:f>
        <x:v>0</x:v>
      </x:c>
      <x:c r="K141" s="26" t="n">
        <x:f>IF('Inputs'!$D$9="Ready",'Inputs'!F15,"n.a.")</x:f>
        <x:v>0</x:v>
      </x:c>
      <x:c r="L141" s="29" t="n">
        <x:f>IF('Inputs'!$D$9="Ready",'Inputs'!G15,"n.a.")</x:f>
        <x:v>0</x:v>
      </x:c>
      <x:c r="M141" s="22" t="n">
        <x:f>IF(COUNT(I141:L141)=4,ROUND(I141*J141/12,2),"n.a.")</x:f>
        <x:v>0</x:v>
      </x:c>
      <x:c r="N141" s="22" t="n">
        <x:f>IF(COUNT(I141:M141)=5,MIN(I141+M141,ROUND(MAX(K141,I141*L141+M141),2)),"n.a.")</x:f>
        <x:v>0</x:v>
      </x:c>
      <x:c r="O141" s="30" t="n">
        <x:f>IF(COUNT($I$137:$I$141)&lt;&gt;5,"n.a.",IF(I141=0,6,IF('Inputs'!$D$5=1,COUNTIFS($I$137:$I$141,"&gt;0",$I$137:$I$141,"&lt;"&amp;I141)+COUNTIFS($I$137:I141,I141),COUNTIFS($I$137:$I$141,"&gt;0",$J$137:$J$141,"&gt;"&amp;J141)+COUNTIFS($I$137:I141,"&gt;0",$J$137:J141,J141))))</x:f>
        <x:v>6</x:v>
      </x:c>
      <x:c r="P141" s="22" t="n">
        <x:f>IF(T141="Ready",MIN(U141,MAX(0,G141-SUMIFS($U$137:$U$141,$O$137:$O$141,"&lt;"&amp;O141))),"n.a.")</x:f>
        <x:v>0</x:v>
      </x:c>
      <x:c r="Q141" s="22" t="n">
        <x:f>IF(T141="Ready",ROUND(N141+P141,2),"n.a.")</x:f>
        <x:v>0</x:v>
      </x:c>
      <x:c r="R141" s="22" t="n">
        <x:f>IF(T141="Ready",ROUND(Q141-M141,2),"n.a.")</x:f>
        <x:v>0</x:v>
      </x:c>
      <x:c r="S141" s="22" t="n">
        <x:f>IF(T141="Ready",MAX(0,ROUND(I141+M141-Q141,2)),"n.a.")</x:f>
        <x:v>0</x:v>
      </x:c>
      <x:c r="T141" s="22" t="str">
        <x:f>IF(AND(COUNT($I$137:$I$141)=5,COUNT(E141:F141)=2),IF(E141&gt;=F141,"Ready","Budget below minima"),"Check inputs")</x:f>
        <x:v>Ready</x:v>
      </x:c>
      <x:c r="U141" s="22" t="n">
        <x:f>IF(COUNT(I141,M141,N141)=3,MAX(0,ROUND(I141+M141-N141,2)),"n.a.")</x:f>
        <x:v>0</x:v>
      </x:c>
    </x:row>
    <x:row r="142" ht="22" customHeight="1">
      <x:c r="A142" s="2"/>
      <x:c r="B142" s="2"/>
      <x:c r="C142" s="27" t="n">
        <x:f>28</x:f>
        <x:v>28</x:v>
      </x:c>
      <x:c r="D142" s="28" t="n">
        <x:f>IF(ISNUMBER('Inputs'!$D$7),EDATE('Inputs'!$D$7,27),"n.a.")</x:f>
        <x:v>47150</x:v>
      </x:c>
      <x:c r="E142" s="26" t="n">
        <x:f>IF('Inputs'!$D$9&lt;&gt;"Ready","n.a.",IF(ISNUMBER('Inputs'!E46),IF('Inputs'!E46&gt;=0,'Inputs'!E46,"n.a."),IF('Inputs'!E46="",'Inputs'!$D$6,"n.a.")))</x:f>
        <x:v>500</x:v>
      </x:c>
      <x:c r="F142" s="22" t="n">
        <x:f>IF(COUNT($N$142:$N$146)=5,SUM($N$142:$N$146),"n.a.")</x:f>
        <x:v>0</x:v>
      </x:c>
      <x:c r="G142" s="22" t="n">
        <x:f>IF(COUNT(E142:F142)=2,MAX(0,E142-F142),"n.a.")</x:f>
        <x:v>500</x:v>
      </x:c>
      <x:c r="H142" s="26" t="str">
        <x:f>'Inputs'!C11</x:f>
        <x:v>Card A</x:v>
      </x:c>
      <x:c r="I142" s="26" t="n">
        <x:f>S137</x:f>
        <x:v>0</x:v>
      </x:c>
      <x:c r="J142" s="29" t="n">
        <x:f>IF('Inputs'!$D$9="Ready",'Inputs'!E11,"n.a.")</x:f>
        <x:v>0.24</x:v>
      </x:c>
      <x:c r="K142" s="26" t="n">
        <x:f>IF('Inputs'!$D$9="Ready",'Inputs'!F11,"n.a.")</x:f>
        <x:v>35</x:v>
      </x:c>
      <x:c r="L142" s="29" t="n">
        <x:f>IF('Inputs'!$D$9="Ready",'Inputs'!G11,"n.a.")</x:f>
        <x:v>0.02</x:v>
      </x:c>
      <x:c r="M142" s="22" t="n">
        <x:f>IF(COUNT(I142:L142)=4,ROUND(I142*J142/12,2),"n.a.")</x:f>
        <x:v>0</x:v>
      </x:c>
      <x:c r="N142" s="22" t="n">
        <x:f>IF(COUNT(I142:M142)=5,MIN(I142+M142,ROUND(MAX(K142,I142*L142+M142),2)),"n.a.")</x:f>
        <x:v>0</x:v>
      </x:c>
      <x:c r="O142" s="30" t="n">
        <x:f>IF(COUNT($I$142:$I$146)&lt;&gt;5,"n.a.",IF(I142=0,6,IF('Inputs'!$D$5=1,COUNTIFS($I$142:$I$146,"&gt;0",$I$142:$I$146,"&lt;"&amp;I142)+COUNTIFS($I$142:I142,I142),COUNTIFS($I$142:$I$146,"&gt;0",$J$142:$J$146,"&gt;"&amp;J142)+COUNTIFS($I$142:I142,"&gt;0",$J$142:J142,J142))))</x:f>
        <x:v>6</x:v>
      </x:c>
      <x:c r="P142" s="22" t="n">
        <x:f>IF(T142="Ready",MIN(U142,MAX(0,G142-SUMIFS($U$142:$U$146,$O$142:$O$146,"&lt;"&amp;O142))),"n.a.")</x:f>
        <x:v>0</x:v>
      </x:c>
      <x:c r="Q142" s="22" t="n">
        <x:f>IF(T142="Ready",ROUND(N142+P142,2),"n.a.")</x:f>
        <x:v>0</x:v>
      </x:c>
      <x:c r="R142" s="22" t="n">
        <x:f>IF(T142="Ready",ROUND(Q142-M142,2),"n.a.")</x:f>
        <x:v>0</x:v>
      </x:c>
      <x:c r="S142" s="22" t="n">
        <x:f>IF(T142="Ready",MAX(0,ROUND(I142+M142-Q142,2)),"n.a.")</x:f>
        <x:v>0</x:v>
      </x:c>
      <x:c r="T142" s="22" t="str">
        <x:f>IF(AND(COUNT($I$142:$I$146)=5,COUNT(E142:F142)=2),IF(E142&gt;=F142,"Ready","Budget below minima"),"Check inputs")</x:f>
        <x:v>Ready</x:v>
      </x:c>
      <x:c r="U142" s="22" t="n">
        <x:f>IF(COUNT(I142,M142,N142)=3,MAX(0,ROUND(I142+M142-N142,2)),"n.a.")</x:f>
        <x:v>0</x:v>
      </x:c>
    </x:row>
    <x:row r="143" ht="22" customHeight="1">
      <x:c r="A143" s="2"/>
      <x:c r="B143" s="2"/>
      <x:c r="C143" s="27" t="n">
        <x:f>28</x:f>
        <x:v>28</x:v>
      </x:c>
      <x:c r="D143" s="28" t="n">
        <x:f>IF(ISNUMBER('Inputs'!$D$7),EDATE('Inputs'!$D$7,27),"n.a.")</x:f>
        <x:v>47150</x:v>
      </x:c>
      <x:c r="E143" s="26" t="n">
        <x:f>IF('Inputs'!$D$9&lt;&gt;"Ready","n.a.",IF(ISNUMBER('Inputs'!E46),IF('Inputs'!E46&gt;=0,'Inputs'!E46,"n.a."),IF('Inputs'!E46="",'Inputs'!$D$6,"n.a.")))</x:f>
        <x:v>500</x:v>
      </x:c>
      <x:c r="F143" s="22" t="n">
        <x:f>IF(COUNT($N$142:$N$146)=5,SUM($N$142:$N$146),"n.a.")</x:f>
        <x:v>0</x:v>
      </x:c>
      <x:c r="G143" s="22" t="n">
        <x:f>IF(COUNT(E143:F143)=2,MAX(0,E143-F143),"n.a.")</x:f>
        <x:v>500</x:v>
      </x:c>
      <x:c r="H143" s="26" t="str">
        <x:f>'Inputs'!C12</x:f>
        <x:v>Card B</x:v>
      </x:c>
      <x:c r="I143" s="26" t="n">
        <x:f>S138</x:f>
        <x:v>0</x:v>
      </x:c>
      <x:c r="J143" s="29" t="n">
        <x:f>IF('Inputs'!$D$9="Ready",'Inputs'!E12,"n.a.")</x:f>
        <x:v>0.18</x:v>
      </x:c>
      <x:c r="K143" s="26" t="n">
        <x:f>IF('Inputs'!$D$9="Ready",'Inputs'!F12,"n.a.")</x:f>
        <x:v>60</x:v>
      </x:c>
      <x:c r="L143" s="29" t="n">
        <x:f>IF('Inputs'!$D$9="Ready",'Inputs'!G12,"n.a.")</x:f>
        <x:v>0.02</x:v>
      </x:c>
      <x:c r="M143" s="22" t="n">
        <x:f>IF(COUNT(I143:L143)=4,ROUND(I143*J143/12,2),"n.a.")</x:f>
        <x:v>0</x:v>
      </x:c>
      <x:c r="N143" s="22" t="n">
        <x:f>IF(COUNT(I143:M143)=5,MIN(I143+M143,ROUND(MAX(K143,I143*L143+M143),2)),"n.a.")</x:f>
        <x:v>0</x:v>
      </x:c>
      <x:c r="O143" s="30" t="n">
        <x:f>IF(COUNT($I$142:$I$146)&lt;&gt;5,"n.a.",IF(I143=0,6,IF('Inputs'!$D$5=1,COUNTIFS($I$142:$I$146,"&gt;0",$I$142:$I$146,"&lt;"&amp;I143)+COUNTIFS($I$142:I143,I143),COUNTIFS($I$142:$I$146,"&gt;0",$J$142:$J$146,"&gt;"&amp;J143)+COUNTIFS($I$142:I143,"&gt;0",$J$142:J143,J143))))</x:f>
        <x:v>6</x:v>
      </x:c>
      <x:c r="P143" s="22" t="n">
        <x:f>IF(T143="Ready",MIN(U143,MAX(0,G143-SUMIFS($U$142:$U$146,$O$142:$O$146,"&lt;"&amp;O143))),"n.a.")</x:f>
        <x:v>0</x:v>
      </x:c>
      <x:c r="Q143" s="22" t="n">
        <x:f>IF(T143="Ready",ROUND(N143+P143,2),"n.a.")</x:f>
        <x:v>0</x:v>
      </x:c>
      <x:c r="R143" s="22" t="n">
        <x:f>IF(T143="Ready",ROUND(Q143-M143,2),"n.a.")</x:f>
        <x:v>0</x:v>
      </x:c>
      <x:c r="S143" s="22" t="n">
        <x:f>IF(T143="Ready",MAX(0,ROUND(I143+M143-Q143,2)),"n.a.")</x:f>
        <x:v>0</x:v>
      </x:c>
      <x:c r="T143" s="22" t="str">
        <x:f>IF(AND(COUNT($I$142:$I$146)=5,COUNT(E143:F143)=2),IF(E143&gt;=F143,"Ready","Budget below minima"),"Check inputs")</x:f>
        <x:v>Ready</x:v>
      </x:c>
      <x:c r="U143" s="22" t="n">
        <x:f>IF(COUNT(I143,M143,N143)=3,MAX(0,ROUND(I143+M143-N143,2)),"n.a.")</x:f>
        <x:v>0</x:v>
      </x:c>
    </x:row>
    <x:row r="144" ht="22" customHeight="1">
      <x:c r="A144" s="2"/>
      <x:c r="B144" s="2"/>
      <x:c r="C144" s="27" t="n">
        <x:f>28</x:f>
        <x:v>28</x:v>
      </x:c>
      <x:c r="D144" s="28" t="n">
        <x:f>IF(ISNUMBER('Inputs'!$D$7),EDATE('Inputs'!$D$7,27),"n.a.")</x:f>
        <x:v>47150</x:v>
      </x:c>
      <x:c r="E144" s="26" t="n">
        <x:f>IF('Inputs'!$D$9&lt;&gt;"Ready","n.a.",IF(ISNUMBER('Inputs'!E46),IF('Inputs'!E46&gt;=0,'Inputs'!E46,"n.a."),IF('Inputs'!E46="",'Inputs'!$D$6,"n.a.")))</x:f>
        <x:v>500</x:v>
      </x:c>
      <x:c r="F144" s="22" t="n">
        <x:f>IF(COUNT($N$142:$N$146)=5,SUM($N$142:$N$146),"n.a.")</x:f>
        <x:v>0</x:v>
      </x:c>
      <x:c r="G144" s="22" t="n">
        <x:f>IF(COUNT(E144:F144)=2,MAX(0,E144-F144),"n.a.")</x:f>
        <x:v>500</x:v>
      </x:c>
      <x:c r="H144" s="26" t="str">
        <x:f>'Inputs'!C13</x:f>
        <x:v>Loan C</x:v>
      </x:c>
      <x:c r="I144" s="26" t="n">
        <x:f>S139</x:f>
        <x:v>0</x:v>
      </x:c>
      <x:c r="J144" s="29" t="n">
        <x:f>IF('Inputs'!$D$9="Ready",'Inputs'!E13,"n.a.")</x:f>
        <x:v>0.08</x:v>
      </x:c>
      <x:c r="K144" s="26" t="n">
        <x:f>IF('Inputs'!$D$9="Ready",'Inputs'!F13,"n.a.")</x:f>
        <x:v>150</x:v>
      </x:c>
      <x:c r="L144" s="29" t="n">
        <x:f>IF('Inputs'!$D$9="Ready",'Inputs'!G13,"n.a.")</x:f>
        <x:v>0</x:v>
      </x:c>
      <x:c r="M144" s="22" t="n">
        <x:f>IF(COUNT(I144:L144)=4,ROUND(I144*J144/12,2),"n.a.")</x:f>
        <x:v>0</x:v>
      </x:c>
      <x:c r="N144" s="22" t="n">
        <x:f>IF(COUNT(I144:M144)=5,MIN(I144+M144,ROUND(MAX(K144,I144*L144+M144),2)),"n.a.")</x:f>
        <x:v>0</x:v>
      </x:c>
      <x:c r="O144" s="30" t="n">
        <x:f>IF(COUNT($I$142:$I$146)&lt;&gt;5,"n.a.",IF(I144=0,6,IF('Inputs'!$D$5=1,COUNTIFS($I$142:$I$146,"&gt;0",$I$142:$I$146,"&lt;"&amp;I144)+COUNTIFS($I$142:I144,I144),COUNTIFS($I$142:$I$146,"&gt;0",$J$142:$J$146,"&gt;"&amp;J144)+COUNTIFS($I$142:I144,"&gt;0",$J$142:J144,J144))))</x:f>
        <x:v>6</x:v>
      </x:c>
      <x:c r="P144" s="22" t="n">
        <x:f>IF(T144="Ready",MIN(U144,MAX(0,G144-SUMIFS($U$142:$U$146,$O$142:$O$146,"&lt;"&amp;O144))),"n.a.")</x:f>
        <x:v>0</x:v>
      </x:c>
      <x:c r="Q144" s="22" t="n">
        <x:f>IF(T144="Ready",ROUND(N144+P144,2),"n.a.")</x:f>
        <x:v>0</x:v>
      </x:c>
      <x:c r="R144" s="22" t="n">
        <x:f>IF(T144="Ready",ROUND(Q144-M144,2),"n.a.")</x:f>
        <x:v>0</x:v>
      </x:c>
      <x:c r="S144" s="22" t="n">
        <x:f>IF(T144="Ready",MAX(0,ROUND(I144+M144-Q144,2)),"n.a.")</x:f>
        <x:v>0</x:v>
      </x:c>
      <x:c r="T144" s="22" t="str">
        <x:f>IF(AND(COUNT($I$142:$I$146)=5,COUNT(E144:F144)=2),IF(E144&gt;=F144,"Ready","Budget below minima"),"Check inputs")</x:f>
        <x:v>Ready</x:v>
      </x:c>
      <x:c r="U144" s="22" t="n">
        <x:f>IF(COUNT(I144,M144,N144)=3,MAX(0,ROUND(I144+M144-N144,2)),"n.a.")</x:f>
        <x:v>0</x:v>
      </x:c>
    </x:row>
    <x:row r="145" ht="22" customHeight="1">
      <x:c r="A145" s="2"/>
      <x:c r="B145" s="2"/>
      <x:c r="C145" s="27" t="n">
        <x:f>28</x:f>
        <x:v>28</x:v>
      </x:c>
      <x:c r="D145" s="28" t="n">
        <x:f>IF(ISNUMBER('Inputs'!$D$7),EDATE('Inputs'!$D$7,27),"n.a.")</x:f>
        <x:v>47150</x:v>
      </x:c>
      <x:c r="E145" s="26" t="n">
        <x:f>IF('Inputs'!$D$9&lt;&gt;"Ready","n.a.",IF(ISNUMBER('Inputs'!E46),IF('Inputs'!E46&gt;=0,'Inputs'!E46,"n.a."),IF('Inputs'!E46="",'Inputs'!$D$6,"n.a.")))</x:f>
        <x:v>500</x:v>
      </x:c>
      <x:c r="F145" s="22" t="n">
        <x:f>IF(COUNT($N$142:$N$146)=5,SUM($N$142:$N$146),"n.a.")</x:f>
        <x:v>0</x:v>
      </x:c>
      <x:c r="G145" s="22" t="n">
        <x:f>IF(COUNT(E145:F145)=2,MAX(0,E145-F145),"n.a.")</x:f>
        <x:v>500</x:v>
      </x:c>
      <x:c r="H145" s="26" t="str">
        <x:f>'Inputs'!C14</x:f>
        <x:v>Unused 4</x:v>
      </x:c>
      <x:c r="I145" s="26" t="n">
        <x:f>S140</x:f>
        <x:v>0</x:v>
      </x:c>
      <x:c r="J145" s="29" t="n">
        <x:f>IF('Inputs'!$D$9="Ready",'Inputs'!E14,"n.a.")</x:f>
        <x:v>0</x:v>
      </x:c>
      <x:c r="K145" s="26" t="n">
        <x:f>IF('Inputs'!$D$9="Ready",'Inputs'!F14,"n.a.")</x:f>
        <x:v>0</x:v>
      </x:c>
      <x:c r="L145" s="29" t="n">
        <x:f>IF('Inputs'!$D$9="Ready",'Inputs'!G14,"n.a.")</x:f>
        <x:v>0</x:v>
      </x:c>
      <x:c r="M145" s="22" t="n">
        <x:f>IF(COUNT(I145:L145)=4,ROUND(I145*J145/12,2),"n.a.")</x:f>
        <x:v>0</x:v>
      </x:c>
      <x:c r="N145" s="22" t="n">
        <x:f>IF(COUNT(I145:M145)=5,MIN(I145+M145,ROUND(MAX(K145,I145*L145+M145),2)),"n.a.")</x:f>
        <x:v>0</x:v>
      </x:c>
      <x:c r="O145" s="30" t="n">
        <x:f>IF(COUNT($I$142:$I$146)&lt;&gt;5,"n.a.",IF(I145=0,6,IF('Inputs'!$D$5=1,COUNTIFS($I$142:$I$146,"&gt;0",$I$142:$I$146,"&lt;"&amp;I145)+COUNTIFS($I$142:I145,I145),COUNTIFS($I$142:$I$146,"&gt;0",$J$142:$J$146,"&gt;"&amp;J145)+COUNTIFS($I$142:I145,"&gt;0",$J$142:J145,J145))))</x:f>
        <x:v>6</x:v>
      </x:c>
      <x:c r="P145" s="22" t="n">
        <x:f>IF(T145="Ready",MIN(U145,MAX(0,G145-SUMIFS($U$142:$U$146,$O$142:$O$146,"&lt;"&amp;O145))),"n.a.")</x:f>
        <x:v>0</x:v>
      </x:c>
      <x:c r="Q145" s="22" t="n">
        <x:f>IF(T145="Ready",ROUND(N145+P145,2),"n.a.")</x:f>
        <x:v>0</x:v>
      </x:c>
      <x:c r="R145" s="22" t="n">
        <x:f>IF(T145="Ready",ROUND(Q145-M145,2),"n.a.")</x:f>
        <x:v>0</x:v>
      </x:c>
      <x:c r="S145" s="22" t="n">
        <x:f>IF(T145="Ready",MAX(0,ROUND(I145+M145-Q145,2)),"n.a.")</x:f>
        <x:v>0</x:v>
      </x:c>
      <x:c r="T145" s="22" t="str">
        <x:f>IF(AND(COUNT($I$142:$I$146)=5,COUNT(E145:F145)=2),IF(E145&gt;=F145,"Ready","Budget below minima"),"Check inputs")</x:f>
        <x:v>Ready</x:v>
      </x:c>
      <x:c r="U145" s="22" t="n">
        <x:f>IF(COUNT(I145,M145,N145)=3,MAX(0,ROUND(I145+M145-N145,2)),"n.a.")</x:f>
        <x:v>0</x:v>
      </x:c>
    </x:row>
    <x:row r="146" ht="22" customHeight="1">
      <x:c r="A146" s="2"/>
      <x:c r="B146" s="2"/>
      <x:c r="C146" s="27" t="n">
        <x:f>28</x:f>
        <x:v>28</x:v>
      </x:c>
      <x:c r="D146" s="28" t="n">
        <x:f>IF(ISNUMBER('Inputs'!$D$7),EDATE('Inputs'!$D$7,27),"n.a.")</x:f>
        <x:v>47150</x:v>
      </x:c>
      <x:c r="E146" s="26" t="n">
        <x:f>IF('Inputs'!$D$9&lt;&gt;"Ready","n.a.",IF(ISNUMBER('Inputs'!E46),IF('Inputs'!E46&gt;=0,'Inputs'!E46,"n.a."),IF('Inputs'!E46="",'Inputs'!$D$6,"n.a.")))</x:f>
        <x:v>500</x:v>
      </x:c>
      <x:c r="F146" s="22" t="n">
        <x:f>IF(COUNT($N$142:$N$146)=5,SUM($N$142:$N$146),"n.a.")</x:f>
        <x:v>0</x:v>
      </x:c>
      <x:c r="G146" s="22" t="n">
        <x:f>IF(COUNT(E146:F146)=2,MAX(0,E146-F146),"n.a.")</x:f>
        <x:v>500</x:v>
      </x:c>
      <x:c r="H146" s="26" t="str">
        <x:f>'Inputs'!C15</x:f>
        <x:v>Unused 5</x:v>
      </x:c>
      <x:c r="I146" s="26" t="n">
        <x:f>S141</x:f>
        <x:v>0</x:v>
      </x:c>
      <x:c r="J146" s="29" t="n">
        <x:f>IF('Inputs'!$D$9="Ready",'Inputs'!E15,"n.a.")</x:f>
        <x:v>0</x:v>
      </x:c>
      <x:c r="K146" s="26" t="n">
        <x:f>IF('Inputs'!$D$9="Ready",'Inputs'!F15,"n.a.")</x:f>
        <x:v>0</x:v>
      </x:c>
      <x:c r="L146" s="29" t="n">
        <x:f>IF('Inputs'!$D$9="Ready",'Inputs'!G15,"n.a.")</x:f>
        <x:v>0</x:v>
      </x:c>
      <x:c r="M146" s="22" t="n">
        <x:f>IF(COUNT(I146:L146)=4,ROUND(I146*J146/12,2),"n.a.")</x:f>
        <x:v>0</x:v>
      </x:c>
      <x:c r="N146" s="22" t="n">
        <x:f>IF(COUNT(I146:M146)=5,MIN(I146+M146,ROUND(MAX(K146,I146*L146+M146),2)),"n.a.")</x:f>
        <x:v>0</x:v>
      </x:c>
      <x:c r="O146" s="30" t="n">
        <x:f>IF(COUNT($I$142:$I$146)&lt;&gt;5,"n.a.",IF(I146=0,6,IF('Inputs'!$D$5=1,COUNTIFS($I$142:$I$146,"&gt;0",$I$142:$I$146,"&lt;"&amp;I146)+COUNTIFS($I$142:I146,I146),COUNTIFS($I$142:$I$146,"&gt;0",$J$142:$J$146,"&gt;"&amp;J146)+COUNTIFS($I$142:I146,"&gt;0",$J$142:J146,J146))))</x:f>
        <x:v>6</x:v>
      </x:c>
      <x:c r="P146" s="22" t="n">
        <x:f>IF(T146="Ready",MIN(U146,MAX(0,G146-SUMIFS($U$142:$U$146,$O$142:$O$146,"&lt;"&amp;O146))),"n.a.")</x:f>
        <x:v>0</x:v>
      </x:c>
      <x:c r="Q146" s="22" t="n">
        <x:f>IF(T146="Ready",ROUND(N146+P146,2),"n.a.")</x:f>
        <x:v>0</x:v>
      </x:c>
      <x:c r="R146" s="22" t="n">
        <x:f>IF(T146="Ready",ROUND(Q146-M146,2),"n.a.")</x:f>
        <x:v>0</x:v>
      </x:c>
      <x:c r="S146" s="22" t="n">
        <x:f>IF(T146="Ready",MAX(0,ROUND(I146+M146-Q146,2)),"n.a.")</x:f>
        <x:v>0</x:v>
      </x:c>
      <x:c r="T146" s="22" t="str">
        <x:f>IF(AND(COUNT($I$142:$I$146)=5,COUNT(E146:F146)=2),IF(E146&gt;=F146,"Ready","Budget below minima"),"Check inputs")</x:f>
        <x:v>Ready</x:v>
      </x:c>
      <x:c r="U146" s="22" t="n">
        <x:f>IF(COUNT(I146,M146,N146)=3,MAX(0,ROUND(I146+M146-N146,2)),"n.a.")</x:f>
        <x:v>0</x:v>
      </x:c>
    </x:row>
    <x:row r="147" ht="22" customHeight="1">
      <x:c r="A147" s="2"/>
      <x:c r="B147" s="2"/>
      <x:c r="C147" s="27" t="n">
        <x:f>29</x:f>
        <x:v>29</x:v>
      </x:c>
      <x:c r="D147" s="28" t="n">
        <x:f>IF(ISNUMBER('Inputs'!$D$7),EDATE('Inputs'!$D$7,28),"n.a.")</x:f>
        <x:v>47178</x:v>
      </x:c>
      <x:c r="E147" s="26" t="n">
        <x:f>IF('Inputs'!$D$9&lt;&gt;"Ready","n.a.",IF(ISNUMBER('Inputs'!E47),IF('Inputs'!E47&gt;=0,'Inputs'!E47,"n.a."),IF('Inputs'!E47="",'Inputs'!$D$6,"n.a.")))</x:f>
        <x:v>500</x:v>
      </x:c>
      <x:c r="F147" s="22" t="n">
        <x:f>IF(COUNT($N$147:$N$151)=5,SUM($N$147:$N$151),"n.a.")</x:f>
        <x:v>0</x:v>
      </x:c>
      <x:c r="G147" s="22" t="n">
        <x:f>IF(COUNT(E147:F147)=2,MAX(0,E147-F147),"n.a.")</x:f>
        <x:v>500</x:v>
      </x:c>
      <x:c r="H147" s="26" t="str">
        <x:f>'Inputs'!C11</x:f>
        <x:v>Card A</x:v>
      </x:c>
      <x:c r="I147" s="26" t="n">
        <x:f>S142</x:f>
        <x:v>0</x:v>
      </x:c>
      <x:c r="J147" s="29" t="n">
        <x:f>IF('Inputs'!$D$9="Ready",'Inputs'!E11,"n.a.")</x:f>
        <x:v>0.24</x:v>
      </x:c>
      <x:c r="K147" s="26" t="n">
        <x:f>IF('Inputs'!$D$9="Ready",'Inputs'!F11,"n.a.")</x:f>
        <x:v>35</x:v>
      </x:c>
      <x:c r="L147" s="29" t="n">
        <x:f>IF('Inputs'!$D$9="Ready",'Inputs'!G11,"n.a.")</x:f>
        <x:v>0.02</x:v>
      </x:c>
      <x:c r="M147" s="22" t="n">
        <x:f>IF(COUNT(I147:L147)=4,ROUND(I147*J147/12,2),"n.a.")</x:f>
        <x:v>0</x:v>
      </x:c>
      <x:c r="N147" s="22" t="n">
        <x:f>IF(COUNT(I147:M147)=5,MIN(I147+M147,ROUND(MAX(K147,I147*L147+M147),2)),"n.a.")</x:f>
        <x:v>0</x:v>
      </x:c>
      <x:c r="O147" s="30" t="n">
        <x:f>IF(COUNT($I$147:$I$151)&lt;&gt;5,"n.a.",IF(I147=0,6,IF('Inputs'!$D$5=1,COUNTIFS($I$147:$I$151,"&gt;0",$I$147:$I$151,"&lt;"&amp;I147)+COUNTIFS($I$147:I147,I147),COUNTIFS($I$147:$I$151,"&gt;0",$J$147:$J$151,"&gt;"&amp;J147)+COUNTIFS($I$147:I147,"&gt;0",$J$147:J147,J147))))</x:f>
        <x:v>6</x:v>
      </x:c>
      <x:c r="P147" s="22" t="n">
        <x:f>IF(T147="Ready",MIN(U147,MAX(0,G147-SUMIFS($U$147:$U$151,$O$147:$O$151,"&lt;"&amp;O147))),"n.a.")</x:f>
        <x:v>0</x:v>
      </x:c>
      <x:c r="Q147" s="22" t="n">
        <x:f>IF(T147="Ready",ROUND(N147+P147,2),"n.a.")</x:f>
        <x:v>0</x:v>
      </x:c>
      <x:c r="R147" s="22" t="n">
        <x:f>IF(T147="Ready",ROUND(Q147-M147,2),"n.a.")</x:f>
        <x:v>0</x:v>
      </x:c>
      <x:c r="S147" s="22" t="n">
        <x:f>IF(T147="Ready",MAX(0,ROUND(I147+M147-Q147,2)),"n.a.")</x:f>
        <x:v>0</x:v>
      </x:c>
      <x:c r="T147" s="22" t="str">
        <x:f>IF(AND(COUNT($I$147:$I$151)=5,COUNT(E147:F147)=2),IF(E147&gt;=F147,"Ready","Budget below minima"),"Check inputs")</x:f>
        <x:v>Ready</x:v>
      </x:c>
      <x:c r="U147" s="22" t="n">
        <x:f>IF(COUNT(I147,M147,N147)=3,MAX(0,ROUND(I147+M147-N147,2)),"n.a.")</x:f>
        <x:v>0</x:v>
      </x:c>
    </x:row>
    <x:row r="148" ht="22" customHeight="1">
      <x:c r="A148" s="2"/>
      <x:c r="B148" s="2"/>
      <x:c r="C148" s="27" t="n">
        <x:f>29</x:f>
        <x:v>29</x:v>
      </x:c>
      <x:c r="D148" s="28" t="n">
        <x:f>IF(ISNUMBER('Inputs'!$D$7),EDATE('Inputs'!$D$7,28),"n.a.")</x:f>
        <x:v>47178</x:v>
      </x:c>
      <x:c r="E148" s="26" t="n">
        <x:f>IF('Inputs'!$D$9&lt;&gt;"Ready","n.a.",IF(ISNUMBER('Inputs'!E47),IF('Inputs'!E47&gt;=0,'Inputs'!E47,"n.a."),IF('Inputs'!E47="",'Inputs'!$D$6,"n.a.")))</x:f>
        <x:v>500</x:v>
      </x:c>
      <x:c r="F148" s="22" t="n">
        <x:f>IF(COUNT($N$147:$N$151)=5,SUM($N$147:$N$151),"n.a.")</x:f>
        <x:v>0</x:v>
      </x:c>
      <x:c r="G148" s="22" t="n">
        <x:f>IF(COUNT(E148:F148)=2,MAX(0,E148-F148),"n.a.")</x:f>
        <x:v>500</x:v>
      </x:c>
      <x:c r="H148" s="26" t="str">
        <x:f>'Inputs'!C12</x:f>
        <x:v>Card B</x:v>
      </x:c>
      <x:c r="I148" s="26" t="n">
        <x:f>S143</x:f>
        <x:v>0</x:v>
      </x:c>
      <x:c r="J148" s="29" t="n">
        <x:f>IF('Inputs'!$D$9="Ready",'Inputs'!E12,"n.a.")</x:f>
        <x:v>0.18</x:v>
      </x:c>
      <x:c r="K148" s="26" t="n">
        <x:f>IF('Inputs'!$D$9="Ready",'Inputs'!F12,"n.a.")</x:f>
        <x:v>60</x:v>
      </x:c>
      <x:c r="L148" s="29" t="n">
        <x:f>IF('Inputs'!$D$9="Ready",'Inputs'!G12,"n.a.")</x:f>
        <x:v>0.02</x:v>
      </x:c>
      <x:c r="M148" s="22" t="n">
        <x:f>IF(COUNT(I148:L148)=4,ROUND(I148*J148/12,2),"n.a.")</x:f>
        <x:v>0</x:v>
      </x:c>
      <x:c r="N148" s="22" t="n">
        <x:f>IF(COUNT(I148:M148)=5,MIN(I148+M148,ROUND(MAX(K148,I148*L148+M148),2)),"n.a.")</x:f>
        <x:v>0</x:v>
      </x:c>
      <x:c r="O148" s="30" t="n">
        <x:f>IF(COUNT($I$147:$I$151)&lt;&gt;5,"n.a.",IF(I148=0,6,IF('Inputs'!$D$5=1,COUNTIFS($I$147:$I$151,"&gt;0",$I$147:$I$151,"&lt;"&amp;I148)+COUNTIFS($I$147:I148,I148),COUNTIFS($I$147:$I$151,"&gt;0",$J$147:$J$151,"&gt;"&amp;J148)+COUNTIFS($I$147:I148,"&gt;0",$J$147:J148,J148))))</x:f>
        <x:v>6</x:v>
      </x:c>
      <x:c r="P148" s="22" t="n">
        <x:f>IF(T148="Ready",MIN(U148,MAX(0,G148-SUMIFS($U$147:$U$151,$O$147:$O$151,"&lt;"&amp;O148))),"n.a.")</x:f>
        <x:v>0</x:v>
      </x:c>
      <x:c r="Q148" s="22" t="n">
        <x:f>IF(T148="Ready",ROUND(N148+P148,2),"n.a.")</x:f>
        <x:v>0</x:v>
      </x:c>
      <x:c r="R148" s="22" t="n">
        <x:f>IF(T148="Ready",ROUND(Q148-M148,2),"n.a.")</x:f>
        <x:v>0</x:v>
      </x:c>
      <x:c r="S148" s="22" t="n">
        <x:f>IF(T148="Ready",MAX(0,ROUND(I148+M148-Q148,2)),"n.a.")</x:f>
        <x:v>0</x:v>
      </x:c>
      <x:c r="T148" s="22" t="str">
        <x:f>IF(AND(COUNT($I$147:$I$151)=5,COUNT(E148:F148)=2),IF(E148&gt;=F148,"Ready","Budget below minima"),"Check inputs")</x:f>
        <x:v>Ready</x:v>
      </x:c>
      <x:c r="U148" s="22" t="n">
        <x:f>IF(COUNT(I148,M148,N148)=3,MAX(0,ROUND(I148+M148-N148,2)),"n.a.")</x:f>
        <x:v>0</x:v>
      </x:c>
    </x:row>
    <x:row r="149" ht="22" customHeight="1">
      <x:c r="A149" s="2"/>
      <x:c r="B149" s="2"/>
      <x:c r="C149" s="27" t="n">
        <x:f>29</x:f>
        <x:v>29</x:v>
      </x:c>
      <x:c r="D149" s="28" t="n">
        <x:f>IF(ISNUMBER('Inputs'!$D$7),EDATE('Inputs'!$D$7,28),"n.a.")</x:f>
        <x:v>47178</x:v>
      </x:c>
      <x:c r="E149" s="26" t="n">
        <x:f>IF('Inputs'!$D$9&lt;&gt;"Ready","n.a.",IF(ISNUMBER('Inputs'!E47),IF('Inputs'!E47&gt;=0,'Inputs'!E47,"n.a."),IF('Inputs'!E47="",'Inputs'!$D$6,"n.a.")))</x:f>
        <x:v>500</x:v>
      </x:c>
      <x:c r="F149" s="22" t="n">
        <x:f>IF(COUNT($N$147:$N$151)=5,SUM($N$147:$N$151),"n.a.")</x:f>
        <x:v>0</x:v>
      </x:c>
      <x:c r="G149" s="22" t="n">
        <x:f>IF(COUNT(E149:F149)=2,MAX(0,E149-F149),"n.a.")</x:f>
        <x:v>500</x:v>
      </x:c>
      <x:c r="H149" s="26" t="str">
        <x:f>'Inputs'!C13</x:f>
        <x:v>Loan C</x:v>
      </x:c>
      <x:c r="I149" s="26" t="n">
        <x:f>S144</x:f>
        <x:v>0</x:v>
      </x:c>
      <x:c r="J149" s="29" t="n">
        <x:f>IF('Inputs'!$D$9="Ready",'Inputs'!E13,"n.a.")</x:f>
        <x:v>0.08</x:v>
      </x:c>
      <x:c r="K149" s="26" t="n">
        <x:f>IF('Inputs'!$D$9="Ready",'Inputs'!F13,"n.a.")</x:f>
        <x:v>150</x:v>
      </x:c>
      <x:c r="L149" s="29" t="n">
        <x:f>IF('Inputs'!$D$9="Ready",'Inputs'!G13,"n.a.")</x:f>
        <x:v>0</x:v>
      </x:c>
      <x:c r="M149" s="22" t="n">
        <x:f>IF(COUNT(I149:L149)=4,ROUND(I149*J149/12,2),"n.a.")</x:f>
        <x:v>0</x:v>
      </x:c>
      <x:c r="N149" s="22" t="n">
        <x:f>IF(COUNT(I149:M149)=5,MIN(I149+M149,ROUND(MAX(K149,I149*L149+M149),2)),"n.a.")</x:f>
        <x:v>0</x:v>
      </x:c>
      <x:c r="O149" s="30" t="n">
        <x:f>IF(COUNT($I$147:$I$151)&lt;&gt;5,"n.a.",IF(I149=0,6,IF('Inputs'!$D$5=1,COUNTIFS($I$147:$I$151,"&gt;0",$I$147:$I$151,"&lt;"&amp;I149)+COUNTIFS($I$147:I149,I149),COUNTIFS($I$147:$I$151,"&gt;0",$J$147:$J$151,"&gt;"&amp;J149)+COUNTIFS($I$147:I149,"&gt;0",$J$147:J149,J149))))</x:f>
        <x:v>6</x:v>
      </x:c>
      <x:c r="P149" s="22" t="n">
        <x:f>IF(T149="Ready",MIN(U149,MAX(0,G149-SUMIFS($U$147:$U$151,$O$147:$O$151,"&lt;"&amp;O149))),"n.a.")</x:f>
        <x:v>0</x:v>
      </x:c>
      <x:c r="Q149" s="22" t="n">
        <x:f>IF(T149="Ready",ROUND(N149+P149,2),"n.a.")</x:f>
        <x:v>0</x:v>
      </x:c>
      <x:c r="R149" s="22" t="n">
        <x:f>IF(T149="Ready",ROUND(Q149-M149,2),"n.a.")</x:f>
        <x:v>0</x:v>
      </x:c>
      <x:c r="S149" s="22" t="n">
        <x:f>IF(T149="Ready",MAX(0,ROUND(I149+M149-Q149,2)),"n.a.")</x:f>
        <x:v>0</x:v>
      </x:c>
      <x:c r="T149" s="22" t="str">
        <x:f>IF(AND(COUNT($I$147:$I$151)=5,COUNT(E149:F149)=2),IF(E149&gt;=F149,"Ready","Budget below minima"),"Check inputs")</x:f>
        <x:v>Ready</x:v>
      </x:c>
      <x:c r="U149" s="22" t="n">
        <x:f>IF(COUNT(I149,M149,N149)=3,MAX(0,ROUND(I149+M149-N149,2)),"n.a.")</x:f>
        <x:v>0</x:v>
      </x:c>
    </x:row>
    <x:row r="150" ht="22" customHeight="1">
      <x:c r="A150" s="2"/>
      <x:c r="B150" s="2"/>
      <x:c r="C150" s="27" t="n">
        <x:f>29</x:f>
        <x:v>29</x:v>
      </x:c>
      <x:c r="D150" s="28" t="n">
        <x:f>IF(ISNUMBER('Inputs'!$D$7),EDATE('Inputs'!$D$7,28),"n.a.")</x:f>
        <x:v>47178</x:v>
      </x:c>
      <x:c r="E150" s="26" t="n">
        <x:f>IF('Inputs'!$D$9&lt;&gt;"Ready","n.a.",IF(ISNUMBER('Inputs'!E47),IF('Inputs'!E47&gt;=0,'Inputs'!E47,"n.a."),IF('Inputs'!E47="",'Inputs'!$D$6,"n.a.")))</x:f>
        <x:v>500</x:v>
      </x:c>
      <x:c r="F150" s="22" t="n">
        <x:f>IF(COUNT($N$147:$N$151)=5,SUM($N$147:$N$151),"n.a.")</x:f>
        <x:v>0</x:v>
      </x:c>
      <x:c r="G150" s="22" t="n">
        <x:f>IF(COUNT(E150:F150)=2,MAX(0,E150-F150),"n.a.")</x:f>
        <x:v>500</x:v>
      </x:c>
      <x:c r="H150" s="26" t="str">
        <x:f>'Inputs'!C14</x:f>
        <x:v>Unused 4</x:v>
      </x:c>
      <x:c r="I150" s="26" t="n">
        <x:f>S145</x:f>
        <x:v>0</x:v>
      </x:c>
      <x:c r="J150" s="29" t="n">
        <x:f>IF('Inputs'!$D$9="Ready",'Inputs'!E14,"n.a.")</x:f>
        <x:v>0</x:v>
      </x:c>
      <x:c r="K150" s="26" t="n">
        <x:f>IF('Inputs'!$D$9="Ready",'Inputs'!F14,"n.a.")</x:f>
        <x:v>0</x:v>
      </x:c>
      <x:c r="L150" s="29" t="n">
        <x:f>IF('Inputs'!$D$9="Ready",'Inputs'!G14,"n.a.")</x:f>
        <x:v>0</x:v>
      </x:c>
      <x:c r="M150" s="22" t="n">
        <x:f>IF(COUNT(I150:L150)=4,ROUND(I150*J150/12,2),"n.a.")</x:f>
        <x:v>0</x:v>
      </x:c>
      <x:c r="N150" s="22" t="n">
        <x:f>IF(COUNT(I150:M150)=5,MIN(I150+M150,ROUND(MAX(K150,I150*L150+M150),2)),"n.a.")</x:f>
        <x:v>0</x:v>
      </x:c>
      <x:c r="O150" s="30" t="n">
        <x:f>IF(COUNT($I$147:$I$151)&lt;&gt;5,"n.a.",IF(I150=0,6,IF('Inputs'!$D$5=1,COUNTIFS($I$147:$I$151,"&gt;0",$I$147:$I$151,"&lt;"&amp;I150)+COUNTIFS($I$147:I150,I150),COUNTIFS($I$147:$I$151,"&gt;0",$J$147:$J$151,"&gt;"&amp;J150)+COUNTIFS($I$147:I150,"&gt;0",$J$147:J150,J150))))</x:f>
        <x:v>6</x:v>
      </x:c>
      <x:c r="P150" s="22" t="n">
        <x:f>IF(T150="Ready",MIN(U150,MAX(0,G150-SUMIFS($U$147:$U$151,$O$147:$O$151,"&lt;"&amp;O150))),"n.a.")</x:f>
        <x:v>0</x:v>
      </x:c>
      <x:c r="Q150" s="22" t="n">
        <x:f>IF(T150="Ready",ROUND(N150+P150,2),"n.a.")</x:f>
        <x:v>0</x:v>
      </x:c>
      <x:c r="R150" s="22" t="n">
        <x:f>IF(T150="Ready",ROUND(Q150-M150,2),"n.a.")</x:f>
        <x:v>0</x:v>
      </x:c>
      <x:c r="S150" s="22" t="n">
        <x:f>IF(T150="Ready",MAX(0,ROUND(I150+M150-Q150,2)),"n.a.")</x:f>
        <x:v>0</x:v>
      </x:c>
      <x:c r="T150" s="22" t="str">
        <x:f>IF(AND(COUNT($I$147:$I$151)=5,COUNT(E150:F150)=2),IF(E150&gt;=F150,"Ready","Budget below minima"),"Check inputs")</x:f>
        <x:v>Ready</x:v>
      </x:c>
      <x:c r="U150" s="22" t="n">
        <x:f>IF(COUNT(I150,M150,N150)=3,MAX(0,ROUND(I150+M150-N150,2)),"n.a.")</x:f>
        <x:v>0</x:v>
      </x:c>
    </x:row>
    <x:row r="151" ht="22" customHeight="1">
      <x:c r="A151" s="2"/>
      <x:c r="B151" s="2"/>
      <x:c r="C151" s="27" t="n">
        <x:f>29</x:f>
        <x:v>29</x:v>
      </x:c>
      <x:c r="D151" s="28" t="n">
        <x:f>IF(ISNUMBER('Inputs'!$D$7),EDATE('Inputs'!$D$7,28),"n.a.")</x:f>
        <x:v>47178</x:v>
      </x:c>
      <x:c r="E151" s="26" t="n">
        <x:f>IF('Inputs'!$D$9&lt;&gt;"Ready","n.a.",IF(ISNUMBER('Inputs'!E47),IF('Inputs'!E47&gt;=0,'Inputs'!E47,"n.a."),IF('Inputs'!E47="",'Inputs'!$D$6,"n.a.")))</x:f>
        <x:v>500</x:v>
      </x:c>
      <x:c r="F151" s="22" t="n">
        <x:f>IF(COUNT($N$147:$N$151)=5,SUM($N$147:$N$151),"n.a.")</x:f>
        <x:v>0</x:v>
      </x:c>
      <x:c r="G151" s="22" t="n">
        <x:f>IF(COUNT(E151:F151)=2,MAX(0,E151-F151),"n.a.")</x:f>
        <x:v>500</x:v>
      </x:c>
      <x:c r="H151" s="26" t="str">
        <x:f>'Inputs'!C15</x:f>
        <x:v>Unused 5</x:v>
      </x:c>
      <x:c r="I151" s="26" t="n">
        <x:f>S146</x:f>
        <x:v>0</x:v>
      </x:c>
      <x:c r="J151" s="29" t="n">
        <x:f>IF('Inputs'!$D$9="Ready",'Inputs'!E15,"n.a.")</x:f>
        <x:v>0</x:v>
      </x:c>
      <x:c r="K151" s="26" t="n">
        <x:f>IF('Inputs'!$D$9="Ready",'Inputs'!F15,"n.a.")</x:f>
        <x:v>0</x:v>
      </x:c>
      <x:c r="L151" s="29" t="n">
        <x:f>IF('Inputs'!$D$9="Ready",'Inputs'!G15,"n.a.")</x:f>
        <x:v>0</x:v>
      </x:c>
      <x:c r="M151" s="22" t="n">
        <x:f>IF(COUNT(I151:L151)=4,ROUND(I151*J151/12,2),"n.a.")</x:f>
        <x:v>0</x:v>
      </x:c>
      <x:c r="N151" s="22" t="n">
        <x:f>IF(COUNT(I151:M151)=5,MIN(I151+M151,ROUND(MAX(K151,I151*L151+M151),2)),"n.a.")</x:f>
        <x:v>0</x:v>
      </x:c>
      <x:c r="O151" s="30" t="n">
        <x:f>IF(COUNT($I$147:$I$151)&lt;&gt;5,"n.a.",IF(I151=0,6,IF('Inputs'!$D$5=1,COUNTIFS($I$147:$I$151,"&gt;0",$I$147:$I$151,"&lt;"&amp;I151)+COUNTIFS($I$147:I151,I151),COUNTIFS($I$147:$I$151,"&gt;0",$J$147:$J$151,"&gt;"&amp;J151)+COUNTIFS($I$147:I151,"&gt;0",$J$147:J151,J151))))</x:f>
        <x:v>6</x:v>
      </x:c>
      <x:c r="P151" s="22" t="n">
        <x:f>IF(T151="Ready",MIN(U151,MAX(0,G151-SUMIFS($U$147:$U$151,$O$147:$O$151,"&lt;"&amp;O151))),"n.a.")</x:f>
        <x:v>0</x:v>
      </x:c>
      <x:c r="Q151" s="22" t="n">
        <x:f>IF(T151="Ready",ROUND(N151+P151,2),"n.a.")</x:f>
        <x:v>0</x:v>
      </x:c>
      <x:c r="R151" s="22" t="n">
        <x:f>IF(T151="Ready",ROUND(Q151-M151,2),"n.a.")</x:f>
        <x:v>0</x:v>
      </x:c>
      <x:c r="S151" s="22" t="n">
        <x:f>IF(T151="Ready",MAX(0,ROUND(I151+M151-Q151,2)),"n.a.")</x:f>
        <x:v>0</x:v>
      </x:c>
      <x:c r="T151" s="22" t="str">
        <x:f>IF(AND(COUNT($I$147:$I$151)=5,COUNT(E151:F151)=2),IF(E151&gt;=F151,"Ready","Budget below minima"),"Check inputs")</x:f>
        <x:v>Ready</x:v>
      </x:c>
      <x:c r="U151" s="22" t="n">
        <x:f>IF(COUNT(I151,M151,N151)=3,MAX(0,ROUND(I151+M151-N151,2)),"n.a.")</x:f>
        <x:v>0</x:v>
      </x:c>
    </x:row>
    <x:row r="152" ht="22" customHeight="1">
      <x:c r="A152" s="2"/>
      <x:c r="B152" s="2"/>
      <x:c r="C152" s="27" t="n">
        <x:f>30</x:f>
        <x:v>30</x:v>
      </x:c>
      <x:c r="D152" s="28" t="n">
        <x:f>IF(ISNUMBER('Inputs'!$D$7),EDATE('Inputs'!$D$7,29),"n.a.")</x:f>
        <x:v>47209</x:v>
      </x:c>
      <x:c r="E152" s="26" t="n">
        <x:f>IF('Inputs'!$D$9&lt;&gt;"Ready","n.a.",IF(ISNUMBER('Inputs'!E48),IF('Inputs'!E48&gt;=0,'Inputs'!E48,"n.a."),IF('Inputs'!E48="",'Inputs'!$D$6,"n.a.")))</x:f>
        <x:v>500</x:v>
      </x:c>
      <x:c r="F152" s="22" t="n">
        <x:f>IF(COUNT($N$152:$N$156)=5,SUM($N$152:$N$156),"n.a.")</x:f>
        <x:v>0</x:v>
      </x:c>
      <x:c r="G152" s="22" t="n">
        <x:f>IF(COUNT(E152:F152)=2,MAX(0,E152-F152),"n.a.")</x:f>
        <x:v>500</x:v>
      </x:c>
      <x:c r="H152" s="26" t="str">
        <x:f>'Inputs'!C11</x:f>
        <x:v>Card A</x:v>
      </x:c>
      <x:c r="I152" s="26" t="n">
        <x:f>S147</x:f>
        <x:v>0</x:v>
      </x:c>
      <x:c r="J152" s="29" t="n">
        <x:f>IF('Inputs'!$D$9="Ready",'Inputs'!E11,"n.a.")</x:f>
        <x:v>0.24</x:v>
      </x:c>
      <x:c r="K152" s="26" t="n">
        <x:f>IF('Inputs'!$D$9="Ready",'Inputs'!F11,"n.a.")</x:f>
        <x:v>35</x:v>
      </x:c>
      <x:c r="L152" s="29" t="n">
        <x:f>IF('Inputs'!$D$9="Ready",'Inputs'!G11,"n.a.")</x:f>
        <x:v>0.02</x:v>
      </x:c>
      <x:c r="M152" s="22" t="n">
        <x:f>IF(COUNT(I152:L152)=4,ROUND(I152*J152/12,2),"n.a.")</x:f>
        <x:v>0</x:v>
      </x:c>
      <x:c r="N152" s="22" t="n">
        <x:f>IF(COUNT(I152:M152)=5,MIN(I152+M152,ROUND(MAX(K152,I152*L152+M152),2)),"n.a.")</x:f>
        <x:v>0</x:v>
      </x:c>
      <x:c r="O152" s="30" t="n">
        <x:f>IF(COUNT($I$152:$I$156)&lt;&gt;5,"n.a.",IF(I152=0,6,IF('Inputs'!$D$5=1,COUNTIFS($I$152:$I$156,"&gt;0",$I$152:$I$156,"&lt;"&amp;I152)+COUNTIFS($I$152:I152,I152),COUNTIFS($I$152:$I$156,"&gt;0",$J$152:$J$156,"&gt;"&amp;J152)+COUNTIFS($I$152:I152,"&gt;0",$J$152:J152,J152))))</x:f>
        <x:v>6</x:v>
      </x:c>
      <x:c r="P152" s="22" t="n">
        <x:f>IF(T152="Ready",MIN(U152,MAX(0,G152-SUMIFS($U$152:$U$156,$O$152:$O$156,"&lt;"&amp;O152))),"n.a.")</x:f>
        <x:v>0</x:v>
      </x:c>
      <x:c r="Q152" s="22" t="n">
        <x:f>IF(T152="Ready",ROUND(N152+P152,2),"n.a.")</x:f>
        <x:v>0</x:v>
      </x:c>
      <x:c r="R152" s="22" t="n">
        <x:f>IF(T152="Ready",ROUND(Q152-M152,2),"n.a.")</x:f>
        <x:v>0</x:v>
      </x:c>
      <x:c r="S152" s="22" t="n">
        <x:f>IF(T152="Ready",MAX(0,ROUND(I152+M152-Q152,2)),"n.a.")</x:f>
        <x:v>0</x:v>
      </x:c>
      <x:c r="T152" s="22" t="str">
        <x:f>IF(AND(COUNT($I$152:$I$156)=5,COUNT(E152:F152)=2),IF(E152&gt;=F152,"Ready","Budget below minima"),"Check inputs")</x:f>
        <x:v>Ready</x:v>
      </x:c>
      <x:c r="U152" s="22" t="n">
        <x:f>IF(COUNT(I152,M152,N152)=3,MAX(0,ROUND(I152+M152-N152,2)),"n.a.")</x:f>
        <x:v>0</x:v>
      </x:c>
    </x:row>
    <x:row r="153" ht="22" customHeight="1">
      <x:c r="A153" s="2"/>
      <x:c r="B153" s="2"/>
      <x:c r="C153" s="27" t="n">
        <x:f>30</x:f>
        <x:v>30</x:v>
      </x:c>
      <x:c r="D153" s="28" t="n">
        <x:f>IF(ISNUMBER('Inputs'!$D$7),EDATE('Inputs'!$D$7,29),"n.a.")</x:f>
        <x:v>47209</x:v>
      </x:c>
      <x:c r="E153" s="26" t="n">
        <x:f>IF('Inputs'!$D$9&lt;&gt;"Ready","n.a.",IF(ISNUMBER('Inputs'!E48),IF('Inputs'!E48&gt;=0,'Inputs'!E48,"n.a."),IF('Inputs'!E48="",'Inputs'!$D$6,"n.a.")))</x:f>
        <x:v>500</x:v>
      </x:c>
      <x:c r="F153" s="22" t="n">
        <x:f>IF(COUNT($N$152:$N$156)=5,SUM($N$152:$N$156),"n.a.")</x:f>
        <x:v>0</x:v>
      </x:c>
      <x:c r="G153" s="22" t="n">
        <x:f>IF(COUNT(E153:F153)=2,MAX(0,E153-F153),"n.a.")</x:f>
        <x:v>500</x:v>
      </x:c>
      <x:c r="H153" s="26" t="str">
        <x:f>'Inputs'!C12</x:f>
        <x:v>Card B</x:v>
      </x:c>
      <x:c r="I153" s="26" t="n">
        <x:f>S148</x:f>
        <x:v>0</x:v>
      </x:c>
      <x:c r="J153" s="29" t="n">
        <x:f>IF('Inputs'!$D$9="Ready",'Inputs'!E12,"n.a.")</x:f>
        <x:v>0.18</x:v>
      </x:c>
      <x:c r="K153" s="26" t="n">
        <x:f>IF('Inputs'!$D$9="Ready",'Inputs'!F12,"n.a.")</x:f>
        <x:v>60</x:v>
      </x:c>
      <x:c r="L153" s="29" t="n">
        <x:f>IF('Inputs'!$D$9="Ready",'Inputs'!G12,"n.a.")</x:f>
        <x:v>0.02</x:v>
      </x:c>
      <x:c r="M153" s="22" t="n">
        <x:f>IF(COUNT(I153:L153)=4,ROUND(I153*J153/12,2),"n.a.")</x:f>
        <x:v>0</x:v>
      </x:c>
      <x:c r="N153" s="22" t="n">
        <x:f>IF(COUNT(I153:M153)=5,MIN(I153+M153,ROUND(MAX(K153,I153*L153+M153),2)),"n.a.")</x:f>
        <x:v>0</x:v>
      </x:c>
      <x:c r="O153" s="30" t="n">
        <x:f>IF(COUNT($I$152:$I$156)&lt;&gt;5,"n.a.",IF(I153=0,6,IF('Inputs'!$D$5=1,COUNTIFS($I$152:$I$156,"&gt;0",$I$152:$I$156,"&lt;"&amp;I153)+COUNTIFS($I$152:I153,I153),COUNTIFS($I$152:$I$156,"&gt;0",$J$152:$J$156,"&gt;"&amp;J153)+COUNTIFS($I$152:I153,"&gt;0",$J$152:J153,J153))))</x:f>
        <x:v>6</x:v>
      </x:c>
      <x:c r="P153" s="22" t="n">
        <x:f>IF(T153="Ready",MIN(U153,MAX(0,G153-SUMIFS($U$152:$U$156,$O$152:$O$156,"&lt;"&amp;O153))),"n.a.")</x:f>
        <x:v>0</x:v>
      </x:c>
      <x:c r="Q153" s="22" t="n">
        <x:f>IF(T153="Ready",ROUND(N153+P153,2),"n.a.")</x:f>
        <x:v>0</x:v>
      </x:c>
      <x:c r="R153" s="22" t="n">
        <x:f>IF(T153="Ready",ROUND(Q153-M153,2),"n.a.")</x:f>
        <x:v>0</x:v>
      </x:c>
      <x:c r="S153" s="22" t="n">
        <x:f>IF(T153="Ready",MAX(0,ROUND(I153+M153-Q153,2)),"n.a.")</x:f>
        <x:v>0</x:v>
      </x:c>
      <x:c r="T153" s="22" t="str">
        <x:f>IF(AND(COUNT($I$152:$I$156)=5,COUNT(E153:F153)=2),IF(E153&gt;=F153,"Ready","Budget below minima"),"Check inputs")</x:f>
        <x:v>Ready</x:v>
      </x:c>
      <x:c r="U153" s="22" t="n">
        <x:f>IF(COUNT(I153,M153,N153)=3,MAX(0,ROUND(I153+M153-N153,2)),"n.a.")</x:f>
        <x:v>0</x:v>
      </x:c>
    </x:row>
    <x:row r="154" ht="22" customHeight="1">
      <x:c r="A154" s="2"/>
      <x:c r="B154" s="2"/>
      <x:c r="C154" s="27" t="n">
        <x:f>30</x:f>
        <x:v>30</x:v>
      </x:c>
      <x:c r="D154" s="28" t="n">
        <x:f>IF(ISNUMBER('Inputs'!$D$7),EDATE('Inputs'!$D$7,29),"n.a.")</x:f>
        <x:v>47209</x:v>
      </x:c>
      <x:c r="E154" s="26" t="n">
        <x:f>IF('Inputs'!$D$9&lt;&gt;"Ready","n.a.",IF(ISNUMBER('Inputs'!E48),IF('Inputs'!E48&gt;=0,'Inputs'!E48,"n.a."),IF('Inputs'!E48="",'Inputs'!$D$6,"n.a.")))</x:f>
        <x:v>500</x:v>
      </x:c>
      <x:c r="F154" s="22" t="n">
        <x:f>IF(COUNT($N$152:$N$156)=5,SUM($N$152:$N$156),"n.a.")</x:f>
        <x:v>0</x:v>
      </x:c>
      <x:c r="G154" s="22" t="n">
        <x:f>IF(COUNT(E154:F154)=2,MAX(0,E154-F154),"n.a.")</x:f>
        <x:v>500</x:v>
      </x:c>
      <x:c r="H154" s="26" t="str">
        <x:f>'Inputs'!C13</x:f>
        <x:v>Loan C</x:v>
      </x:c>
      <x:c r="I154" s="26" t="n">
        <x:f>S149</x:f>
        <x:v>0</x:v>
      </x:c>
      <x:c r="J154" s="29" t="n">
        <x:f>IF('Inputs'!$D$9="Ready",'Inputs'!E13,"n.a.")</x:f>
        <x:v>0.08</x:v>
      </x:c>
      <x:c r="K154" s="26" t="n">
        <x:f>IF('Inputs'!$D$9="Ready",'Inputs'!F13,"n.a.")</x:f>
        <x:v>150</x:v>
      </x:c>
      <x:c r="L154" s="29" t="n">
        <x:f>IF('Inputs'!$D$9="Ready",'Inputs'!G13,"n.a.")</x:f>
        <x:v>0</x:v>
      </x:c>
      <x:c r="M154" s="22" t="n">
        <x:f>IF(COUNT(I154:L154)=4,ROUND(I154*J154/12,2),"n.a.")</x:f>
        <x:v>0</x:v>
      </x:c>
      <x:c r="N154" s="22" t="n">
        <x:f>IF(COUNT(I154:M154)=5,MIN(I154+M154,ROUND(MAX(K154,I154*L154+M154),2)),"n.a.")</x:f>
        <x:v>0</x:v>
      </x:c>
      <x:c r="O154" s="30" t="n">
        <x:f>IF(COUNT($I$152:$I$156)&lt;&gt;5,"n.a.",IF(I154=0,6,IF('Inputs'!$D$5=1,COUNTIFS($I$152:$I$156,"&gt;0",$I$152:$I$156,"&lt;"&amp;I154)+COUNTIFS($I$152:I154,I154),COUNTIFS($I$152:$I$156,"&gt;0",$J$152:$J$156,"&gt;"&amp;J154)+COUNTIFS($I$152:I154,"&gt;0",$J$152:J154,J154))))</x:f>
        <x:v>6</x:v>
      </x:c>
      <x:c r="P154" s="22" t="n">
        <x:f>IF(T154="Ready",MIN(U154,MAX(0,G154-SUMIFS($U$152:$U$156,$O$152:$O$156,"&lt;"&amp;O154))),"n.a.")</x:f>
        <x:v>0</x:v>
      </x:c>
      <x:c r="Q154" s="22" t="n">
        <x:f>IF(T154="Ready",ROUND(N154+P154,2),"n.a.")</x:f>
        <x:v>0</x:v>
      </x:c>
      <x:c r="R154" s="22" t="n">
        <x:f>IF(T154="Ready",ROUND(Q154-M154,2),"n.a.")</x:f>
        <x:v>0</x:v>
      </x:c>
      <x:c r="S154" s="22" t="n">
        <x:f>IF(T154="Ready",MAX(0,ROUND(I154+M154-Q154,2)),"n.a.")</x:f>
        <x:v>0</x:v>
      </x:c>
      <x:c r="T154" s="22" t="str">
        <x:f>IF(AND(COUNT($I$152:$I$156)=5,COUNT(E154:F154)=2),IF(E154&gt;=F154,"Ready","Budget below minima"),"Check inputs")</x:f>
        <x:v>Ready</x:v>
      </x:c>
      <x:c r="U154" s="22" t="n">
        <x:f>IF(COUNT(I154,M154,N154)=3,MAX(0,ROUND(I154+M154-N154,2)),"n.a.")</x:f>
        <x:v>0</x:v>
      </x:c>
    </x:row>
    <x:row r="155" ht="22" customHeight="1">
      <x:c r="A155" s="2"/>
      <x:c r="B155" s="2"/>
      <x:c r="C155" s="27" t="n">
        <x:f>30</x:f>
        <x:v>30</x:v>
      </x:c>
      <x:c r="D155" s="28" t="n">
        <x:f>IF(ISNUMBER('Inputs'!$D$7),EDATE('Inputs'!$D$7,29),"n.a.")</x:f>
        <x:v>47209</x:v>
      </x:c>
      <x:c r="E155" s="26" t="n">
        <x:f>IF('Inputs'!$D$9&lt;&gt;"Ready","n.a.",IF(ISNUMBER('Inputs'!E48),IF('Inputs'!E48&gt;=0,'Inputs'!E48,"n.a."),IF('Inputs'!E48="",'Inputs'!$D$6,"n.a.")))</x:f>
        <x:v>500</x:v>
      </x:c>
      <x:c r="F155" s="22" t="n">
        <x:f>IF(COUNT($N$152:$N$156)=5,SUM($N$152:$N$156),"n.a.")</x:f>
        <x:v>0</x:v>
      </x:c>
      <x:c r="G155" s="22" t="n">
        <x:f>IF(COUNT(E155:F155)=2,MAX(0,E155-F155),"n.a.")</x:f>
        <x:v>500</x:v>
      </x:c>
      <x:c r="H155" s="26" t="str">
        <x:f>'Inputs'!C14</x:f>
        <x:v>Unused 4</x:v>
      </x:c>
      <x:c r="I155" s="26" t="n">
        <x:f>S150</x:f>
        <x:v>0</x:v>
      </x:c>
      <x:c r="J155" s="29" t="n">
        <x:f>IF('Inputs'!$D$9="Ready",'Inputs'!E14,"n.a.")</x:f>
        <x:v>0</x:v>
      </x:c>
      <x:c r="K155" s="26" t="n">
        <x:f>IF('Inputs'!$D$9="Ready",'Inputs'!F14,"n.a.")</x:f>
        <x:v>0</x:v>
      </x:c>
      <x:c r="L155" s="29" t="n">
        <x:f>IF('Inputs'!$D$9="Ready",'Inputs'!G14,"n.a.")</x:f>
        <x:v>0</x:v>
      </x:c>
      <x:c r="M155" s="22" t="n">
        <x:f>IF(COUNT(I155:L155)=4,ROUND(I155*J155/12,2),"n.a.")</x:f>
        <x:v>0</x:v>
      </x:c>
      <x:c r="N155" s="22" t="n">
        <x:f>IF(COUNT(I155:M155)=5,MIN(I155+M155,ROUND(MAX(K155,I155*L155+M155),2)),"n.a.")</x:f>
        <x:v>0</x:v>
      </x:c>
      <x:c r="O155" s="30" t="n">
        <x:f>IF(COUNT($I$152:$I$156)&lt;&gt;5,"n.a.",IF(I155=0,6,IF('Inputs'!$D$5=1,COUNTIFS($I$152:$I$156,"&gt;0",$I$152:$I$156,"&lt;"&amp;I155)+COUNTIFS($I$152:I155,I155),COUNTIFS($I$152:$I$156,"&gt;0",$J$152:$J$156,"&gt;"&amp;J155)+COUNTIFS($I$152:I155,"&gt;0",$J$152:J155,J155))))</x:f>
        <x:v>6</x:v>
      </x:c>
      <x:c r="P155" s="22" t="n">
        <x:f>IF(T155="Ready",MIN(U155,MAX(0,G155-SUMIFS($U$152:$U$156,$O$152:$O$156,"&lt;"&amp;O155))),"n.a.")</x:f>
        <x:v>0</x:v>
      </x:c>
      <x:c r="Q155" s="22" t="n">
        <x:f>IF(T155="Ready",ROUND(N155+P155,2),"n.a.")</x:f>
        <x:v>0</x:v>
      </x:c>
      <x:c r="R155" s="22" t="n">
        <x:f>IF(T155="Ready",ROUND(Q155-M155,2),"n.a.")</x:f>
        <x:v>0</x:v>
      </x:c>
      <x:c r="S155" s="22" t="n">
        <x:f>IF(T155="Ready",MAX(0,ROUND(I155+M155-Q155,2)),"n.a.")</x:f>
        <x:v>0</x:v>
      </x:c>
      <x:c r="T155" s="22" t="str">
        <x:f>IF(AND(COUNT($I$152:$I$156)=5,COUNT(E155:F155)=2),IF(E155&gt;=F155,"Ready","Budget below minima"),"Check inputs")</x:f>
        <x:v>Ready</x:v>
      </x:c>
      <x:c r="U155" s="22" t="n">
        <x:f>IF(COUNT(I155,M155,N155)=3,MAX(0,ROUND(I155+M155-N155,2)),"n.a.")</x:f>
        <x:v>0</x:v>
      </x:c>
    </x:row>
    <x:row r="156" ht="22" customHeight="1">
      <x:c r="A156" s="2"/>
      <x:c r="B156" s="2"/>
      <x:c r="C156" s="27" t="n">
        <x:f>30</x:f>
        <x:v>30</x:v>
      </x:c>
      <x:c r="D156" s="28" t="n">
        <x:f>IF(ISNUMBER('Inputs'!$D$7),EDATE('Inputs'!$D$7,29),"n.a.")</x:f>
        <x:v>47209</x:v>
      </x:c>
      <x:c r="E156" s="26" t="n">
        <x:f>IF('Inputs'!$D$9&lt;&gt;"Ready","n.a.",IF(ISNUMBER('Inputs'!E48),IF('Inputs'!E48&gt;=0,'Inputs'!E48,"n.a."),IF('Inputs'!E48="",'Inputs'!$D$6,"n.a.")))</x:f>
        <x:v>500</x:v>
      </x:c>
      <x:c r="F156" s="22" t="n">
        <x:f>IF(COUNT($N$152:$N$156)=5,SUM($N$152:$N$156),"n.a.")</x:f>
        <x:v>0</x:v>
      </x:c>
      <x:c r="G156" s="22" t="n">
        <x:f>IF(COUNT(E156:F156)=2,MAX(0,E156-F156),"n.a.")</x:f>
        <x:v>500</x:v>
      </x:c>
      <x:c r="H156" s="26" t="str">
        <x:f>'Inputs'!C15</x:f>
        <x:v>Unused 5</x:v>
      </x:c>
      <x:c r="I156" s="26" t="n">
        <x:f>S151</x:f>
        <x:v>0</x:v>
      </x:c>
      <x:c r="J156" s="29" t="n">
        <x:f>IF('Inputs'!$D$9="Ready",'Inputs'!E15,"n.a.")</x:f>
        <x:v>0</x:v>
      </x:c>
      <x:c r="K156" s="26" t="n">
        <x:f>IF('Inputs'!$D$9="Ready",'Inputs'!F15,"n.a.")</x:f>
        <x:v>0</x:v>
      </x:c>
      <x:c r="L156" s="29" t="n">
        <x:f>IF('Inputs'!$D$9="Ready",'Inputs'!G15,"n.a.")</x:f>
        <x:v>0</x:v>
      </x:c>
      <x:c r="M156" s="22" t="n">
        <x:f>IF(COUNT(I156:L156)=4,ROUND(I156*J156/12,2),"n.a.")</x:f>
        <x:v>0</x:v>
      </x:c>
      <x:c r="N156" s="22" t="n">
        <x:f>IF(COUNT(I156:M156)=5,MIN(I156+M156,ROUND(MAX(K156,I156*L156+M156),2)),"n.a.")</x:f>
        <x:v>0</x:v>
      </x:c>
      <x:c r="O156" s="30" t="n">
        <x:f>IF(COUNT($I$152:$I$156)&lt;&gt;5,"n.a.",IF(I156=0,6,IF('Inputs'!$D$5=1,COUNTIFS($I$152:$I$156,"&gt;0",$I$152:$I$156,"&lt;"&amp;I156)+COUNTIFS($I$152:I156,I156),COUNTIFS($I$152:$I$156,"&gt;0",$J$152:$J$156,"&gt;"&amp;J156)+COUNTIFS($I$152:I156,"&gt;0",$J$152:J156,J156))))</x:f>
        <x:v>6</x:v>
      </x:c>
      <x:c r="P156" s="22" t="n">
        <x:f>IF(T156="Ready",MIN(U156,MAX(0,G156-SUMIFS($U$152:$U$156,$O$152:$O$156,"&lt;"&amp;O156))),"n.a.")</x:f>
        <x:v>0</x:v>
      </x:c>
      <x:c r="Q156" s="22" t="n">
        <x:f>IF(T156="Ready",ROUND(N156+P156,2),"n.a.")</x:f>
        <x:v>0</x:v>
      </x:c>
      <x:c r="R156" s="22" t="n">
        <x:f>IF(T156="Ready",ROUND(Q156-M156,2),"n.a.")</x:f>
        <x:v>0</x:v>
      </x:c>
      <x:c r="S156" s="22" t="n">
        <x:f>IF(T156="Ready",MAX(0,ROUND(I156+M156-Q156,2)),"n.a.")</x:f>
        <x:v>0</x:v>
      </x:c>
      <x:c r="T156" s="22" t="str">
        <x:f>IF(AND(COUNT($I$152:$I$156)=5,COUNT(E156:F156)=2),IF(E156&gt;=F156,"Ready","Budget below minima"),"Check inputs")</x:f>
        <x:v>Ready</x:v>
      </x:c>
      <x:c r="U156" s="22" t="n">
        <x:f>IF(COUNT(I156,M156,N156)=3,MAX(0,ROUND(I156+M156-N156,2)),"n.a.")</x:f>
        <x:v>0</x:v>
      </x:c>
    </x:row>
    <x:row r="157" ht="22" customHeight="1">
      <x:c r="A157" s="2"/>
      <x:c r="B157" s="2"/>
      <x:c r="C157" s="27" t="n">
        <x:f>31</x:f>
        <x:v>31</x:v>
      </x:c>
      <x:c r="D157" s="28" t="n">
        <x:f>IF(ISNUMBER('Inputs'!$D$7),EDATE('Inputs'!$D$7,30),"n.a.")</x:f>
        <x:v>47239</x:v>
      </x:c>
      <x:c r="E157" s="26" t="n">
        <x:f>IF('Inputs'!$D$9&lt;&gt;"Ready","n.a.",IF(ISNUMBER('Inputs'!E49),IF('Inputs'!E49&gt;=0,'Inputs'!E49,"n.a."),IF('Inputs'!E49="",'Inputs'!$D$6,"n.a.")))</x:f>
        <x:v>500</x:v>
      </x:c>
      <x:c r="F157" s="22" t="n">
        <x:f>IF(COUNT($N$157:$N$161)=5,SUM($N$157:$N$161),"n.a.")</x:f>
        <x:v>0</x:v>
      </x:c>
      <x:c r="G157" s="22" t="n">
        <x:f>IF(COUNT(E157:F157)=2,MAX(0,E157-F157),"n.a.")</x:f>
        <x:v>500</x:v>
      </x:c>
      <x:c r="H157" s="26" t="str">
        <x:f>'Inputs'!C11</x:f>
        <x:v>Card A</x:v>
      </x:c>
      <x:c r="I157" s="26" t="n">
        <x:f>S152</x:f>
        <x:v>0</x:v>
      </x:c>
      <x:c r="J157" s="29" t="n">
        <x:f>IF('Inputs'!$D$9="Ready",'Inputs'!E11,"n.a.")</x:f>
        <x:v>0.24</x:v>
      </x:c>
      <x:c r="K157" s="26" t="n">
        <x:f>IF('Inputs'!$D$9="Ready",'Inputs'!F11,"n.a.")</x:f>
        <x:v>35</x:v>
      </x:c>
      <x:c r="L157" s="29" t="n">
        <x:f>IF('Inputs'!$D$9="Ready",'Inputs'!G11,"n.a.")</x:f>
        <x:v>0.02</x:v>
      </x:c>
      <x:c r="M157" s="22" t="n">
        <x:f>IF(COUNT(I157:L157)=4,ROUND(I157*J157/12,2),"n.a.")</x:f>
        <x:v>0</x:v>
      </x:c>
      <x:c r="N157" s="22" t="n">
        <x:f>IF(COUNT(I157:M157)=5,MIN(I157+M157,ROUND(MAX(K157,I157*L157+M157),2)),"n.a.")</x:f>
        <x:v>0</x:v>
      </x:c>
      <x:c r="O157" s="30" t="n">
        <x:f>IF(COUNT($I$157:$I$161)&lt;&gt;5,"n.a.",IF(I157=0,6,IF('Inputs'!$D$5=1,COUNTIFS($I$157:$I$161,"&gt;0",$I$157:$I$161,"&lt;"&amp;I157)+COUNTIFS($I$157:I157,I157),COUNTIFS($I$157:$I$161,"&gt;0",$J$157:$J$161,"&gt;"&amp;J157)+COUNTIFS($I$157:I157,"&gt;0",$J$157:J157,J157))))</x:f>
        <x:v>6</x:v>
      </x:c>
      <x:c r="P157" s="22" t="n">
        <x:f>IF(T157="Ready",MIN(U157,MAX(0,G157-SUMIFS($U$157:$U$161,$O$157:$O$161,"&lt;"&amp;O157))),"n.a.")</x:f>
        <x:v>0</x:v>
      </x:c>
      <x:c r="Q157" s="22" t="n">
        <x:f>IF(T157="Ready",ROUND(N157+P157,2),"n.a.")</x:f>
        <x:v>0</x:v>
      </x:c>
      <x:c r="R157" s="22" t="n">
        <x:f>IF(T157="Ready",ROUND(Q157-M157,2),"n.a.")</x:f>
        <x:v>0</x:v>
      </x:c>
      <x:c r="S157" s="22" t="n">
        <x:f>IF(T157="Ready",MAX(0,ROUND(I157+M157-Q157,2)),"n.a.")</x:f>
        <x:v>0</x:v>
      </x:c>
      <x:c r="T157" s="22" t="str">
        <x:f>IF(AND(COUNT($I$157:$I$161)=5,COUNT(E157:F157)=2),IF(E157&gt;=F157,"Ready","Budget below minima"),"Check inputs")</x:f>
        <x:v>Ready</x:v>
      </x:c>
      <x:c r="U157" s="22" t="n">
        <x:f>IF(COUNT(I157,M157,N157)=3,MAX(0,ROUND(I157+M157-N157,2)),"n.a.")</x:f>
        <x:v>0</x:v>
      </x:c>
    </x:row>
    <x:row r="158" ht="22" customHeight="1">
      <x:c r="A158" s="2"/>
      <x:c r="B158" s="2"/>
      <x:c r="C158" s="27" t="n">
        <x:f>31</x:f>
        <x:v>31</x:v>
      </x:c>
      <x:c r="D158" s="28" t="n">
        <x:f>IF(ISNUMBER('Inputs'!$D$7),EDATE('Inputs'!$D$7,30),"n.a.")</x:f>
        <x:v>47239</x:v>
      </x:c>
      <x:c r="E158" s="26" t="n">
        <x:f>IF('Inputs'!$D$9&lt;&gt;"Ready","n.a.",IF(ISNUMBER('Inputs'!E49),IF('Inputs'!E49&gt;=0,'Inputs'!E49,"n.a."),IF('Inputs'!E49="",'Inputs'!$D$6,"n.a.")))</x:f>
        <x:v>500</x:v>
      </x:c>
      <x:c r="F158" s="22" t="n">
        <x:f>IF(COUNT($N$157:$N$161)=5,SUM($N$157:$N$161),"n.a.")</x:f>
        <x:v>0</x:v>
      </x:c>
      <x:c r="G158" s="22" t="n">
        <x:f>IF(COUNT(E158:F158)=2,MAX(0,E158-F158),"n.a.")</x:f>
        <x:v>500</x:v>
      </x:c>
      <x:c r="H158" s="26" t="str">
        <x:f>'Inputs'!C12</x:f>
        <x:v>Card B</x:v>
      </x:c>
      <x:c r="I158" s="26" t="n">
        <x:f>S153</x:f>
        <x:v>0</x:v>
      </x:c>
      <x:c r="J158" s="29" t="n">
        <x:f>IF('Inputs'!$D$9="Ready",'Inputs'!E12,"n.a.")</x:f>
        <x:v>0.18</x:v>
      </x:c>
      <x:c r="K158" s="26" t="n">
        <x:f>IF('Inputs'!$D$9="Ready",'Inputs'!F12,"n.a.")</x:f>
        <x:v>60</x:v>
      </x:c>
      <x:c r="L158" s="29" t="n">
        <x:f>IF('Inputs'!$D$9="Ready",'Inputs'!G12,"n.a.")</x:f>
        <x:v>0.02</x:v>
      </x:c>
      <x:c r="M158" s="22" t="n">
        <x:f>IF(COUNT(I158:L158)=4,ROUND(I158*J158/12,2),"n.a.")</x:f>
        <x:v>0</x:v>
      </x:c>
      <x:c r="N158" s="22" t="n">
        <x:f>IF(COUNT(I158:M158)=5,MIN(I158+M158,ROUND(MAX(K158,I158*L158+M158),2)),"n.a.")</x:f>
        <x:v>0</x:v>
      </x:c>
      <x:c r="O158" s="30" t="n">
        <x:f>IF(COUNT($I$157:$I$161)&lt;&gt;5,"n.a.",IF(I158=0,6,IF('Inputs'!$D$5=1,COUNTIFS($I$157:$I$161,"&gt;0",$I$157:$I$161,"&lt;"&amp;I158)+COUNTIFS($I$157:I158,I158),COUNTIFS($I$157:$I$161,"&gt;0",$J$157:$J$161,"&gt;"&amp;J158)+COUNTIFS($I$157:I158,"&gt;0",$J$157:J158,J158))))</x:f>
        <x:v>6</x:v>
      </x:c>
      <x:c r="P158" s="22" t="n">
        <x:f>IF(T158="Ready",MIN(U158,MAX(0,G158-SUMIFS($U$157:$U$161,$O$157:$O$161,"&lt;"&amp;O158))),"n.a.")</x:f>
        <x:v>0</x:v>
      </x:c>
      <x:c r="Q158" s="22" t="n">
        <x:f>IF(T158="Ready",ROUND(N158+P158,2),"n.a.")</x:f>
        <x:v>0</x:v>
      </x:c>
      <x:c r="R158" s="22" t="n">
        <x:f>IF(T158="Ready",ROUND(Q158-M158,2),"n.a.")</x:f>
        <x:v>0</x:v>
      </x:c>
      <x:c r="S158" s="22" t="n">
        <x:f>IF(T158="Ready",MAX(0,ROUND(I158+M158-Q158,2)),"n.a.")</x:f>
        <x:v>0</x:v>
      </x:c>
      <x:c r="T158" s="22" t="str">
        <x:f>IF(AND(COUNT($I$157:$I$161)=5,COUNT(E158:F158)=2),IF(E158&gt;=F158,"Ready","Budget below minima"),"Check inputs")</x:f>
        <x:v>Ready</x:v>
      </x:c>
      <x:c r="U158" s="22" t="n">
        <x:f>IF(COUNT(I158,M158,N158)=3,MAX(0,ROUND(I158+M158-N158,2)),"n.a.")</x:f>
        <x:v>0</x:v>
      </x:c>
    </x:row>
    <x:row r="159" ht="22" customHeight="1">
      <x:c r="A159" s="2"/>
      <x:c r="B159" s="2"/>
      <x:c r="C159" s="27" t="n">
        <x:f>31</x:f>
        <x:v>31</x:v>
      </x:c>
      <x:c r="D159" s="28" t="n">
        <x:f>IF(ISNUMBER('Inputs'!$D$7),EDATE('Inputs'!$D$7,30),"n.a.")</x:f>
        <x:v>47239</x:v>
      </x:c>
      <x:c r="E159" s="26" t="n">
        <x:f>IF('Inputs'!$D$9&lt;&gt;"Ready","n.a.",IF(ISNUMBER('Inputs'!E49),IF('Inputs'!E49&gt;=0,'Inputs'!E49,"n.a."),IF('Inputs'!E49="",'Inputs'!$D$6,"n.a.")))</x:f>
        <x:v>500</x:v>
      </x:c>
      <x:c r="F159" s="22" t="n">
        <x:f>IF(COUNT($N$157:$N$161)=5,SUM($N$157:$N$161),"n.a.")</x:f>
        <x:v>0</x:v>
      </x:c>
      <x:c r="G159" s="22" t="n">
        <x:f>IF(COUNT(E159:F159)=2,MAX(0,E159-F159),"n.a.")</x:f>
        <x:v>500</x:v>
      </x:c>
      <x:c r="H159" s="26" t="str">
        <x:f>'Inputs'!C13</x:f>
        <x:v>Loan C</x:v>
      </x:c>
      <x:c r="I159" s="26" t="n">
        <x:f>S154</x:f>
        <x:v>0</x:v>
      </x:c>
      <x:c r="J159" s="29" t="n">
        <x:f>IF('Inputs'!$D$9="Ready",'Inputs'!E13,"n.a.")</x:f>
        <x:v>0.08</x:v>
      </x:c>
      <x:c r="K159" s="26" t="n">
        <x:f>IF('Inputs'!$D$9="Ready",'Inputs'!F13,"n.a.")</x:f>
        <x:v>150</x:v>
      </x:c>
      <x:c r="L159" s="29" t="n">
        <x:f>IF('Inputs'!$D$9="Ready",'Inputs'!G13,"n.a.")</x:f>
        <x:v>0</x:v>
      </x:c>
      <x:c r="M159" s="22" t="n">
        <x:f>IF(COUNT(I159:L159)=4,ROUND(I159*J159/12,2),"n.a.")</x:f>
        <x:v>0</x:v>
      </x:c>
      <x:c r="N159" s="22" t="n">
        <x:f>IF(COUNT(I159:M159)=5,MIN(I159+M159,ROUND(MAX(K159,I159*L159+M159),2)),"n.a.")</x:f>
        <x:v>0</x:v>
      </x:c>
      <x:c r="O159" s="30" t="n">
        <x:f>IF(COUNT($I$157:$I$161)&lt;&gt;5,"n.a.",IF(I159=0,6,IF('Inputs'!$D$5=1,COUNTIFS($I$157:$I$161,"&gt;0",$I$157:$I$161,"&lt;"&amp;I159)+COUNTIFS($I$157:I159,I159),COUNTIFS($I$157:$I$161,"&gt;0",$J$157:$J$161,"&gt;"&amp;J159)+COUNTIFS($I$157:I159,"&gt;0",$J$157:J159,J159))))</x:f>
        <x:v>6</x:v>
      </x:c>
      <x:c r="P159" s="22" t="n">
        <x:f>IF(T159="Ready",MIN(U159,MAX(0,G159-SUMIFS($U$157:$U$161,$O$157:$O$161,"&lt;"&amp;O159))),"n.a.")</x:f>
        <x:v>0</x:v>
      </x:c>
      <x:c r="Q159" s="22" t="n">
        <x:f>IF(T159="Ready",ROUND(N159+P159,2),"n.a.")</x:f>
        <x:v>0</x:v>
      </x:c>
      <x:c r="R159" s="22" t="n">
        <x:f>IF(T159="Ready",ROUND(Q159-M159,2),"n.a.")</x:f>
        <x:v>0</x:v>
      </x:c>
      <x:c r="S159" s="22" t="n">
        <x:f>IF(T159="Ready",MAX(0,ROUND(I159+M159-Q159,2)),"n.a.")</x:f>
        <x:v>0</x:v>
      </x:c>
      <x:c r="T159" s="22" t="str">
        <x:f>IF(AND(COUNT($I$157:$I$161)=5,COUNT(E159:F159)=2),IF(E159&gt;=F159,"Ready","Budget below minima"),"Check inputs")</x:f>
        <x:v>Ready</x:v>
      </x:c>
      <x:c r="U159" s="22" t="n">
        <x:f>IF(COUNT(I159,M159,N159)=3,MAX(0,ROUND(I159+M159-N159,2)),"n.a.")</x:f>
        <x:v>0</x:v>
      </x:c>
    </x:row>
    <x:row r="160" ht="22" customHeight="1">
      <x:c r="A160" s="2"/>
      <x:c r="B160" s="2"/>
      <x:c r="C160" s="27" t="n">
        <x:f>31</x:f>
        <x:v>31</x:v>
      </x:c>
      <x:c r="D160" s="28" t="n">
        <x:f>IF(ISNUMBER('Inputs'!$D$7),EDATE('Inputs'!$D$7,30),"n.a.")</x:f>
        <x:v>47239</x:v>
      </x:c>
      <x:c r="E160" s="26" t="n">
        <x:f>IF('Inputs'!$D$9&lt;&gt;"Ready","n.a.",IF(ISNUMBER('Inputs'!E49),IF('Inputs'!E49&gt;=0,'Inputs'!E49,"n.a."),IF('Inputs'!E49="",'Inputs'!$D$6,"n.a.")))</x:f>
        <x:v>500</x:v>
      </x:c>
      <x:c r="F160" s="22" t="n">
        <x:f>IF(COUNT($N$157:$N$161)=5,SUM($N$157:$N$161),"n.a.")</x:f>
        <x:v>0</x:v>
      </x:c>
      <x:c r="G160" s="22" t="n">
        <x:f>IF(COUNT(E160:F160)=2,MAX(0,E160-F160),"n.a.")</x:f>
        <x:v>500</x:v>
      </x:c>
      <x:c r="H160" s="26" t="str">
        <x:f>'Inputs'!C14</x:f>
        <x:v>Unused 4</x:v>
      </x:c>
      <x:c r="I160" s="26" t="n">
        <x:f>S155</x:f>
        <x:v>0</x:v>
      </x:c>
      <x:c r="J160" s="29" t="n">
        <x:f>IF('Inputs'!$D$9="Ready",'Inputs'!E14,"n.a.")</x:f>
        <x:v>0</x:v>
      </x:c>
      <x:c r="K160" s="26" t="n">
        <x:f>IF('Inputs'!$D$9="Ready",'Inputs'!F14,"n.a.")</x:f>
        <x:v>0</x:v>
      </x:c>
      <x:c r="L160" s="29" t="n">
        <x:f>IF('Inputs'!$D$9="Ready",'Inputs'!G14,"n.a.")</x:f>
        <x:v>0</x:v>
      </x:c>
      <x:c r="M160" s="22" t="n">
        <x:f>IF(COUNT(I160:L160)=4,ROUND(I160*J160/12,2),"n.a.")</x:f>
        <x:v>0</x:v>
      </x:c>
      <x:c r="N160" s="22" t="n">
        <x:f>IF(COUNT(I160:M160)=5,MIN(I160+M160,ROUND(MAX(K160,I160*L160+M160),2)),"n.a.")</x:f>
        <x:v>0</x:v>
      </x:c>
      <x:c r="O160" s="30" t="n">
        <x:f>IF(COUNT($I$157:$I$161)&lt;&gt;5,"n.a.",IF(I160=0,6,IF('Inputs'!$D$5=1,COUNTIFS($I$157:$I$161,"&gt;0",$I$157:$I$161,"&lt;"&amp;I160)+COUNTIFS($I$157:I160,I160),COUNTIFS($I$157:$I$161,"&gt;0",$J$157:$J$161,"&gt;"&amp;J160)+COUNTIFS($I$157:I160,"&gt;0",$J$157:J160,J160))))</x:f>
        <x:v>6</x:v>
      </x:c>
      <x:c r="P160" s="22" t="n">
        <x:f>IF(T160="Ready",MIN(U160,MAX(0,G160-SUMIFS($U$157:$U$161,$O$157:$O$161,"&lt;"&amp;O160))),"n.a.")</x:f>
        <x:v>0</x:v>
      </x:c>
      <x:c r="Q160" s="22" t="n">
        <x:f>IF(T160="Ready",ROUND(N160+P160,2),"n.a.")</x:f>
        <x:v>0</x:v>
      </x:c>
      <x:c r="R160" s="22" t="n">
        <x:f>IF(T160="Ready",ROUND(Q160-M160,2),"n.a.")</x:f>
        <x:v>0</x:v>
      </x:c>
      <x:c r="S160" s="22" t="n">
        <x:f>IF(T160="Ready",MAX(0,ROUND(I160+M160-Q160,2)),"n.a.")</x:f>
        <x:v>0</x:v>
      </x:c>
      <x:c r="T160" s="22" t="str">
        <x:f>IF(AND(COUNT($I$157:$I$161)=5,COUNT(E160:F160)=2),IF(E160&gt;=F160,"Ready","Budget below minima"),"Check inputs")</x:f>
        <x:v>Ready</x:v>
      </x:c>
      <x:c r="U160" s="22" t="n">
        <x:f>IF(COUNT(I160,M160,N160)=3,MAX(0,ROUND(I160+M160-N160,2)),"n.a.")</x:f>
        <x:v>0</x:v>
      </x:c>
    </x:row>
    <x:row r="161" ht="22" customHeight="1">
      <x:c r="A161" s="2"/>
      <x:c r="B161" s="2"/>
      <x:c r="C161" s="27" t="n">
        <x:f>31</x:f>
        <x:v>31</x:v>
      </x:c>
      <x:c r="D161" s="28" t="n">
        <x:f>IF(ISNUMBER('Inputs'!$D$7),EDATE('Inputs'!$D$7,30),"n.a.")</x:f>
        <x:v>47239</x:v>
      </x:c>
      <x:c r="E161" s="26" t="n">
        <x:f>IF('Inputs'!$D$9&lt;&gt;"Ready","n.a.",IF(ISNUMBER('Inputs'!E49),IF('Inputs'!E49&gt;=0,'Inputs'!E49,"n.a."),IF('Inputs'!E49="",'Inputs'!$D$6,"n.a.")))</x:f>
        <x:v>500</x:v>
      </x:c>
      <x:c r="F161" s="22" t="n">
        <x:f>IF(COUNT($N$157:$N$161)=5,SUM($N$157:$N$161),"n.a.")</x:f>
        <x:v>0</x:v>
      </x:c>
      <x:c r="G161" s="22" t="n">
        <x:f>IF(COUNT(E161:F161)=2,MAX(0,E161-F161),"n.a.")</x:f>
        <x:v>500</x:v>
      </x:c>
      <x:c r="H161" s="26" t="str">
        <x:f>'Inputs'!C15</x:f>
        <x:v>Unused 5</x:v>
      </x:c>
      <x:c r="I161" s="26" t="n">
        <x:f>S156</x:f>
        <x:v>0</x:v>
      </x:c>
      <x:c r="J161" s="29" t="n">
        <x:f>IF('Inputs'!$D$9="Ready",'Inputs'!E15,"n.a.")</x:f>
        <x:v>0</x:v>
      </x:c>
      <x:c r="K161" s="26" t="n">
        <x:f>IF('Inputs'!$D$9="Ready",'Inputs'!F15,"n.a.")</x:f>
        <x:v>0</x:v>
      </x:c>
      <x:c r="L161" s="29" t="n">
        <x:f>IF('Inputs'!$D$9="Ready",'Inputs'!G15,"n.a.")</x:f>
        <x:v>0</x:v>
      </x:c>
      <x:c r="M161" s="22" t="n">
        <x:f>IF(COUNT(I161:L161)=4,ROUND(I161*J161/12,2),"n.a.")</x:f>
        <x:v>0</x:v>
      </x:c>
      <x:c r="N161" s="22" t="n">
        <x:f>IF(COUNT(I161:M161)=5,MIN(I161+M161,ROUND(MAX(K161,I161*L161+M161),2)),"n.a.")</x:f>
        <x:v>0</x:v>
      </x:c>
      <x:c r="O161" s="30" t="n">
        <x:f>IF(COUNT($I$157:$I$161)&lt;&gt;5,"n.a.",IF(I161=0,6,IF('Inputs'!$D$5=1,COUNTIFS($I$157:$I$161,"&gt;0",$I$157:$I$161,"&lt;"&amp;I161)+COUNTIFS($I$157:I161,I161),COUNTIFS($I$157:$I$161,"&gt;0",$J$157:$J$161,"&gt;"&amp;J161)+COUNTIFS($I$157:I161,"&gt;0",$J$157:J161,J161))))</x:f>
        <x:v>6</x:v>
      </x:c>
      <x:c r="P161" s="22" t="n">
        <x:f>IF(T161="Ready",MIN(U161,MAX(0,G161-SUMIFS($U$157:$U$161,$O$157:$O$161,"&lt;"&amp;O161))),"n.a.")</x:f>
        <x:v>0</x:v>
      </x:c>
      <x:c r="Q161" s="22" t="n">
        <x:f>IF(T161="Ready",ROUND(N161+P161,2),"n.a.")</x:f>
        <x:v>0</x:v>
      </x:c>
      <x:c r="R161" s="22" t="n">
        <x:f>IF(T161="Ready",ROUND(Q161-M161,2),"n.a.")</x:f>
        <x:v>0</x:v>
      </x:c>
      <x:c r="S161" s="22" t="n">
        <x:f>IF(T161="Ready",MAX(0,ROUND(I161+M161-Q161,2)),"n.a.")</x:f>
        <x:v>0</x:v>
      </x:c>
      <x:c r="T161" s="22" t="str">
        <x:f>IF(AND(COUNT($I$157:$I$161)=5,COUNT(E161:F161)=2),IF(E161&gt;=F161,"Ready","Budget below minima"),"Check inputs")</x:f>
        <x:v>Ready</x:v>
      </x:c>
      <x:c r="U161" s="22" t="n">
        <x:f>IF(COUNT(I161,M161,N161)=3,MAX(0,ROUND(I161+M161-N161,2)),"n.a.")</x:f>
        <x:v>0</x:v>
      </x:c>
    </x:row>
    <x:row r="162" ht="22" customHeight="1">
      <x:c r="A162" s="2"/>
      <x:c r="B162" s="2"/>
      <x:c r="C162" s="27" t="n">
        <x:f>32</x:f>
        <x:v>32</x:v>
      </x:c>
      <x:c r="D162" s="28" t="n">
        <x:f>IF(ISNUMBER('Inputs'!$D$7),EDATE('Inputs'!$D$7,31),"n.a.")</x:f>
        <x:v>47270</x:v>
      </x:c>
      <x:c r="E162" s="26" t="n">
        <x:f>IF('Inputs'!$D$9&lt;&gt;"Ready","n.a.",IF(ISNUMBER('Inputs'!E50),IF('Inputs'!E50&gt;=0,'Inputs'!E50,"n.a."),IF('Inputs'!E50="",'Inputs'!$D$6,"n.a.")))</x:f>
        <x:v>500</x:v>
      </x:c>
      <x:c r="F162" s="22" t="n">
        <x:f>IF(COUNT($N$162:$N$166)=5,SUM($N$162:$N$166),"n.a.")</x:f>
        <x:v>0</x:v>
      </x:c>
      <x:c r="G162" s="22" t="n">
        <x:f>IF(COUNT(E162:F162)=2,MAX(0,E162-F162),"n.a.")</x:f>
        <x:v>500</x:v>
      </x:c>
      <x:c r="H162" s="26" t="str">
        <x:f>'Inputs'!C11</x:f>
        <x:v>Card A</x:v>
      </x:c>
      <x:c r="I162" s="26" t="n">
        <x:f>S157</x:f>
        <x:v>0</x:v>
      </x:c>
      <x:c r="J162" s="29" t="n">
        <x:f>IF('Inputs'!$D$9="Ready",'Inputs'!E11,"n.a.")</x:f>
        <x:v>0.24</x:v>
      </x:c>
      <x:c r="K162" s="26" t="n">
        <x:f>IF('Inputs'!$D$9="Ready",'Inputs'!F11,"n.a.")</x:f>
        <x:v>35</x:v>
      </x:c>
      <x:c r="L162" s="29" t="n">
        <x:f>IF('Inputs'!$D$9="Ready",'Inputs'!G11,"n.a.")</x:f>
        <x:v>0.02</x:v>
      </x:c>
      <x:c r="M162" s="22" t="n">
        <x:f>IF(COUNT(I162:L162)=4,ROUND(I162*J162/12,2),"n.a.")</x:f>
        <x:v>0</x:v>
      </x:c>
      <x:c r="N162" s="22" t="n">
        <x:f>IF(COUNT(I162:M162)=5,MIN(I162+M162,ROUND(MAX(K162,I162*L162+M162),2)),"n.a.")</x:f>
        <x:v>0</x:v>
      </x:c>
      <x:c r="O162" s="30" t="n">
        <x:f>IF(COUNT($I$162:$I$166)&lt;&gt;5,"n.a.",IF(I162=0,6,IF('Inputs'!$D$5=1,COUNTIFS($I$162:$I$166,"&gt;0",$I$162:$I$166,"&lt;"&amp;I162)+COUNTIFS($I$162:I162,I162),COUNTIFS($I$162:$I$166,"&gt;0",$J$162:$J$166,"&gt;"&amp;J162)+COUNTIFS($I$162:I162,"&gt;0",$J$162:J162,J162))))</x:f>
        <x:v>6</x:v>
      </x:c>
      <x:c r="P162" s="22" t="n">
        <x:f>IF(T162="Ready",MIN(U162,MAX(0,G162-SUMIFS($U$162:$U$166,$O$162:$O$166,"&lt;"&amp;O162))),"n.a.")</x:f>
        <x:v>0</x:v>
      </x:c>
      <x:c r="Q162" s="22" t="n">
        <x:f>IF(T162="Ready",ROUND(N162+P162,2),"n.a.")</x:f>
        <x:v>0</x:v>
      </x:c>
      <x:c r="R162" s="22" t="n">
        <x:f>IF(T162="Ready",ROUND(Q162-M162,2),"n.a.")</x:f>
        <x:v>0</x:v>
      </x:c>
      <x:c r="S162" s="22" t="n">
        <x:f>IF(T162="Ready",MAX(0,ROUND(I162+M162-Q162,2)),"n.a.")</x:f>
        <x:v>0</x:v>
      </x:c>
      <x:c r="T162" s="22" t="str">
        <x:f>IF(AND(COUNT($I$162:$I$166)=5,COUNT(E162:F162)=2),IF(E162&gt;=F162,"Ready","Budget below minima"),"Check inputs")</x:f>
        <x:v>Ready</x:v>
      </x:c>
      <x:c r="U162" s="22" t="n">
        <x:f>IF(COUNT(I162,M162,N162)=3,MAX(0,ROUND(I162+M162-N162,2)),"n.a.")</x:f>
        <x:v>0</x:v>
      </x:c>
    </x:row>
    <x:row r="163" ht="22" customHeight="1">
      <x:c r="A163" s="2"/>
      <x:c r="B163" s="2"/>
      <x:c r="C163" s="27" t="n">
        <x:f>32</x:f>
        <x:v>32</x:v>
      </x:c>
      <x:c r="D163" s="28" t="n">
        <x:f>IF(ISNUMBER('Inputs'!$D$7),EDATE('Inputs'!$D$7,31),"n.a.")</x:f>
        <x:v>47270</x:v>
      </x:c>
      <x:c r="E163" s="26" t="n">
        <x:f>IF('Inputs'!$D$9&lt;&gt;"Ready","n.a.",IF(ISNUMBER('Inputs'!E50),IF('Inputs'!E50&gt;=0,'Inputs'!E50,"n.a."),IF('Inputs'!E50="",'Inputs'!$D$6,"n.a.")))</x:f>
        <x:v>500</x:v>
      </x:c>
      <x:c r="F163" s="22" t="n">
        <x:f>IF(COUNT($N$162:$N$166)=5,SUM($N$162:$N$166),"n.a.")</x:f>
        <x:v>0</x:v>
      </x:c>
      <x:c r="G163" s="22" t="n">
        <x:f>IF(COUNT(E163:F163)=2,MAX(0,E163-F163),"n.a.")</x:f>
        <x:v>500</x:v>
      </x:c>
      <x:c r="H163" s="26" t="str">
        <x:f>'Inputs'!C12</x:f>
        <x:v>Card B</x:v>
      </x:c>
      <x:c r="I163" s="26" t="n">
        <x:f>S158</x:f>
        <x:v>0</x:v>
      </x:c>
      <x:c r="J163" s="29" t="n">
        <x:f>IF('Inputs'!$D$9="Ready",'Inputs'!E12,"n.a.")</x:f>
        <x:v>0.18</x:v>
      </x:c>
      <x:c r="K163" s="26" t="n">
        <x:f>IF('Inputs'!$D$9="Ready",'Inputs'!F12,"n.a.")</x:f>
        <x:v>60</x:v>
      </x:c>
      <x:c r="L163" s="29" t="n">
        <x:f>IF('Inputs'!$D$9="Ready",'Inputs'!G12,"n.a.")</x:f>
        <x:v>0.02</x:v>
      </x:c>
      <x:c r="M163" s="22" t="n">
        <x:f>IF(COUNT(I163:L163)=4,ROUND(I163*J163/12,2),"n.a.")</x:f>
        <x:v>0</x:v>
      </x:c>
      <x:c r="N163" s="22" t="n">
        <x:f>IF(COUNT(I163:M163)=5,MIN(I163+M163,ROUND(MAX(K163,I163*L163+M163),2)),"n.a.")</x:f>
        <x:v>0</x:v>
      </x:c>
      <x:c r="O163" s="30" t="n">
        <x:f>IF(COUNT($I$162:$I$166)&lt;&gt;5,"n.a.",IF(I163=0,6,IF('Inputs'!$D$5=1,COUNTIFS($I$162:$I$166,"&gt;0",$I$162:$I$166,"&lt;"&amp;I163)+COUNTIFS($I$162:I163,I163),COUNTIFS($I$162:$I$166,"&gt;0",$J$162:$J$166,"&gt;"&amp;J163)+COUNTIFS($I$162:I163,"&gt;0",$J$162:J163,J163))))</x:f>
        <x:v>6</x:v>
      </x:c>
      <x:c r="P163" s="22" t="n">
        <x:f>IF(T163="Ready",MIN(U163,MAX(0,G163-SUMIFS($U$162:$U$166,$O$162:$O$166,"&lt;"&amp;O163))),"n.a.")</x:f>
        <x:v>0</x:v>
      </x:c>
      <x:c r="Q163" s="22" t="n">
        <x:f>IF(T163="Ready",ROUND(N163+P163,2),"n.a.")</x:f>
        <x:v>0</x:v>
      </x:c>
      <x:c r="R163" s="22" t="n">
        <x:f>IF(T163="Ready",ROUND(Q163-M163,2),"n.a.")</x:f>
        <x:v>0</x:v>
      </x:c>
      <x:c r="S163" s="22" t="n">
        <x:f>IF(T163="Ready",MAX(0,ROUND(I163+M163-Q163,2)),"n.a.")</x:f>
        <x:v>0</x:v>
      </x:c>
      <x:c r="T163" s="22" t="str">
        <x:f>IF(AND(COUNT($I$162:$I$166)=5,COUNT(E163:F163)=2),IF(E163&gt;=F163,"Ready","Budget below minima"),"Check inputs")</x:f>
        <x:v>Ready</x:v>
      </x:c>
      <x:c r="U163" s="22" t="n">
        <x:f>IF(COUNT(I163,M163,N163)=3,MAX(0,ROUND(I163+M163-N163,2)),"n.a.")</x:f>
        <x:v>0</x:v>
      </x:c>
    </x:row>
    <x:row r="164" ht="22" customHeight="1">
      <x:c r="A164" s="2"/>
      <x:c r="B164" s="2"/>
      <x:c r="C164" s="27" t="n">
        <x:f>32</x:f>
        <x:v>32</x:v>
      </x:c>
      <x:c r="D164" s="28" t="n">
        <x:f>IF(ISNUMBER('Inputs'!$D$7),EDATE('Inputs'!$D$7,31),"n.a.")</x:f>
        <x:v>47270</x:v>
      </x:c>
      <x:c r="E164" s="26" t="n">
        <x:f>IF('Inputs'!$D$9&lt;&gt;"Ready","n.a.",IF(ISNUMBER('Inputs'!E50),IF('Inputs'!E50&gt;=0,'Inputs'!E50,"n.a."),IF('Inputs'!E50="",'Inputs'!$D$6,"n.a.")))</x:f>
        <x:v>500</x:v>
      </x:c>
      <x:c r="F164" s="22" t="n">
        <x:f>IF(COUNT($N$162:$N$166)=5,SUM($N$162:$N$166),"n.a.")</x:f>
        <x:v>0</x:v>
      </x:c>
      <x:c r="G164" s="22" t="n">
        <x:f>IF(COUNT(E164:F164)=2,MAX(0,E164-F164),"n.a.")</x:f>
        <x:v>500</x:v>
      </x:c>
      <x:c r="H164" s="26" t="str">
        <x:f>'Inputs'!C13</x:f>
        <x:v>Loan C</x:v>
      </x:c>
      <x:c r="I164" s="26" t="n">
        <x:f>S159</x:f>
        <x:v>0</x:v>
      </x:c>
      <x:c r="J164" s="29" t="n">
        <x:f>IF('Inputs'!$D$9="Ready",'Inputs'!E13,"n.a.")</x:f>
        <x:v>0.08</x:v>
      </x:c>
      <x:c r="K164" s="26" t="n">
        <x:f>IF('Inputs'!$D$9="Ready",'Inputs'!F13,"n.a.")</x:f>
        <x:v>150</x:v>
      </x:c>
      <x:c r="L164" s="29" t="n">
        <x:f>IF('Inputs'!$D$9="Ready",'Inputs'!G13,"n.a.")</x:f>
        <x:v>0</x:v>
      </x:c>
      <x:c r="M164" s="22" t="n">
        <x:f>IF(COUNT(I164:L164)=4,ROUND(I164*J164/12,2),"n.a.")</x:f>
        <x:v>0</x:v>
      </x:c>
      <x:c r="N164" s="22" t="n">
        <x:f>IF(COUNT(I164:M164)=5,MIN(I164+M164,ROUND(MAX(K164,I164*L164+M164),2)),"n.a.")</x:f>
        <x:v>0</x:v>
      </x:c>
      <x:c r="O164" s="30" t="n">
        <x:f>IF(COUNT($I$162:$I$166)&lt;&gt;5,"n.a.",IF(I164=0,6,IF('Inputs'!$D$5=1,COUNTIFS($I$162:$I$166,"&gt;0",$I$162:$I$166,"&lt;"&amp;I164)+COUNTIFS($I$162:I164,I164),COUNTIFS($I$162:$I$166,"&gt;0",$J$162:$J$166,"&gt;"&amp;J164)+COUNTIFS($I$162:I164,"&gt;0",$J$162:J164,J164))))</x:f>
        <x:v>6</x:v>
      </x:c>
      <x:c r="P164" s="22" t="n">
        <x:f>IF(T164="Ready",MIN(U164,MAX(0,G164-SUMIFS($U$162:$U$166,$O$162:$O$166,"&lt;"&amp;O164))),"n.a.")</x:f>
        <x:v>0</x:v>
      </x:c>
      <x:c r="Q164" s="22" t="n">
        <x:f>IF(T164="Ready",ROUND(N164+P164,2),"n.a.")</x:f>
        <x:v>0</x:v>
      </x:c>
      <x:c r="R164" s="22" t="n">
        <x:f>IF(T164="Ready",ROUND(Q164-M164,2),"n.a.")</x:f>
        <x:v>0</x:v>
      </x:c>
      <x:c r="S164" s="22" t="n">
        <x:f>IF(T164="Ready",MAX(0,ROUND(I164+M164-Q164,2)),"n.a.")</x:f>
        <x:v>0</x:v>
      </x:c>
      <x:c r="T164" s="22" t="str">
        <x:f>IF(AND(COUNT($I$162:$I$166)=5,COUNT(E164:F164)=2),IF(E164&gt;=F164,"Ready","Budget below minima"),"Check inputs")</x:f>
        <x:v>Ready</x:v>
      </x:c>
      <x:c r="U164" s="22" t="n">
        <x:f>IF(COUNT(I164,M164,N164)=3,MAX(0,ROUND(I164+M164-N164,2)),"n.a.")</x:f>
        <x:v>0</x:v>
      </x:c>
    </x:row>
    <x:row r="165" ht="22" customHeight="1">
      <x:c r="A165" s="2"/>
      <x:c r="B165" s="2"/>
      <x:c r="C165" s="27" t="n">
        <x:f>32</x:f>
        <x:v>32</x:v>
      </x:c>
      <x:c r="D165" s="28" t="n">
        <x:f>IF(ISNUMBER('Inputs'!$D$7),EDATE('Inputs'!$D$7,31),"n.a.")</x:f>
        <x:v>47270</x:v>
      </x:c>
      <x:c r="E165" s="26" t="n">
        <x:f>IF('Inputs'!$D$9&lt;&gt;"Ready","n.a.",IF(ISNUMBER('Inputs'!E50),IF('Inputs'!E50&gt;=0,'Inputs'!E50,"n.a."),IF('Inputs'!E50="",'Inputs'!$D$6,"n.a.")))</x:f>
        <x:v>500</x:v>
      </x:c>
      <x:c r="F165" s="22" t="n">
        <x:f>IF(COUNT($N$162:$N$166)=5,SUM($N$162:$N$166),"n.a.")</x:f>
        <x:v>0</x:v>
      </x:c>
      <x:c r="G165" s="22" t="n">
        <x:f>IF(COUNT(E165:F165)=2,MAX(0,E165-F165),"n.a.")</x:f>
        <x:v>500</x:v>
      </x:c>
      <x:c r="H165" s="26" t="str">
        <x:f>'Inputs'!C14</x:f>
        <x:v>Unused 4</x:v>
      </x:c>
      <x:c r="I165" s="26" t="n">
        <x:f>S160</x:f>
        <x:v>0</x:v>
      </x:c>
      <x:c r="J165" s="29" t="n">
        <x:f>IF('Inputs'!$D$9="Ready",'Inputs'!E14,"n.a.")</x:f>
        <x:v>0</x:v>
      </x:c>
      <x:c r="K165" s="26" t="n">
        <x:f>IF('Inputs'!$D$9="Ready",'Inputs'!F14,"n.a.")</x:f>
        <x:v>0</x:v>
      </x:c>
      <x:c r="L165" s="29" t="n">
        <x:f>IF('Inputs'!$D$9="Ready",'Inputs'!G14,"n.a.")</x:f>
        <x:v>0</x:v>
      </x:c>
      <x:c r="M165" s="22" t="n">
        <x:f>IF(COUNT(I165:L165)=4,ROUND(I165*J165/12,2),"n.a.")</x:f>
        <x:v>0</x:v>
      </x:c>
      <x:c r="N165" s="22" t="n">
        <x:f>IF(COUNT(I165:M165)=5,MIN(I165+M165,ROUND(MAX(K165,I165*L165+M165),2)),"n.a.")</x:f>
        <x:v>0</x:v>
      </x:c>
      <x:c r="O165" s="30" t="n">
        <x:f>IF(COUNT($I$162:$I$166)&lt;&gt;5,"n.a.",IF(I165=0,6,IF('Inputs'!$D$5=1,COUNTIFS($I$162:$I$166,"&gt;0",$I$162:$I$166,"&lt;"&amp;I165)+COUNTIFS($I$162:I165,I165),COUNTIFS($I$162:$I$166,"&gt;0",$J$162:$J$166,"&gt;"&amp;J165)+COUNTIFS($I$162:I165,"&gt;0",$J$162:J165,J165))))</x:f>
        <x:v>6</x:v>
      </x:c>
      <x:c r="P165" s="22" t="n">
        <x:f>IF(T165="Ready",MIN(U165,MAX(0,G165-SUMIFS($U$162:$U$166,$O$162:$O$166,"&lt;"&amp;O165))),"n.a.")</x:f>
        <x:v>0</x:v>
      </x:c>
      <x:c r="Q165" s="22" t="n">
        <x:f>IF(T165="Ready",ROUND(N165+P165,2),"n.a.")</x:f>
        <x:v>0</x:v>
      </x:c>
      <x:c r="R165" s="22" t="n">
        <x:f>IF(T165="Ready",ROUND(Q165-M165,2),"n.a.")</x:f>
        <x:v>0</x:v>
      </x:c>
      <x:c r="S165" s="22" t="n">
        <x:f>IF(T165="Ready",MAX(0,ROUND(I165+M165-Q165,2)),"n.a.")</x:f>
        <x:v>0</x:v>
      </x:c>
      <x:c r="T165" s="22" t="str">
        <x:f>IF(AND(COUNT($I$162:$I$166)=5,COUNT(E165:F165)=2),IF(E165&gt;=F165,"Ready","Budget below minima"),"Check inputs")</x:f>
        <x:v>Ready</x:v>
      </x:c>
      <x:c r="U165" s="22" t="n">
        <x:f>IF(COUNT(I165,M165,N165)=3,MAX(0,ROUND(I165+M165-N165,2)),"n.a.")</x:f>
        <x:v>0</x:v>
      </x:c>
    </x:row>
    <x:row r="166" ht="22" customHeight="1">
      <x:c r="A166" s="2"/>
      <x:c r="B166" s="2"/>
      <x:c r="C166" s="27" t="n">
        <x:f>32</x:f>
        <x:v>32</x:v>
      </x:c>
      <x:c r="D166" s="28" t="n">
        <x:f>IF(ISNUMBER('Inputs'!$D$7),EDATE('Inputs'!$D$7,31),"n.a.")</x:f>
        <x:v>47270</x:v>
      </x:c>
      <x:c r="E166" s="26" t="n">
        <x:f>IF('Inputs'!$D$9&lt;&gt;"Ready","n.a.",IF(ISNUMBER('Inputs'!E50),IF('Inputs'!E50&gt;=0,'Inputs'!E50,"n.a."),IF('Inputs'!E50="",'Inputs'!$D$6,"n.a.")))</x:f>
        <x:v>500</x:v>
      </x:c>
      <x:c r="F166" s="22" t="n">
        <x:f>IF(COUNT($N$162:$N$166)=5,SUM($N$162:$N$166),"n.a.")</x:f>
        <x:v>0</x:v>
      </x:c>
      <x:c r="G166" s="22" t="n">
        <x:f>IF(COUNT(E166:F166)=2,MAX(0,E166-F166),"n.a.")</x:f>
        <x:v>500</x:v>
      </x:c>
      <x:c r="H166" s="26" t="str">
        <x:f>'Inputs'!C15</x:f>
        <x:v>Unused 5</x:v>
      </x:c>
      <x:c r="I166" s="26" t="n">
        <x:f>S161</x:f>
        <x:v>0</x:v>
      </x:c>
      <x:c r="J166" s="29" t="n">
        <x:f>IF('Inputs'!$D$9="Ready",'Inputs'!E15,"n.a.")</x:f>
        <x:v>0</x:v>
      </x:c>
      <x:c r="K166" s="26" t="n">
        <x:f>IF('Inputs'!$D$9="Ready",'Inputs'!F15,"n.a.")</x:f>
        <x:v>0</x:v>
      </x:c>
      <x:c r="L166" s="29" t="n">
        <x:f>IF('Inputs'!$D$9="Ready",'Inputs'!G15,"n.a.")</x:f>
        <x:v>0</x:v>
      </x:c>
      <x:c r="M166" s="22" t="n">
        <x:f>IF(COUNT(I166:L166)=4,ROUND(I166*J166/12,2),"n.a.")</x:f>
        <x:v>0</x:v>
      </x:c>
      <x:c r="N166" s="22" t="n">
        <x:f>IF(COUNT(I166:M166)=5,MIN(I166+M166,ROUND(MAX(K166,I166*L166+M166),2)),"n.a.")</x:f>
        <x:v>0</x:v>
      </x:c>
      <x:c r="O166" s="30" t="n">
        <x:f>IF(COUNT($I$162:$I$166)&lt;&gt;5,"n.a.",IF(I166=0,6,IF('Inputs'!$D$5=1,COUNTIFS($I$162:$I$166,"&gt;0",$I$162:$I$166,"&lt;"&amp;I166)+COUNTIFS($I$162:I166,I166),COUNTIFS($I$162:$I$166,"&gt;0",$J$162:$J$166,"&gt;"&amp;J166)+COUNTIFS($I$162:I166,"&gt;0",$J$162:J166,J166))))</x:f>
        <x:v>6</x:v>
      </x:c>
      <x:c r="P166" s="22" t="n">
        <x:f>IF(T166="Ready",MIN(U166,MAX(0,G166-SUMIFS($U$162:$U$166,$O$162:$O$166,"&lt;"&amp;O166))),"n.a.")</x:f>
        <x:v>0</x:v>
      </x:c>
      <x:c r="Q166" s="22" t="n">
        <x:f>IF(T166="Ready",ROUND(N166+P166,2),"n.a.")</x:f>
        <x:v>0</x:v>
      </x:c>
      <x:c r="R166" s="22" t="n">
        <x:f>IF(T166="Ready",ROUND(Q166-M166,2),"n.a.")</x:f>
        <x:v>0</x:v>
      </x:c>
      <x:c r="S166" s="22" t="n">
        <x:f>IF(T166="Ready",MAX(0,ROUND(I166+M166-Q166,2)),"n.a.")</x:f>
        <x:v>0</x:v>
      </x:c>
      <x:c r="T166" s="22" t="str">
        <x:f>IF(AND(COUNT($I$162:$I$166)=5,COUNT(E166:F166)=2),IF(E166&gt;=F166,"Ready","Budget below minima"),"Check inputs")</x:f>
        <x:v>Ready</x:v>
      </x:c>
      <x:c r="U166" s="22" t="n">
        <x:f>IF(COUNT(I166,M166,N166)=3,MAX(0,ROUND(I166+M166-N166,2)),"n.a.")</x:f>
        <x:v>0</x:v>
      </x:c>
    </x:row>
    <x:row r="167" ht="22" customHeight="1">
      <x:c r="A167" s="2"/>
      <x:c r="B167" s="2"/>
      <x:c r="C167" s="27" t="n">
        <x:f>33</x:f>
        <x:v>33</x:v>
      </x:c>
      <x:c r="D167" s="28" t="n">
        <x:f>IF(ISNUMBER('Inputs'!$D$7),EDATE('Inputs'!$D$7,32),"n.a.")</x:f>
        <x:v>47300</x:v>
      </x:c>
      <x:c r="E167" s="26" t="n">
        <x:f>IF('Inputs'!$D$9&lt;&gt;"Ready","n.a.",IF(ISNUMBER('Inputs'!E51),IF('Inputs'!E51&gt;=0,'Inputs'!E51,"n.a."),IF('Inputs'!E51="",'Inputs'!$D$6,"n.a.")))</x:f>
        <x:v>500</x:v>
      </x:c>
      <x:c r="F167" s="22" t="n">
        <x:f>IF(COUNT($N$167:$N$171)=5,SUM($N$167:$N$171),"n.a.")</x:f>
        <x:v>0</x:v>
      </x:c>
      <x:c r="G167" s="22" t="n">
        <x:f>IF(COUNT(E167:F167)=2,MAX(0,E167-F167),"n.a.")</x:f>
        <x:v>500</x:v>
      </x:c>
      <x:c r="H167" s="26" t="str">
        <x:f>'Inputs'!C11</x:f>
        <x:v>Card A</x:v>
      </x:c>
      <x:c r="I167" s="26" t="n">
        <x:f>S162</x:f>
        <x:v>0</x:v>
      </x:c>
      <x:c r="J167" s="29" t="n">
        <x:f>IF('Inputs'!$D$9="Ready",'Inputs'!E11,"n.a.")</x:f>
        <x:v>0.24</x:v>
      </x:c>
      <x:c r="K167" s="26" t="n">
        <x:f>IF('Inputs'!$D$9="Ready",'Inputs'!F11,"n.a.")</x:f>
        <x:v>35</x:v>
      </x:c>
      <x:c r="L167" s="29" t="n">
        <x:f>IF('Inputs'!$D$9="Ready",'Inputs'!G11,"n.a.")</x:f>
        <x:v>0.02</x:v>
      </x:c>
      <x:c r="M167" s="22" t="n">
        <x:f>IF(COUNT(I167:L167)=4,ROUND(I167*J167/12,2),"n.a.")</x:f>
        <x:v>0</x:v>
      </x:c>
      <x:c r="N167" s="22" t="n">
        <x:f>IF(COUNT(I167:M167)=5,MIN(I167+M167,ROUND(MAX(K167,I167*L167+M167),2)),"n.a.")</x:f>
        <x:v>0</x:v>
      </x:c>
      <x:c r="O167" s="30" t="n">
        <x:f>IF(COUNT($I$167:$I$171)&lt;&gt;5,"n.a.",IF(I167=0,6,IF('Inputs'!$D$5=1,COUNTIFS($I$167:$I$171,"&gt;0",$I$167:$I$171,"&lt;"&amp;I167)+COUNTIFS($I$167:I167,I167),COUNTIFS($I$167:$I$171,"&gt;0",$J$167:$J$171,"&gt;"&amp;J167)+COUNTIFS($I$167:I167,"&gt;0",$J$167:J167,J167))))</x:f>
        <x:v>6</x:v>
      </x:c>
      <x:c r="P167" s="22" t="n">
        <x:f>IF(T167="Ready",MIN(U167,MAX(0,G167-SUMIFS($U$167:$U$171,$O$167:$O$171,"&lt;"&amp;O167))),"n.a.")</x:f>
        <x:v>0</x:v>
      </x:c>
      <x:c r="Q167" s="22" t="n">
        <x:f>IF(T167="Ready",ROUND(N167+P167,2),"n.a.")</x:f>
        <x:v>0</x:v>
      </x:c>
      <x:c r="R167" s="22" t="n">
        <x:f>IF(T167="Ready",ROUND(Q167-M167,2),"n.a.")</x:f>
        <x:v>0</x:v>
      </x:c>
      <x:c r="S167" s="22" t="n">
        <x:f>IF(T167="Ready",MAX(0,ROUND(I167+M167-Q167,2)),"n.a.")</x:f>
        <x:v>0</x:v>
      </x:c>
      <x:c r="T167" s="22" t="str">
        <x:f>IF(AND(COUNT($I$167:$I$171)=5,COUNT(E167:F167)=2),IF(E167&gt;=F167,"Ready","Budget below minima"),"Check inputs")</x:f>
        <x:v>Ready</x:v>
      </x:c>
      <x:c r="U167" s="22" t="n">
        <x:f>IF(COUNT(I167,M167,N167)=3,MAX(0,ROUND(I167+M167-N167,2)),"n.a.")</x:f>
        <x:v>0</x:v>
      </x:c>
    </x:row>
    <x:row r="168" ht="22" customHeight="1">
      <x:c r="A168" s="2"/>
      <x:c r="B168" s="2"/>
      <x:c r="C168" s="27" t="n">
        <x:f>33</x:f>
        <x:v>33</x:v>
      </x:c>
      <x:c r="D168" s="28" t="n">
        <x:f>IF(ISNUMBER('Inputs'!$D$7),EDATE('Inputs'!$D$7,32),"n.a.")</x:f>
        <x:v>47300</x:v>
      </x:c>
      <x:c r="E168" s="26" t="n">
        <x:f>IF('Inputs'!$D$9&lt;&gt;"Ready","n.a.",IF(ISNUMBER('Inputs'!E51),IF('Inputs'!E51&gt;=0,'Inputs'!E51,"n.a."),IF('Inputs'!E51="",'Inputs'!$D$6,"n.a.")))</x:f>
        <x:v>500</x:v>
      </x:c>
      <x:c r="F168" s="22" t="n">
        <x:f>IF(COUNT($N$167:$N$171)=5,SUM($N$167:$N$171),"n.a.")</x:f>
        <x:v>0</x:v>
      </x:c>
      <x:c r="G168" s="22" t="n">
        <x:f>IF(COUNT(E168:F168)=2,MAX(0,E168-F168),"n.a.")</x:f>
        <x:v>500</x:v>
      </x:c>
      <x:c r="H168" s="26" t="str">
        <x:f>'Inputs'!C12</x:f>
        <x:v>Card B</x:v>
      </x:c>
      <x:c r="I168" s="26" t="n">
        <x:f>S163</x:f>
        <x:v>0</x:v>
      </x:c>
      <x:c r="J168" s="29" t="n">
        <x:f>IF('Inputs'!$D$9="Ready",'Inputs'!E12,"n.a.")</x:f>
        <x:v>0.18</x:v>
      </x:c>
      <x:c r="K168" s="26" t="n">
        <x:f>IF('Inputs'!$D$9="Ready",'Inputs'!F12,"n.a.")</x:f>
        <x:v>60</x:v>
      </x:c>
      <x:c r="L168" s="29" t="n">
        <x:f>IF('Inputs'!$D$9="Ready",'Inputs'!G12,"n.a.")</x:f>
        <x:v>0.02</x:v>
      </x:c>
      <x:c r="M168" s="22" t="n">
        <x:f>IF(COUNT(I168:L168)=4,ROUND(I168*J168/12,2),"n.a.")</x:f>
        <x:v>0</x:v>
      </x:c>
      <x:c r="N168" s="22" t="n">
        <x:f>IF(COUNT(I168:M168)=5,MIN(I168+M168,ROUND(MAX(K168,I168*L168+M168),2)),"n.a.")</x:f>
        <x:v>0</x:v>
      </x:c>
      <x:c r="O168" s="30" t="n">
        <x:f>IF(COUNT($I$167:$I$171)&lt;&gt;5,"n.a.",IF(I168=0,6,IF('Inputs'!$D$5=1,COUNTIFS($I$167:$I$171,"&gt;0",$I$167:$I$171,"&lt;"&amp;I168)+COUNTIFS($I$167:I168,I168),COUNTIFS($I$167:$I$171,"&gt;0",$J$167:$J$171,"&gt;"&amp;J168)+COUNTIFS($I$167:I168,"&gt;0",$J$167:J168,J168))))</x:f>
        <x:v>6</x:v>
      </x:c>
      <x:c r="P168" s="22" t="n">
        <x:f>IF(T168="Ready",MIN(U168,MAX(0,G168-SUMIFS($U$167:$U$171,$O$167:$O$171,"&lt;"&amp;O168))),"n.a.")</x:f>
        <x:v>0</x:v>
      </x:c>
      <x:c r="Q168" s="22" t="n">
        <x:f>IF(T168="Ready",ROUND(N168+P168,2),"n.a.")</x:f>
        <x:v>0</x:v>
      </x:c>
      <x:c r="R168" s="22" t="n">
        <x:f>IF(T168="Ready",ROUND(Q168-M168,2),"n.a.")</x:f>
        <x:v>0</x:v>
      </x:c>
      <x:c r="S168" s="22" t="n">
        <x:f>IF(T168="Ready",MAX(0,ROUND(I168+M168-Q168,2)),"n.a.")</x:f>
        <x:v>0</x:v>
      </x:c>
      <x:c r="T168" s="22" t="str">
        <x:f>IF(AND(COUNT($I$167:$I$171)=5,COUNT(E168:F168)=2),IF(E168&gt;=F168,"Ready","Budget below minima"),"Check inputs")</x:f>
        <x:v>Ready</x:v>
      </x:c>
      <x:c r="U168" s="22" t="n">
        <x:f>IF(COUNT(I168,M168,N168)=3,MAX(0,ROUND(I168+M168-N168,2)),"n.a.")</x:f>
        <x:v>0</x:v>
      </x:c>
    </x:row>
    <x:row r="169" ht="22" customHeight="1">
      <x:c r="A169" s="2"/>
      <x:c r="B169" s="2"/>
      <x:c r="C169" s="27" t="n">
        <x:f>33</x:f>
        <x:v>33</x:v>
      </x:c>
      <x:c r="D169" s="28" t="n">
        <x:f>IF(ISNUMBER('Inputs'!$D$7),EDATE('Inputs'!$D$7,32),"n.a.")</x:f>
        <x:v>47300</x:v>
      </x:c>
      <x:c r="E169" s="26" t="n">
        <x:f>IF('Inputs'!$D$9&lt;&gt;"Ready","n.a.",IF(ISNUMBER('Inputs'!E51),IF('Inputs'!E51&gt;=0,'Inputs'!E51,"n.a."),IF('Inputs'!E51="",'Inputs'!$D$6,"n.a.")))</x:f>
        <x:v>500</x:v>
      </x:c>
      <x:c r="F169" s="22" t="n">
        <x:f>IF(COUNT($N$167:$N$171)=5,SUM($N$167:$N$171),"n.a.")</x:f>
        <x:v>0</x:v>
      </x:c>
      <x:c r="G169" s="22" t="n">
        <x:f>IF(COUNT(E169:F169)=2,MAX(0,E169-F169),"n.a.")</x:f>
        <x:v>500</x:v>
      </x:c>
      <x:c r="H169" s="26" t="str">
        <x:f>'Inputs'!C13</x:f>
        <x:v>Loan C</x:v>
      </x:c>
      <x:c r="I169" s="26" t="n">
        <x:f>S164</x:f>
        <x:v>0</x:v>
      </x:c>
      <x:c r="J169" s="29" t="n">
        <x:f>IF('Inputs'!$D$9="Ready",'Inputs'!E13,"n.a.")</x:f>
        <x:v>0.08</x:v>
      </x:c>
      <x:c r="K169" s="26" t="n">
        <x:f>IF('Inputs'!$D$9="Ready",'Inputs'!F13,"n.a.")</x:f>
        <x:v>150</x:v>
      </x:c>
      <x:c r="L169" s="29" t="n">
        <x:f>IF('Inputs'!$D$9="Ready",'Inputs'!G13,"n.a.")</x:f>
        <x:v>0</x:v>
      </x:c>
      <x:c r="M169" s="22" t="n">
        <x:f>IF(COUNT(I169:L169)=4,ROUND(I169*J169/12,2),"n.a.")</x:f>
        <x:v>0</x:v>
      </x:c>
      <x:c r="N169" s="22" t="n">
        <x:f>IF(COUNT(I169:M169)=5,MIN(I169+M169,ROUND(MAX(K169,I169*L169+M169),2)),"n.a.")</x:f>
        <x:v>0</x:v>
      </x:c>
      <x:c r="O169" s="30" t="n">
        <x:f>IF(COUNT($I$167:$I$171)&lt;&gt;5,"n.a.",IF(I169=0,6,IF('Inputs'!$D$5=1,COUNTIFS($I$167:$I$171,"&gt;0",$I$167:$I$171,"&lt;"&amp;I169)+COUNTIFS($I$167:I169,I169),COUNTIFS($I$167:$I$171,"&gt;0",$J$167:$J$171,"&gt;"&amp;J169)+COUNTIFS($I$167:I169,"&gt;0",$J$167:J169,J169))))</x:f>
        <x:v>6</x:v>
      </x:c>
      <x:c r="P169" s="22" t="n">
        <x:f>IF(T169="Ready",MIN(U169,MAX(0,G169-SUMIFS($U$167:$U$171,$O$167:$O$171,"&lt;"&amp;O169))),"n.a.")</x:f>
        <x:v>0</x:v>
      </x:c>
      <x:c r="Q169" s="22" t="n">
        <x:f>IF(T169="Ready",ROUND(N169+P169,2),"n.a.")</x:f>
        <x:v>0</x:v>
      </x:c>
      <x:c r="R169" s="22" t="n">
        <x:f>IF(T169="Ready",ROUND(Q169-M169,2),"n.a.")</x:f>
        <x:v>0</x:v>
      </x:c>
      <x:c r="S169" s="22" t="n">
        <x:f>IF(T169="Ready",MAX(0,ROUND(I169+M169-Q169,2)),"n.a.")</x:f>
        <x:v>0</x:v>
      </x:c>
      <x:c r="T169" s="22" t="str">
        <x:f>IF(AND(COUNT($I$167:$I$171)=5,COUNT(E169:F169)=2),IF(E169&gt;=F169,"Ready","Budget below minima"),"Check inputs")</x:f>
        <x:v>Ready</x:v>
      </x:c>
      <x:c r="U169" s="22" t="n">
        <x:f>IF(COUNT(I169,M169,N169)=3,MAX(0,ROUND(I169+M169-N169,2)),"n.a.")</x:f>
        <x:v>0</x:v>
      </x:c>
    </x:row>
    <x:row r="170" ht="22" customHeight="1">
      <x:c r="A170" s="2"/>
      <x:c r="B170" s="2"/>
      <x:c r="C170" s="27" t="n">
        <x:f>33</x:f>
        <x:v>33</x:v>
      </x:c>
      <x:c r="D170" s="28" t="n">
        <x:f>IF(ISNUMBER('Inputs'!$D$7),EDATE('Inputs'!$D$7,32),"n.a.")</x:f>
        <x:v>47300</x:v>
      </x:c>
      <x:c r="E170" s="26" t="n">
        <x:f>IF('Inputs'!$D$9&lt;&gt;"Ready","n.a.",IF(ISNUMBER('Inputs'!E51),IF('Inputs'!E51&gt;=0,'Inputs'!E51,"n.a."),IF('Inputs'!E51="",'Inputs'!$D$6,"n.a.")))</x:f>
        <x:v>500</x:v>
      </x:c>
      <x:c r="F170" s="22" t="n">
        <x:f>IF(COUNT($N$167:$N$171)=5,SUM($N$167:$N$171),"n.a.")</x:f>
        <x:v>0</x:v>
      </x:c>
      <x:c r="G170" s="22" t="n">
        <x:f>IF(COUNT(E170:F170)=2,MAX(0,E170-F170),"n.a.")</x:f>
        <x:v>500</x:v>
      </x:c>
      <x:c r="H170" s="26" t="str">
        <x:f>'Inputs'!C14</x:f>
        <x:v>Unused 4</x:v>
      </x:c>
      <x:c r="I170" s="26" t="n">
        <x:f>S165</x:f>
        <x:v>0</x:v>
      </x:c>
      <x:c r="J170" s="29" t="n">
        <x:f>IF('Inputs'!$D$9="Ready",'Inputs'!E14,"n.a.")</x:f>
        <x:v>0</x:v>
      </x:c>
      <x:c r="K170" s="26" t="n">
        <x:f>IF('Inputs'!$D$9="Ready",'Inputs'!F14,"n.a.")</x:f>
        <x:v>0</x:v>
      </x:c>
      <x:c r="L170" s="29" t="n">
        <x:f>IF('Inputs'!$D$9="Ready",'Inputs'!G14,"n.a.")</x:f>
        <x:v>0</x:v>
      </x:c>
      <x:c r="M170" s="22" t="n">
        <x:f>IF(COUNT(I170:L170)=4,ROUND(I170*J170/12,2),"n.a.")</x:f>
        <x:v>0</x:v>
      </x:c>
      <x:c r="N170" s="22" t="n">
        <x:f>IF(COUNT(I170:M170)=5,MIN(I170+M170,ROUND(MAX(K170,I170*L170+M170),2)),"n.a.")</x:f>
        <x:v>0</x:v>
      </x:c>
      <x:c r="O170" s="30" t="n">
        <x:f>IF(COUNT($I$167:$I$171)&lt;&gt;5,"n.a.",IF(I170=0,6,IF('Inputs'!$D$5=1,COUNTIFS($I$167:$I$171,"&gt;0",$I$167:$I$171,"&lt;"&amp;I170)+COUNTIFS($I$167:I170,I170),COUNTIFS($I$167:$I$171,"&gt;0",$J$167:$J$171,"&gt;"&amp;J170)+COUNTIFS($I$167:I170,"&gt;0",$J$167:J170,J170))))</x:f>
        <x:v>6</x:v>
      </x:c>
      <x:c r="P170" s="22" t="n">
        <x:f>IF(T170="Ready",MIN(U170,MAX(0,G170-SUMIFS($U$167:$U$171,$O$167:$O$171,"&lt;"&amp;O170))),"n.a.")</x:f>
        <x:v>0</x:v>
      </x:c>
      <x:c r="Q170" s="22" t="n">
        <x:f>IF(T170="Ready",ROUND(N170+P170,2),"n.a.")</x:f>
        <x:v>0</x:v>
      </x:c>
      <x:c r="R170" s="22" t="n">
        <x:f>IF(T170="Ready",ROUND(Q170-M170,2),"n.a.")</x:f>
        <x:v>0</x:v>
      </x:c>
      <x:c r="S170" s="22" t="n">
        <x:f>IF(T170="Ready",MAX(0,ROUND(I170+M170-Q170,2)),"n.a.")</x:f>
        <x:v>0</x:v>
      </x:c>
      <x:c r="T170" s="22" t="str">
        <x:f>IF(AND(COUNT($I$167:$I$171)=5,COUNT(E170:F170)=2),IF(E170&gt;=F170,"Ready","Budget below minima"),"Check inputs")</x:f>
        <x:v>Ready</x:v>
      </x:c>
      <x:c r="U170" s="22" t="n">
        <x:f>IF(COUNT(I170,M170,N170)=3,MAX(0,ROUND(I170+M170-N170,2)),"n.a.")</x:f>
        <x:v>0</x:v>
      </x:c>
    </x:row>
    <x:row r="171" ht="22" customHeight="1">
      <x:c r="A171" s="2"/>
      <x:c r="B171" s="2"/>
      <x:c r="C171" s="27" t="n">
        <x:f>33</x:f>
        <x:v>33</x:v>
      </x:c>
      <x:c r="D171" s="28" t="n">
        <x:f>IF(ISNUMBER('Inputs'!$D$7),EDATE('Inputs'!$D$7,32),"n.a.")</x:f>
        <x:v>47300</x:v>
      </x:c>
      <x:c r="E171" s="26" t="n">
        <x:f>IF('Inputs'!$D$9&lt;&gt;"Ready","n.a.",IF(ISNUMBER('Inputs'!E51),IF('Inputs'!E51&gt;=0,'Inputs'!E51,"n.a."),IF('Inputs'!E51="",'Inputs'!$D$6,"n.a.")))</x:f>
        <x:v>500</x:v>
      </x:c>
      <x:c r="F171" s="22" t="n">
        <x:f>IF(COUNT($N$167:$N$171)=5,SUM($N$167:$N$171),"n.a.")</x:f>
        <x:v>0</x:v>
      </x:c>
      <x:c r="G171" s="22" t="n">
        <x:f>IF(COUNT(E171:F171)=2,MAX(0,E171-F171),"n.a.")</x:f>
        <x:v>500</x:v>
      </x:c>
      <x:c r="H171" s="26" t="str">
        <x:f>'Inputs'!C15</x:f>
        <x:v>Unused 5</x:v>
      </x:c>
      <x:c r="I171" s="26" t="n">
        <x:f>S166</x:f>
        <x:v>0</x:v>
      </x:c>
      <x:c r="J171" s="29" t="n">
        <x:f>IF('Inputs'!$D$9="Ready",'Inputs'!E15,"n.a.")</x:f>
        <x:v>0</x:v>
      </x:c>
      <x:c r="K171" s="26" t="n">
        <x:f>IF('Inputs'!$D$9="Ready",'Inputs'!F15,"n.a.")</x:f>
        <x:v>0</x:v>
      </x:c>
      <x:c r="L171" s="29" t="n">
        <x:f>IF('Inputs'!$D$9="Ready",'Inputs'!G15,"n.a.")</x:f>
        <x:v>0</x:v>
      </x:c>
      <x:c r="M171" s="22" t="n">
        <x:f>IF(COUNT(I171:L171)=4,ROUND(I171*J171/12,2),"n.a.")</x:f>
        <x:v>0</x:v>
      </x:c>
      <x:c r="N171" s="22" t="n">
        <x:f>IF(COUNT(I171:M171)=5,MIN(I171+M171,ROUND(MAX(K171,I171*L171+M171),2)),"n.a.")</x:f>
        <x:v>0</x:v>
      </x:c>
      <x:c r="O171" s="30" t="n">
        <x:f>IF(COUNT($I$167:$I$171)&lt;&gt;5,"n.a.",IF(I171=0,6,IF('Inputs'!$D$5=1,COUNTIFS($I$167:$I$171,"&gt;0",$I$167:$I$171,"&lt;"&amp;I171)+COUNTIFS($I$167:I171,I171),COUNTIFS($I$167:$I$171,"&gt;0",$J$167:$J$171,"&gt;"&amp;J171)+COUNTIFS($I$167:I171,"&gt;0",$J$167:J171,J171))))</x:f>
        <x:v>6</x:v>
      </x:c>
      <x:c r="P171" s="22" t="n">
        <x:f>IF(T171="Ready",MIN(U171,MAX(0,G171-SUMIFS($U$167:$U$171,$O$167:$O$171,"&lt;"&amp;O171))),"n.a.")</x:f>
        <x:v>0</x:v>
      </x:c>
      <x:c r="Q171" s="22" t="n">
        <x:f>IF(T171="Ready",ROUND(N171+P171,2),"n.a.")</x:f>
        <x:v>0</x:v>
      </x:c>
      <x:c r="R171" s="22" t="n">
        <x:f>IF(T171="Ready",ROUND(Q171-M171,2),"n.a.")</x:f>
        <x:v>0</x:v>
      </x:c>
      <x:c r="S171" s="22" t="n">
        <x:f>IF(T171="Ready",MAX(0,ROUND(I171+M171-Q171,2)),"n.a.")</x:f>
        <x:v>0</x:v>
      </x:c>
      <x:c r="T171" s="22" t="str">
        <x:f>IF(AND(COUNT($I$167:$I$171)=5,COUNT(E171:F171)=2),IF(E171&gt;=F171,"Ready","Budget below minima"),"Check inputs")</x:f>
        <x:v>Ready</x:v>
      </x:c>
      <x:c r="U171" s="22" t="n">
        <x:f>IF(COUNT(I171,M171,N171)=3,MAX(0,ROUND(I171+M171-N171,2)),"n.a.")</x:f>
        <x:v>0</x:v>
      </x:c>
    </x:row>
    <x:row r="172" ht="22" customHeight="1">
      <x:c r="A172" s="2"/>
      <x:c r="B172" s="2"/>
      <x:c r="C172" s="27" t="n">
        <x:f>34</x:f>
        <x:v>34</x:v>
      </x:c>
      <x:c r="D172" s="28" t="n">
        <x:f>IF(ISNUMBER('Inputs'!$D$7),EDATE('Inputs'!$D$7,33),"n.a.")</x:f>
        <x:v>47331</x:v>
      </x:c>
      <x:c r="E172" s="26" t="n">
        <x:f>IF('Inputs'!$D$9&lt;&gt;"Ready","n.a.",IF(ISNUMBER('Inputs'!E52),IF('Inputs'!E52&gt;=0,'Inputs'!E52,"n.a."),IF('Inputs'!E52="",'Inputs'!$D$6,"n.a.")))</x:f>
        <x:v>500</x:v>
      </x:c>
      <x:c r="F172" s="22" t="n">
        <x:f>IF(COUNT($N$172:$N$176)=5,SUM($N$172:$N$176),"n.a.")</x:f>
        <x:v>0</x:v>
      </x:c>
      <x:c r="G172" s="22" t="n">
        <x:f>IF(COUNT(E172:F172)=2,MAX(0,E172-F172),"n.a.")</x:f>
        <x:v>500</x:v>
      </x:c>
      <x:c r="H172" s="26" t="str">
        <x:f>'Inputs'!C11</x:f>
        <x:v>Card A</x:v>
      </x:c>
      <x:c r="I172" s="26" t="n">
        <x:f>S167</x:f>
        <x:v>0</x:v>
      </x:c>
      <x:c r="J172" s="29" t="n">
        <x:f>IF('Inputs'!$D$9="Ready",'Inputs'!E11,"n.a.")</x:f>
        <x:v>0.24</x:v>
      </x:c>
      <x:c r="K172" s="26" t="n">
        <x:f>IF('Inputs'!$D$9="Ready",'Inputs'!F11,"n.a.")</x:f>
        <x:v>35</x:v>
      </x:c>
      <x:c r="L172" s="29" t="n">
        <x:f>IF('Inputs'!$D$9="Ready",'Inputs'!G11,"n.a.")</x:f>
        <x:v>0.02</x:v>
      </x:c>
      <x:c r="M172" s="22" t="n">
        <x:f>IF(COUNT(I172:L172)=4,ROUND(I172*J172/12,2),"n.a.")</x:f>
        <x:v>0</x:v>
      </x:c>
      <x:c r="N172" s="22" t="n">
        <x:f>IF(COUNT(I172:M172)=5,MIN(I172+M172,ROUND(MAX(K172,I172*L172+M172),2)),"n.a.")</x:f>
        <x:v>0</x:v>
      </x:c>
      <x:c r="O172" s="30" t="n">
        <x:f>IF(COUNT($I$172:$I$176)&lt;&gt;5,"n.a.",IF(I172=0,6,IF('Inputs'!$D$5=1,COUNTIFS($I$172:$I$176,"&gt;0",$I$172:$I$176,"&lt;"&amp;I172)+COUNTIFS($I$172:I172,I172),COUNTIFS($I$172:$I$176,"&gt;0",$J$172:$J$176,"&gt;"&amp;J172)+COUNTIFS($I$172:I172,"&gt;0",$J$172:J172,J172))))</x:f>
        <x:v>6</x:v>
      </x:c>
      <x:c r="P172" s="22" t="n">
        <x:f>IF(T172="Ready",MIN(U172,MAX(0,G172-SUMIFS($U$172:$U$176,$O$172:$O$176,"&lt;"&amp;O172))),"n.a.")</x:f>
        <x:v>0</x:v>
      </x:c>
      <x:c r="Q172" s="22" t="n">
        <x:f>IF(T172="Ready",ROUND(N172+P172,2),"n.a.")</x:f>
        <x:v>0</x:v>
      </x:c>
      <x:c r="R172" s="22" t="n">
        <x:f>IF(T172="Ready",ROUND(Q172-M172,2),"n.a.")</x:f>
        <x:v>0</x:v>
      </x:c>
      <x:c r="S172" s="22" t="n">
        <x:f>IF(T172="Ready",MAX(0,ROUND(I172+M172-Q172,2)),"n.a.")</x:f>
        <x:v>0</x:v>
      </x:c>
      <x:c r="T172" s="22" t="str">
        <x:f>IF(AND(COUNT($I$172:$I$176)=5,COUNT(E172:F172)=2),IF(E172&gt;=F172,"Ready","Budget below minima"),"Check inputs")</x:f>
        <x:v>Ready</x:v>
      </x:c>
      <x:c r="U172" s="22" t="n">
        <x:f>IF(COUNT(I172,M172,N172)=3,MAX(0,ROUND(I172+M172-N172,2)),"n.a.")</x:f>
        <x:v>0</x:v>
      </x:c>
    </x:row>
    <x:row r="173" ht="22" customHeight="1">
      <x:c r="A173" s="2"/>
      <x:c r="B173" s="2"/>
      <x:c r="C173" s="27" t="n">
        <x:f>34</x:f>
        <x:v>34</x:v>
      </x:c>
      <x:c r="D173" s="28" t="n">
        <x:f>IF(ISNUMBER('Inputs'!$D$7),EDATE('Inputs'!$D$7,33),"n.a.")</x:f>
        <x:v>47331</x:v>
      </x:c>
      <x:c r="E173" s="26" t="n">
        <x:f>IF('Inputs'!$D$9&lt;&gt;"Ready","n.a.",IF(ISNUMBER('Inputs'!E52),IF('Inputs'!E52&gt;=0,'Inputs'!E52,"n.a."),IF('Inputs'!E52="",'Inputs'!$D$6,"n.a.")))</x:f>
        <x:v>500</x:v>
      </x:c>
      <x:c r="F173" s="22" t="n">
        <x:f>IF(COUNT($N$172:$N$176)=5,SUM($N$172:$N$176),"n.a.")</x:f>
        <x:v>0</x:v>
      </x:c>
      <x:c r="G173" s="22" t="n">
        <x:f>IF(COUNT(E173:F173)=2,MAX(0,E173-F173),"n.a.")</x:f>
        <x:v>500</x:v>
      </x:c>
      <x:c r="H173" s="26" t="str">
        <x:f>'Inputs'!C12</x:f>
        <x:v>Card B</x:v>
      </x:c>
      <x:c r="I173" s="26" t="n">
        <x:f>S168</x:f>
        <x:v>0</x:v>
      </x:c>
      <x:c r="J173" s="29" t="n">
        <x:f>IF('Inputs'!$D$9="Ready",'Inputs'!E12,"n.a.")</x:f>
        <x:v>0.18</x:v>
      </x:c>
      <x:c r="K173" s="26" t="n">
        <x:f>IF('Inputs'!$D$9="Ready",'Inputs'!F12,"n.a.")</x:f>
        <x:v>60</x:v>
      </x:c>
      <x:c r="L173" s="29" t="n">
        <x:f>IF('Inputs'!$D$9="Ready",'Inputs'!G12,"n.a.")</x:f>
        <x:v>0.02</x:v>
      </x:c>
      <x:c r="M173" s="22" t="n">
        <x:f>IF(COUNT(I173:L173)=4,ROUND(I173*J173/12,2),"n.a.")</x:f>
        <x:v>0</x:v>
      </x:c>
      <x:c r="N173" s="22" t="n">
        <x:f>IF(COUNT(I173:M173)=5,MIN(I173+M173,ROUND(MAX(K173,I173*L173+M173),2)),"n.a.")</x:f>
        <x:v>0</x:v>
      </x:c>
      <x:c r="O173" s="30" t="n">
        <x:f>IF(COUNT($I$172:$I$176)&lt;&gt;5,"n.a.",IF(I173=0,6,IF('Inputs'!$D$5=1,COUNTIFS($I$172:$I$176,"&gt;0",$I$172:$I$176,"&lt;"&amp;I173)+COUNTIFS($I$172:I173,I173),COUNTIFS($I$172:$I$176,"&gt;0",$J$172:$J$176,"&gt;"&amp;J173)+COUNTIFS($I$172:I173,"&gt;0",$J$172:J173,J173))))</x:f>
        <x:v>6</x:v>
      </x:c>
      <x:c r="P173" s="22" t="n">
        <x:f>IF(T173="Ready",MIN(U173,MAX(0,G173-SUMIFS($U$172:$U$176,$O$172:$O$176,"&lt;"&amp;O173))),"n.a.")</x:f>
        <x:v>0</x:v>
      </x:c>
      <x:c r="Q173" s="22" t="n">
        <x:f>IF(T173="Ready",ROUND(N173+P173,2),"n.a.")</x:f>
        <x:v>0</x:v>
      </x:c>
      <x:c r="R173" s="22" t="n">
        <x:f>IF(T173="Ready",ROUND(Q173-M173,2),"n.a.")</x:f>
        <x:v>0</x:v>
      </x:c>
      <x:c r="S173" s="22" t="n">
        <x:f>IF(T173="Ready",MAX(0,ROUND(I173+M173-Q173,2)),"n.a.")</x:f>
        <x:v>0</x:v>
      </x:c>
      <x:c r="T173" s="22" t="str">
        <x:f>IF(AND(COUNT($I$172:$I$176)=5,COUNT(E173:F173)=2),IF(E173&gt;=F173,"Ready","Budget below minima"),"Check inputs")</x:f>
        <x:v>Ready</x:v>
      </x:c>
      <x:c r="U173" s="22" t="n">
        <x:f>IF(COUNT(I173,M173,N173)=3,MAX(0,ROUND(I173+M173-N173,2)),"n.a.")</x:f>
        <x:v>0</x:v>
      </x:c>
    </x:row>
    <x:row r="174" ht="22" customHeight="1">
      <x:c r="A174" s="2"/>
      <x:c r="B174" s="2"/>
      <x:c r="C174" s="27" t="n">
        <x:f>34</x:f>
        <x:v>34</x:v>
      </x:c>
      <x:c r="D174" s="28" t="n">
        <x:f>IF(ISNUMBER('Inputs'!$D$7),EDATE('Inputs'!$D$7,33),"n.a.")</x:f>
        <x:v>47331</x:v>
      </x:c>
      <x:c r="E174" s="26" t="n">
        <x:f>IF('Inputs'!$D$9&lt;&gt;"Ready","n.a.",IF(ISNUMBER('Inputs'!E52),IF('Inputs'!E52&gt;=0,'Inputs'!E52,"n.a."),IF('Inputs'!E52="",'Inputs'!$D$6,"n.a.")))</x:f>
        <x:v>500</x:v>
      </x:c>
      <x:c r="F174" s="22" t="n">
        <x:f>IF(COUNT($N$172:$N$176)=5,SUM($N$172:$N$176),"n.a.")</x:f>
        <x:v>0</x:v>
      </x:c>
      <x:c r="G174" s="22" t="n">
        <x:f>IF(COUNT(E174:F174)=2,MAX(0,E174-F174),"n.a.")</x:f>
        <x:v>500</x:v>
      </x:c>
      <x:c r="H174" s="26" t="str">
        <x:f>'Inputs'!C13</x:f>
        <x:v>Loan C</x:v>
      </x:c>
      <x:c r="I174" s="26" t="n">
        <x:f>S169</x:f>
        <x:v>0</x:v>
      </x:c>
      <x:c r="J174" s="29" t="n">
        <x:f>IF('Inputs'!$D$9="Ready",'Inputs'!E13,"n.a.")</x:f>
        <x:v>0.08</x:v>
      </x:c>
      <x:c r="K174" s="26" t="n">
        <x:f>IF('Inputs'!$D$9="Ready",'Inputs'!F13,"n.a.")</x:f>
        <x:v>150</x:v>
      </x:c>
      <x:c r="L174" s="29" t="n">
        <x:f>IF('Inputs'!$D$9="Ready",'Inputs'!G13,"n.a.")</x:f>
        <x:v>0</x:v>
      </x:c>
      <x:c r="M174" s="22" t="n">
        <x:f>IF(COUNT(I174:L174)=4,ROUND(I174*J174/12,2),"n.a.")</x:f>
        <x:v>0</x:v>
      </x:c>
      <x:c r="N174" s="22" t="n">
        <x:f>IF(COUNT(I174:M174)=5,MIN(I174+M174,ROUND(MAX(K174,I174*L174+M174),2)),"n.a.")</x:f>
        <x:v>0</x:v>
      </x:c>
      <x:c r="O174" s="30" t="n">
        <x:f>IF(COUNT($I$172:$I$176)&lt;&gt;5,"n.a.",IF(I174=0,6,IF('Inputs'!$D$5=1,COUNTIFS($I$172:$I$176,"&gt;0",$I$172:$I$176,"&lt;"&amp;I174)+COUNTIFS($I$172:I174,I174),COUNTIFS($I$172:$I$176,"&gt;0",$J$172:$J$176,"&gt;"&amp;J174)+COUNTIFS($I$172:I174,"&gt;0",$J$172:J174,J174))))</x:f>
        <x:v>6</x:v>
      </x:c>
      <x:c r="P174" s="22" t="n">
        <x:f>IF(T174="Ready",MIN(U174,MAX(0,G174-SUMIFS($U$172:$U$176,$O$172:$O$176,"&lt;"&amp;O174))),"n.a.")</x:f>
        <x:v>0</x:v>
      </x:c>
      <x:c r="Q174" s="22" t="n">
        <x:f>IF(T174="Ready",ROUND(N174+P174,2),"n.a.")</x:f>
        <x:v>0</x:v>
      </x:c>
      <x:c r="R174" s="22" t="n">
        <x:f>IF(T174="Ready",ROUND(Q174-M174,2),"n.a.")</x:f>
        <x:v>0</x:v>
      </x:c>
      <x:c r="S174" s="22" t="n">
        <x:f>IF(T174="Ready",MAX(0,ROUND(I174+M174-Q174,2)),"n.a.")</x:f>
        <x:v>0</x:v>
      </x:c>
      <x:c r="T174" s="22" t="str">
        <x:f>IF(AND(COUNT($I$172:$I$176)=5,COUNT(E174:F174)=2),IF(E174&gt;=F174,"Ready","Budget below minima"),"Check inputs")</x:f>
        <x:v>Ready</x:v>
      </x:c>
      <x:c r="U174" s="22" t="n">
        <x:f>IF(COUNT(I174,M174,N174)=3,MAX(0,ROUND(I174+M174-N174,2)),"n.a.")</x:f>
        <x:v>0</x:v>
      </x:c>
    </x:row>
    <x:row r="175" ht="22" customHeight="1">
      <x:c r="A175" s="2"/>
      <x:c r="B175" s="2"/>
      <x:c r="C175" s="27" t="n">
        <x:f>34</x:f>
        <x:v>34</x:v>
      </x:c>
      <x:c r="D175" s="28" t="n">
        <x:f>IF(ISNUMBER('Inputs'!$D$7),EDATE('Inputs'!$D$7,33),"n.a.")</x:f>
        <x:v>47331</x:v>
      </x:c>
      <x:c r="E175" s="26" t="n">
        <x:f>IF('Inputs'!$D$9&lt;&gt;"Ready","n.a.",IF(ISNUMBER('Inputs'!E52),IF('Inputs'!E52&gt;=0,'Inputs'!E52,"n.a."),IF('Inputs'!E52="",'Inputs'!$D$6,"n.a.")))</x:f>
        <x:v>500</x:v>
      </x:c>
      <x:c r="F175" s="22" t="n">
        <x:f>IF(COUNT($N$172:$N$176)=5,SUM($N$172:$N$176),"n.a.")</x:f>
        <x:v>0</x:v>
      </x:c>
      <x:c r="G175" s="22" t="n">
        <x:f>IF(COUNT(E175:F175)=2,MAX(0,E175-F175),"n.a.")</x:f>
        <x:v>500</x:v>
      </x:c>
      <x:c r="H175" s="26" t="str">
        <x:f>'Inputs'!C14</x:f>
        <x:v>Unused 4</x:v>
      </x:c>
      <x:c r="I175" s="26" t="n">
        <x:f>S170</x:f>
        <x:v>0</x:v>
      </x:c>
      <x:c r="J175" s="29" t="n">
        <x:f>IF('Inputs'!$D$9="Ready",'Inputs'!E14,"n.a.")</x:f>
        <x:v>0</x:v>
      </x:c>
      <x:c r="K175" s="26" t="n">
        <x:f>IF('Inputs'!$D$9="Ready",'Inputs'!F14,"n.a.")</x:f>
        <x:v>0</x:v>
      </x:c>
      <x:c r="L175" s="29" t="n">
        <x:f>IF('Inputs'!$D$9="Ready",'Inputs'!G14,"n.a.")</x:f>
        <x:v>0</x:v>
      </x:c>
      <x:c r="M175" s="22" t="n">
        <x:f>IF(COUNT(I175:L175)=4,ROUND(I175*J175/12,2),"n.a.")</x:f>
        <x:v>0</x:v>
      </x:c>
      <x:c r="N175" s="22" t="n">
        <x:f>IF(COUNT(I175:M175)=5,MIN(I175+M175,ROUND(MAX(K175,I175*L175+M175),2)),"n.a.")</x:f>
        <x:v>0</x:v>
      </x:c>
      <x:c r="O175" s="30" t="n">
        <x:f>IF(COUNT($I$172:$I$176)&lt;&gt;5,"n.a.",IF(I175=0,6,IF('Inputs'!$D$5=1,COUNTIFS($I$172:$I$176,"&gt;0",$I$172:$I$176,"&lt;"&amp;I175)+COUNTIFS($I$172:I175,I175),COUNTIFS($I$172:$I$176,"&gt;0",$J$172:$J$176,"&gt;"&amp;J175)+COUNTIFS($I$172:I175,"&gt;0",$J$172:J175,J175))))</x:f>
        <x:v>6</x:v>
      </x:c>
      <x:c r="P175" s="22" t="n">
        <x:f>IF(T175="Ready",MIN(U175,MAX(0,G175-SUMIFS($U$172:$U$176,$O$172:$O$176,"&lt;"&amp;O175))),"n.a.")</x:f>
        <x:v>0</x:v>
      </x:c>
      <x:c r="Q175" s="22" t="n">
        <x:f>IF(T175="Ready",ROUND(N175+P175,2),"n.a.")</x:f>
        <x:v>0</x:v>
      </x:c>
      <x:c r="R175" s="22" t="n">
        <x:f>IF(T175="Ready",ROUND(Q175-M175,2),"n.a.")</x:f>
        <x:v>0</x:v>
      </x:c>
      <x:c r="S175" s="22" t="n">
        <x:f>IF(T175="Ready",MAX(0,ROUND(I175+M175-Q175,2)),"n.a.")</x:f>
        <x:v>0</x:v>
      </x:c>
      <x:c r="T175" s="22" t="str">
        <x:f>IF(AND(COUNT($I$172:$I$176)=5,COUNT(E175:F175)=2),IF(E175&gt;=F175,"Ready","Budget below minima"),"Check inputs")</x:f>
        <x:v>Ready</x:v>
      </x:c>
      <x:c r="U175" s="22" t="n">
        <x:f>IF(COUNT(I175,M175,N175)=3,MAX(0,ROUND(I175+M175-N175,2)),"n.a.")</x:f>
        <x:v>0</x:v>
      </x:c>
    </x:row>
    <x:row r="176" ht="22" customHeight="1">
      <x:c r="A176" s="2"/>
      <x:c r="B176" s="2"/>
      <x:c r="C176" s="27" t="n">
        <x:f>34</x:f>
        <x:v>34</x:v>
      </x:c>
      <x:c r="D176" s="28" t="n">
        <x:f>IF(ISNUMBER('Inputs'!$D$7),EDATE('Inputs'!$D$7,33),"n.a.")</x:f>
        <x:v>47331</x:v>
      </x:c>
      <x:c r="E176" s="26" t="n">
        <x:f>IF('Inputs'!$D$9&lt;&gt;"Ready","n.a.",IF(ISNUMBER('Inputs'!E52),IF('Inputs'!E52&gt;=0,'Inputs'!E52,"n.a."),IF('Inputs'!E52="",'Inputs'!$D$6,"n.a.")))</x:f>
        <x:v>500</x:v>
      </x:c>
      <x:c r="F176" s="22" t="n">
        <x:f>IF(COUNT($N$172:$N$176)=5,SUM($N$172:$N$176),"n.a.")</x:f>
        <x:v>0</x:v>
      </x:c>
      <x:c r="G176" s="22" t="n">
        <x:f>IF(COUNT(E176:F176)=2,MAX(0,E176-F176),"n.a.")</x:f>
        <x:v>500</x:v>
      </x:c>
      <x:c r="H176" s="26" t="str">
        <x:f>'Inputs'!C15</x:f>
        <x:v>Unused 5</x:v>
      </x:c>
      <x:c r="I176" s="26" t="n">
        <x:f>S171</x:f>
        <x:v>0</x:v>
      </x:c>
      <x:c r="J176" s="29" t="n">
        <x:f>IF('Inputs'!$D$9="Ready",'Inputs'!E15,"n.a.")</x:f>
        <x:v>0</x:v>
      </x:c>
      <x:c r="K176" s="26" t="n">
        <x:f>IF('Inputs'!$D$9="Ready",'Inputs'!F15,"n.a.")</x:f>
        <x:v>0</x:v>
      </x:c>
      <x:c r="L176" s="29" t="n">
        <x:f>IF('Inputs'!$D$9="Ready",'Inputs'!G15,"n.a.")</x:f>
        <x:v>0</x:v>
      </x:c>
      <x:c r="M176" s="22" t="n">
        <x:f>IF(COUNT(I176:L176)=4,ROUND(I176*J176/12,2),"n.a.")</x:f>
        <x:v>0</x:v>
      </x:c>
      <x:c r="N176" s="22" t="n">
        <x:f>IF(COUNT(I176:M176)=5,MIN(I176+M176,ROUND(MAX(K176,I176*L176+M176),2)),"n.a.")</x:f>
        <x:v>0</x:v>
      </x:c>
      <x:c r="O176" s="30" t="n">
        <x:f>IF(COUNT($I$172:$I$176)&lt;&gt;5,"n.a.",IF(I176=0,6,IF('Inputs'!$D$5=1,COUNTIFS($I$172:$I$176,"&gt;0",$I$172:$I$176,"&lt;"&amp;I176)+COUNTIFS($I$172:I176,I176),COUNTIFS($I$172:$I$176,"&gt;0",$J$172:$J$176,"&gt;"&amp;J176)+COUNTIFS($I$172:I176,"&gt;0",$J$172:J176,J176))))</x:f>
        <x:v>6</x:v>
      </x:c>
      <x:c r="P176" s="22" t="n">
        <x:f>IF(T176="Ready",MIN(U176,MAX(0,G176-SUMIFS($U$172:$U$176,$O$172:$O$176,"&lt;"&amp;O176))),"n.a.")</x:f>
        <x:v>0</x:v>
      </x:c>
      <x:c r="Q176" s="22" t="n">
        <x:f>IF(T176="Ready",ROUND(N176+P176,2),"n.a.")</x:f>
        <x:v>0</x:v>
      </x:c>
      <x:c r="R176" s="22" t="n">
        <x:f>IF(T176="Ready",ROUND(Q176-M176,2),"n.a.")</x:f>
        <x:v>0</x:v>
      </x:c>
      <x:c r="S176" s="22" t="n">
        <x:f>IF(T176="Ready",MAX(0,ROUND(I176+M176-Q176,2)),"n.a.")</x:f>
        <x:v>0</x:v>
      </x:c>
      <x:c r="T176" s="22" t="str">
        <x:f>IF(AND(COUNT($I$172:$I$176)=5,COUNT(E176:F176)=2),IF(E176&gt;=F176,"Ready","Budget below minima"),"Check inputs")</x:f>
        <x:v>Ready</x:v>
      </x:c>
      <x:c r="U176" s="22" t="n">
        <x:f>IF(COUNT(I176,M176,N176)=3,MAX(0,ROUND(I176+M176-N176,2)),"n.a.")</x:f>
        <x:v>0</x:v>
      </x:c>
    </x:row>
    <x:row r="177" ht="22" customHeight="1">
      <x:c r="A177" s="2"/>
      <x:c r="B177" s="2"/>
      <x:c r="C177" s="27" t="n">
        <x:f>35</x:f>
        <x:v>35</x:v>
      </x:c>
      <x:c r="D177" s="28" t="n">
        <x:f>IF(ISNUMBER('Inputs'!$D$7),EDATE('Inputs'!$D$7,34),"n.a.")</x:f>
        <x:v>47362</x:v>
      </x:c>
      <x:c r="E177" s="26" t="n">
        <x:f>IF('Inputs'!$D$9&lt;&gt;"Ready","n.a.",IF(ISNUMBER('Inputs'!E53),IF('Inputs'!E53&gt;=0,'Inputs'!E53,"n.a."),IF('Inputs'!E53="",'Inputs'!$D$6,"n.a.")))</x:f>
        <x:v>500</x:v>
      </x:c>
      <x:c r="F177" s="22" t="n">
        <x:f>IF(COUNT($N$177:$N$181)=5,SUM($N$177:$N$181),"n.a.")</x:f>
        <x:v>0</x:v>
      </x:c>
      <x:c r="G177" s="22" t="n">
        <x:f>IF(COUNT(E177:F177)=2,MAX(0,E177-F177),"n.a.")</x:f>
        <x:v>500</x:v>
      </x:c>
      <x:c r="H177" s="26" t="str">
        <x:f>'Inputs'!C11</x:f>
        <x:v>Card A</x:v>
      </x:c>
      <x:c r="I177" s="26" t="n">
        <x:f>S172</x:f>
        <x:v>0</x:v>
      </x:c>
      <x:c r="J177" s="29" t="n">
        <x:f>IF('Inputs'!$D$9="Ready",'Inputs'!E11,"n.a.")</x:f>
        <x:v>0.24</x:v>
      </x:c>
      <x:c r="K177" s="26" t="n">
        <x:f>IF('Inputs'!$D$9="Ready",'Inputs'!F11,"n.a.")</x:f>
        <x:v>35</x:v>
      </x:c>
      <x:c r="L177" s="29" t="n">
        <x:f>IF('Inputs'!$D$9="Ready",'Inputs'!G11,"n.a.")</x:f>
        <x:v>0.02</x:v>
      </x:c>
      <x:c r="M177" s="22" t="n">
        <x:f>IF(COUNT(I177:L177)=4,ROUND(I177*J177/12,2),"n.a.")</x:f>
        <x:v>0</x:v>
      </x:c>
      <x:c r="N177" s="22" t="n">
        <x:f>IF(COUNT(I177:M177)=5,MIN(I177+M177,ROUND(MAX(K177,I177*L177+M177),2)),"n.a.")</x:f>
        <x:v>0</x:v>
      </x:c>
      <x:c r="O177" s="30" t="n">
        <x:f>IF(COUNT($I$177:$I$181)&lt;&gt;5,"n.a.",IF(I177=0,6,IF('Inputs'!$D$5=1,COUNTIFS($I$177:$I$181,"&gt;0",$I$177:$I$181,"&lt;"&amp;I177)+COUNTIFS($I$177:I177,I177),COUNTIFS($I$177:$I$181,"&gt;0",$J$177:$J$181,"&gt;"&amp;J177)+COUNTIFS($I$177:I177,"&gt;0",$J$177:J177,J177))))</x:f>
        <x:v>6</x:v>
      </x:c>
      <x:c r="P177" s="22" t="n">
        <x:f>IF(T177="Ready",MIN(U177,MAX(0,G177-SUMIFS($U$177:$U$181,$O$177:$O$181,"&lt;"&amp;O177))),"n.a.")</x:f>
        <x:v>0</x:v>
      </x:c>
      <x:c r="Q177" s="22" t="n">
        <x:f>IF(T177="Ready",ROUND(N177+P177,2),"n.a.")</x:f>
        <x:v>0</x:v>
      </x:c>
      <x:c r="R177" s="22" t="n">
        <x:f>IF(T177="Ready",ROUND(Q177-M177,2),"n.a.")</x:f>
        <x:v>0</x:v>
      </x:c>
      <x:c r="S177" s="22" t="n">
        <x:f>IF(T177="Ready",MAX(0,ROUND(I177+M177-Q177,2)),"n.a.")</x:f>
        <x:v>0</x:v>
      </x:c>
      <x:c r="T177" s="22" t="str">
        <x:f>IF(AND(COUNT($I$177:$I$181)=5,COUNT(E177:F177)=2),IF(E177&gt;=F177,"Ready","Budget below minima"),"Check inputs")</x:f>
        <x:v>Ready</x:v>
      </x:c>
      <x:c r="U177" s="22" t="n">
        <x:f>IF(COUNT(I177,M177,N177)=3,MAX(0,ROUND(I177+M177-N177,2)),"n.a.")</x:f>
        <x:v>0</x:v>
      </x:c>
    </x:row>
    <x:row r="178" ht="22" customHeight="1">
      <x:c r="A178" s="2"/>
      <x:c r="B178" s="2"/>
      <x:c r="C178" s="27" t="n">
        <x:f>35</x:f>
        <x:v>35</x:v>
      </x:c>
      <x:c r="D178" s="28" t="n">
        <x:f>IF(ISNUMBER('Inputs'!$D$7),EDATE('Inputs'!$D$7,34),"n.a.")</x:f>
        <x:v>47362</x:v>
      </x:c>
      <x:c r="E178" s="26" t="n">
        <x:f>IF('Inputs'!$D$9&lt;&gt;"Ready","n.a.",IF(ISNUMBER('Inputs'!E53),IF('Inputs'!E53&gt;=0,'Inputs'!E53,"n.a."),IF('Inputs'!E53="",'Inputs'!$D$6,"n.a.")))</x:f>
        <x:v>500</x:v>
      </x:c>
      <x:c r="F178" s="22" t="n">
        <x:f>IF(COUNT($N$177:$N$181)=5,SUM($N$177:$N$181),"n.a.")</x:f>
        <x:v>0</x:v>
      </x:c>
      <x:c r="G178" s="22" t="n">
        <x:f>IF(COUNT(E178:F178)=2,MAX(0,E178-F178),"n.a.")</x:f>
        <x:v>500</x:v>
      </x:c>
      <x:c r="H178" s="26" t="str">
        <x:f>'Inputs'!C12</x:f>
        <x:v>Card B</x:v>
      </x:c>
      <x:c r="I178" s="26" t="n">
        <x:f>S173</x:f>
        <x:v>0</x:v>
      </x:c>
      <x:c r="J178" s="29" t="n">
        <x:f>IF('Inputs'!$D$9="Ready",'Inputs'!E12,"n.a.")</x:f>
        <x:v>0.18</x:v>
      </x:c>
      <x:c r="K178" s="26" t="n">
        <x:f>IF('Inputs'!$D$9="Ready",'Inputs'!F12,"n.a.")</x:f>
        <x:v>60</x:v>
      </x:c>
      <x:c r="L178" s="29" t="n">
        <x:f>IF('Inputs'!$D$9="Ready",'Inputs'!G12,"n.a.")</x:f>
        <x:v>0.02</x:v>
      </x:c>
      <x:c r="M178" s="22" t="n">
        <x:f>IF(COUNT(I178:L178)=4,ROUND(I178*J178/12,2),"n.a.")</x:f>
        <x:v>0</x:v>
      </x:c>
      <x:c r="N178" s="22" t="n">
        <x:f>IF(COUNT(I178:M178)=5,MIN(I178+M178,ROUND(MAX(K178,I178*L178+M178),2)),"n.a.")</x:f>
        <x:v>0</x:v>
      </x:c>
      <x:c r="O178" s="30" t="n">
        <x:f>IF(COUNT($I$177:$I$181)&lt;&gt;5,"n.a.",IF(I178=0,6,IF('Inputs'!$D$5=1,COUNTIFS($I$177:$I$181,"&gt;0",$I$177:$I$181,"&lt;"&amp;I178)+COUNTIFS($I$177:I178,I178),COUNTIFS($I$177:$I$181,"&gt;0",$J$177:$J$181,"&gt;"&amp;J178)+COUNTIFS($I$177:I178,"&gt;0",$J$177:J178,J178))))</x:f>
        <x:v>6</x:v>
      </x:c>
      <x:c r="P178" s="22" t="n">
        <x:f>IF(T178="Ready",MIN(U178,MAX(0,G178-SUMIFS($U$177:$U$181,$O$177:$O$181,"&lt;"&amp;O178))),"n.a.")</x:f>
        <x:v>0</x:v>
      </x:c>
      <x:c r="Q178" s="22" t="n">
        <x:f>IF(T178="Ready",ROUND(N178+P178,2),"n.a.")</x:f>
        <x:v>0</x:v>
      </x:c>
      <x:c r="R178" s="22" t="n">
        <x:f>IF(T178="Ready",ROUND(Q178-M178,2),"n.a.")</x:f>
        <x:v>0</x:v>
      </x:c>
      <x:c r="S178" s="22" t="n">
        <x:f>IF(T178="Ready",MAX(0,ROUND(I178+M178-Q178,2)),"n.a.")</x:f>
        <x:v>0</x:v>
      </x:c>
      <x:c r="T178" s="22" t="str">
        <x:f>IF(AND(COUNT($I$177:$I$181)=5,COUNT(E178:F178)=2),IF(E178&gt;=F178,"Ready","Budget below minima"),"Check inputs")</x:f>
        <x:v>Ready</x:v>
      </x:c>
      <x:c r="U178" s="22" t="n">
        <x:f>IF(COUNT(I178,M178,N178)=3,MAX(0,ROUND(I178+M178-N178,2)),"n.a.")</x:f>
        <x:v>0</x:v>
      </x:c>
    </x:row>
    <x:row r="179" ht="22" customHeight="1">
      <x:c r="A179" s="2"/>
      <x:c r="B179" s="2"/>
      <x:c r="C179" s="27" t="n">
        <x:f>35</x:f>
        <x:v>35</x:v>
      </x:c>
      <x:c r="D179" s="28" t="n">
        <x:f>IF(ISNUMBER('Inputs'!$D$7),EDATE('Inputs'!$D$7,34),"n.a.")</x:f>
        <x:v>47362</x:v>
      </x:c>
      <x:c r="E179" s="26" t="n">
        <x:f>IF('Inputs'!$D$9&lt;&gt;"Ready","n.a.",IF(ISNUMBER('Inputs'!E53),IF('Inputs'!E53&gt;=0,'Inputs'!E53,"n.a."),IF('Inputs'!E53="",'Inputs'!$D$6,"n.a.")))</x:f>
        <x:v>500</x:v>
      </x:c>
      <x:c r="F179" s="22" t="n">
        <x:f>IF(COUNT($N$177:$N$181)=5,SUM($N$177:$N$181),"n.a.")</x:f>
        <x:v>0</x:v>
      </x:c>
      <x:c r="G179" s="22" t="n">
        <x:f>IF(COUNT(E179:F179)=2,MAX(0,E179-F179),"n.a.")</x:f>
        <x:v>500</x:v>
      </x:c>
      <x:c r="H179" s="26" t="str">
        <x:f>'Inputs'!C13</x:f>
        <x:v>Loan C</x:v>
      </x:c>
      <x:c r="I179" s="26" t="n">
        <x:f>S174</x:f>
        <x:v>0</x:v>
      </x:c>
      <x:c r="J179" s="29" t="n">
        <x:f>IF('Inputs'!$D$9="Ready",'Inputs'!E13,"n.a.")</x:f>
        <x:v>0.08</x:v>
      </x:c>
      <x:c r="K179" s="26" t="n">
        <x:f>IF('Inputs'!$D$9="Ready",'Inputs'!F13,"n.a.")</x:f>
        <x:v>150</x:v>
      </x:c>
      <x:c r="L179" s="29" t="n">
        <x:f>IF('Inputs'!$D$9="Ready",'Inputs'!G13,"n.a.")</x:f>
        <x:v>0</x:v>
      </x:c>
      <x:c r="M179" s="22" t="n">
        <x:f>IF(COUNT(I179:L179)=4,ROUND(I179*J179/12,2),"n.a.")</x:f>
        <x:v>0</x:v>
      </x:c>
      <x:c r="N179" s="22" t="n">
        <x:f>IF(COUNT(I179:M179)=5,MIN(I179+M179,ROUND(MAX(K179,I179*L179+M179),2)),"n.a.")</x:f>
        <x:v>0</x:v>
      </x:c>
      <x:c r="O179" s="30" t="n">
        <x:f>IF(COUNT($I$177:$I$181)&lt;&gt;5,"n.a.",IF(I179=0,6,IF('Inputs'!$D$5=1,COUNTIFS($I$177:$I$181,"&gt;0",$I$177:$I$181,"&lt;"&amp;I179)+COUNTIFS($I$177:I179,I179),COUNTIFS($I$177:$I$181,"&gt;0",$J$177:$J$181,"&gt;"&amp;J179)+COUNTIFS($I$177:I179,"&gt;0",$J$177:J179,J179))))</x:f>
        <x:v>6</x:v>
      </x:c>
      <x:c r="P179" s="22" t="n">
        <x:f>IF(T179="Ready",MIN(U179,MAX(0,G179-SUMIFS($U$177:$U$181,$O$177:$O$181,"&lt;"&amp;O179))),"n.a.")</x:f>
        <x:v>0</x:v>
      </x:c>
      <x:c r="Q179" s="22" t="n">
        <x:f>IF(T179="Ready",ROUND(N179+P179,2),"n.a.")</x:f>
        <x:v>0</x:v>
      </x:c>
      <x:c r="R179" s="22" t="n">
        <x:f>IF(T179="Ready",ROUND(Q179-M179,2),"n.a.")</x:f>
        <x:v>0</x:v>
      </x:c>
      <x:c r="S179" s="22" t="n">
        <x:f>IF(T179="Ready",MAX(0,ROUND(I179+M179-Q179,2)),"n.a.")</x:f>
        <x:v>0</x:v>
      </x:c>
      <x:c r="T179" s="22" t="str">
        <x:f>IF(AND(COUNT($I$177:$I$181)=5,COUNT(E179:F179)=2),IF(E179&gt;=F179,"Ready","Budget below minima"),"Check inputs")</x:f>
        <x:v>Ready</x:v>
      </x:c>
      <x:c r="U179" s="22" t="n">
        <x:f>IF(COUNT(I179,M179,N179)=3,MAX(0,ROUND(I179+M179-N179,2)),"n.a.")</x:f>
        <x:v>0</x:v>
      </x:c>
    </x:row>
    <x:row r="180" ht="22" customHeight="1">
      <x:c r="A180" s="2"/>
      <x:c r="B180" s="2"/>
      <x:c r="C180" s="27" t="n">
        <x:f>35</x:f>
        <x:v>35</x:v>
      </x:c>
      <x:c r="D180" s="28" t="n">
        <x:f>IF(ISNUMBER('Inputs'!$D$7),EDATE('Inputs'!$D$7,34),"n.a.")</x:f>
        <x:v>47362</x:v>
      </x:c>
      <x:c r="E180" s="26" t="n">
        <x:f>IF('Inputs'!$D$9&lt;&gt;"Ready","n.a.",IF(ISNUMBER('Inputs'!E53),IF('Inputs'!E53&gt;=0,'Inputs'!E53,"n.a."),IF('Inputs'!E53="",'Inputs'!$D$6,"n.a.")))</x:f>
        <x:v>500</x:v>
      </x:c>
      <x:c r="F180" s="22" t="n">
        <x:f>IF(COUNT($N$177:$N$181)=5,SUM($N$177:$N$181),"n.a.")</x:f>
        <x:v>0</x:v>
      </x:c>
      <x:c r="G180" s="22" t="n">
        <x:f>IF(COUNT(E180:F180)=2,MAX(0,E180-F180),"n.a.")</x:f>
        <x:v>500</x:v>
      </x:c>
      <x:c r="H180" s="26" t="str">
        <x:f>'Inputs'!C14</x:f>
        <x:v>Unused 4</x:v>
      </x:c>
      <x:c r="I180" s="26" t="n">
        <x:f>S175</x:f>
        <x:v>0</x:v>
      </x:c>
      <x:c r="J180" s="29" t="n">
        <x:f>IF('Inputs'!$D$9="Ready",'Inputs'!E14,"n.a.")</x:f>
        <x:v>0</x:v>
      </x:c>
      <x:c r="K180" s="26" t="n">
        <x:f>IF('Inputs'!$D$9="Ready",'Inputs'!F14,"n.a.")</x:f>
        <x:v>0</x:v>
      </x:c>
      <x:c r="L180" s="29" t="n">
        <x:f>IF('Inputs'!$D$9="Ready",'Inputs'!G14,"n.a.")</x:f>
        <x:v>0</x:v>
      </x:c>
      <x:c r="M180" s="22" t="n">
        <x:f>IF(COUNT(I180:L180)=4,ROUND(I180*J180/12,2),"n.a.")</x:f>
        <x:v>0</x:v>
      </x:c>
      <x:c r="N180" s="22" t="n">
        <x:f>IF(COUNT(I180:M180)=5,MIN(I180+M180,ROUND(MAX(K180,I180*L180+M180),2)),"n.a.")</x:f>
        <x:v>0</x:v>
      </x:c>
      <x:c r="O180" s="30" t="n">
        <x:f>IF(COUNT($I$177:$I$181)&lt;&gt;5,"n.a.",IF(I180=0,6,IF('Inputs'!$D$5=1,COUNTIFS($I$177:$I$181,"&gt;0",$I$177:$I$181,"&lt;"&amp;I180)+COUNTIFS($I$177:I180,I180),COUNTIFS($I$177:$I$181,"&gt;0",$J$177:$J$181,"&gt;"&amp;J180)+COUNTIFS($I$177:I180,"&gt;0",$J$177:J180,J180))))</x:f>
        <x:v>6</x:v>
      </x:c>
      <x:c r="P180" s="22" t="n">
        <x:f>IF(T180="Ready",MIN(U180,MAX(0,G180-SUMIFS($U$177:$U$181,$O$177:$O$181,"&lt;"&amp;O180))),"n.a.")</x:f>
        <x:v>0</x:v>
      </x:c>
      <x:c r="Q180" s="22" t="n">
        <x:f>IF(T180="Ready",ROUND(N180+P180,2),"n.a.")</x:f>
        <x:v>0</x:v>
      </x:c>
      <x:c r="R180" s="22" t="n">
        <x:f>IF(T180="Ready",ROUND(Q180-M180,2),"n.a.")</x:f>
        <x:v>0</x:v>
      </x:c>
      <x:c r="S180" s="22" t="n">
        <x:f>IF(T180="Ready",MAX(0,ROUND(I180+M180-Q180,2)),"n.a.")</x:f>
        <x:v>0</x:v>
      </x:c>
      <x:c r="T180" s="22" t="str">
        <x:f>IF(AND(COUNT($I$177:$I$181)=5,COUNT(E180:F180)=2),IF(E180&gt;=F180,"Ready","Budget below minima"),"Check inputs")</x:f>
        <x:v>Ready</x:v>
      </x:c>
      <x:c r="U180" s="22" t="n">
        <x:f>IF(COUNT(I180,M180,N180)=3,MAX(0,ROUND(I180+M180-N180,2)),"n.a.")</x:f>
        <x:v>0</x:v>
      </x:c>
    </x:row>
    <x:row r="181" ht="22" customHeight="1">
      <x:c r="A181" s="2"/>
      <x:c r="B181" s="2"/>
      <x:c r="C181" s="27" t="n">
        <x:f>35</x:f>
        <x:v>35</x:v>
      </x:c>
      <x:c r="D181" s="28" t="n">
        <x:f>IF(ISNUMBER('Inputs'!$D$7),EDATE('Inputs'!$D$7,34),"n.a.")</x:f>
        <x:v>47362</x:v>
      </x:c>
      <x:c r="E181" s="26" t="n">
        <x:f>IF('Inputs'!$D$9&lt;&gt;"Ready","n.a.",IF(ISNUMBER('Inputs'!E53),IF('Inputs'!E53&gt;=0,'Inputs'!E53,"n.a."),IF('Inputs'!E53="",'Inputs'!$D$6,"n.a.")))</x:f>
        <x:v>500</x:v>
      </x:c>
      <x:c r="F181" s="22" t="n">
        <x:f>IF(COUNT($N$177:$N$181)=5,SUM($N$177:$N$181),"n.a.")</x:f>
        <x:v>0</x:v>
      </x:c>
      <x:c r="G181" s="22" t="n">
        <x:f>IF(COUNT(E181:F181)=2,MAX(0,E181-F181),"n.a.")</x:f>
        <x:v>500</x:v>
      </x:c>
      <x:c r="H181" s="26" t="str">
        <x:f>'Inputs'!C15</x:f>
        <x:v>Unused 5</x:v>
      </x:c>
      <x:c r="I181" s="26" t="n">
        <x:f>S176</x:f>
        <x:v>0</x:v>
      </x:c>
      <x:c r="J181" s="29" t="n">
        <x:f>IF('Inputs'!$D$9="Ready",'Inputs'!E15,"n.a.")</x:f>
        <x:v>0</x:v>
      </x:c>
      <x:c r="K181" s="26" t="n">
        <x:f>IF('Inputs'!$D$9="Ready",'Inputs'!F15,"n.a.")</x:f>
        <x:v>0</x:v>
      </x:c>
      <x:c r="L181" s="29" t="n">
        <x:f>IF('Inputs'!$D$9="Ready",'Inputs'!G15,"n.a.")</x:f>
        <x:v>0</x:v>
      </x:c>
      <x:c r="M181" s="22" t="n">
        <x:f>IF(COUNT(I181:L181)=4,ROUND(I181*J181/12,2),"n.a.")</x:f>
        <x:v>0</x:v>
      </x:c>
      <x:c r="N181" s="22" t="n">
        <x:f>IF(COUNT(I181:M181)=5,MIN(I181+M181,ROUND(MAX(K181,I181*L181+M181),2)),"n.a.")</x:f>
        <x:v>0</x:v>
      </x:c>
      <x:c r="O181" s="30" t="n">
        <x:f>IF(COUNT($I$177:$I$181)&lt;&gt;5,"n.a.",IF(I181=0,6,IF('Inputs'!$D$5=1,COUNTIFS($I$177:$I$181,"&gt;0",$I$177:$I$181,"&lt;"&amp;I181)+COUNTIFS($I$177:I181,I181),COUNTIFS($I$177:$I$181,"&gt;0",$J$177:$J$181,"&gt;"&amp;J181)+COUNTIFS($I$177:I181,"&gt;0",$J$177:J181,J181))))</x:f>
        <x:v>6</x:v>
      </x:c>
      <x:c r="P181" s="22" t="n">
        <x:f>IF(T181="Ready",MIN(U181,MAX(0,G181-SUMIFS($U$177:$U$181,$O$177:$O$181,"&lt;"&amp;O181))),"n.a.")</x:f>
        <x:v>0</x:v>
      </x:c>
      <x:c r="Q181" s="22" t="n">
        <x:f>IF(T181="Ready",ROUND(N181+P181,2),"n.a.")</x:f>
        <x:v>0</x:v>
      </x:c>
      <x:c r="R181" s="22" t="n">
        <x:f>IF(T181="Ready",ROUND(Q181-M181,2),"n.a.")</x:f>
        <x:v>0</x:v>
      </x:c>
      <x:c r="S181" s="22" t="n">
        <x:f>IF(T181="Ready",MAX(0,ROUND(I181+M181-Q181,2)),"n.a.")</x:f>
        <x:v>0</x:v>
      </x:c>
      <x:c r="T181" s="22" t="str">
        <x:f>IF(AND(COUNT($I$177:$I$181)=5,COUNT(E181:F181)=2),IF(E181&gt;=F181,"Ready","Budget below minima"),"Check inputs")</x:f>
        <x:v>Ready</x:v>
      </x:c>
      <x:c r="U181" s="22" t="n">
        <x:f>IF(COUNT(I181,M181,N181)=3,MAX(0,ROUND(I181+M181-N181,2)),"n.a.")</x:f>
        <x:v>0</x:v>
      </x:c>
    </x:row>
    <x:row r="182" ht="22" customHeight="1">
      <x:c r="A182" s="2"/>
      <x:c r="B182" s="2"/>
      <x:c r="C182" s="27" t="n">
        <x:f>36</x:f>
        <x:v>36</x:v>
      </x:c>
      <x:c r="D182" s="28" t="n">
        <x:f>IF(ISNUMBER('Inputs'!$D$7),EDATE('Inputs'!$D$7,35),"n.a.")</x:f>
        <x:v>47392</x:v>
      </x:c>
      <x:c r="E182" s="26" t="n">
        <x:f>IF('Inputs'!$D$9&lt;&gt;"Ready","n.a.",IF(ISNUMBER('Inputs'!E54),IF('Inputs'!E54&gt;=0,'Inputs'!E54,"n.a."),IF('Inputs'!E54="",'Inputs'!$D$6,"n.a.")))</x:f>
        <x:v>500</x:v>
      </x:c>
      <x:c r="F182" s="22" t="n">
        <x:f>IF(COUNT($N$182:$N$186)=5,SUM($N$182:$N$186),"n.a.")</x:f>
        <x:v>0</x:v>
      </x:c>
      <x:c r="G182" s="22" t="n">
        <x:f>IF(COUNT(E182:F182)=2,MAX(0,E182-F182),"n.a.")</x:f>
        <x:v>500</x:v>
      </x:c>
      <x:c r="H182" s="26" t="str">
        <x:f>'Inputs'!C11</x:f>
        <x:v>Card A</x:v>
      </x:c>
      <x:c r="I182" s="26" t="n">
        <x:f>S177</x:f>
        <x:v>0</x:v>
      </x:c>
      <x:c r="J182" s="29" t="n">
        <x:f>IF('Inputs'!$D$9="Ready",'Inputs'!E11,"n.a.")</x:f>
        <x:v>0.24</x:v>
      </x:c>
      <x:c r="K182" s="26" t="n">
        <x:f>IF('Inputs'!$D$9="Ready",'Inputs'!F11,"n.a.")</x:f>
        <x:v>35</x:v>
      </x:c>
      <x:c r="L182" s="29" t="n">
        <x:f>IF('Inputs'!$D$9="Ready",'Inputs'!G11,"n.a.")</x:f>
        <x:v>0.02</x:v>
      </x:c>
      <x:c r="M182" s="22" t="n">
        <x:f>IF(COUNT(I182:L182)=4,ROUND(I182*J182/12,2),"n.a.")</x:f>
        <x:v>0</x:v>
      </x:c>
      <x:c r="N182" s="22" t="n">
        <x:f>IF(COUNT(I182:M182)=5,MIN(I182+M182,ROUND(MAX(K182,I182*L182+M182),2)),"n.a.")</x:f>
        <x:v>0</x:v>
      </x:c>
      <x:c r="O182" s="30" t="n">
        <x:f>IF(COUNT($I$182:$I$186)&lt;&gt;5,"n.a.",IF(I182=0,6,IF('Inputs'!$D$5=1,COUNTIFS($I$182:$I$186,"&gt;0",$I$182:$I$186,"&lt;"&amp;I182)+COUNTIFS($I$182:I182,I182),COUNTIFS($I$182:$I$186,"&gt;0",$J$182:$J$186,"&gt;"&amp;J182)+COUNTIFS($I$182:I182,"&gt;0",$J$182:J182,J182))))</x:f>
        <x:v>6</x:v>
      </x:c>
      <x:c r="P182" s="22" t="n">
        <x:f>IF(T182="Ready",MIN(U182,MAX(0,G182-SUMIFS($U$182:$U$186,$O$182:$O$186,"&lt;"&amp;O182))),"n.a.")</x:f>
        <x:v>0</x:v>
      </x:c>
      <x:c r="Q182" s="22" t="n">
        <x:f>IF(T182="Ready",ROUND(N182+P182,2),"n.a.")</x:f>
        <x:v>0</x:v>
      </x:c>
      <x:c r="R182" s="22" t="n">
        <x:f>IF(T182="Ready",ROUND(Q182-M182,2),"n.a.")</x:f>
        <x:v>0</x:v>
      </x:c>
      <x:c r="S182" s="22" t="n">
        <x:f>IF(T182="Ready",MAX(0,ROUND(I182+M182-Q182,2)),"n.a.")</x:f>
        <x:v>0</x:v>
      </x:c>
      <x:c r="T182" s="22" t="str">
        <x:f>IF(AND(COUNT($I$182:$I$186)=5,COUNT(E182:F182)=2),IF(E182&gt;=F182,"Ready","Budget below minima"),"Check inputs")</x:f>
        <x:v>Ready</x:v>
      </x:c>
      <x:c r="U182" s="22" t="n">
        <x:f>IF(COUNT(I182,M182,N182)=3,MAX(0,ROUND(I182+M182-N182,2)),"n.a.")</x:f>
        <x:v>0</x:v>
      </x:c>
    </x:row>
    <x:row r="183" ht="22" customHeight="1">
      <x:c r="A183" s="2"/>
      <x:c r="B183" s="2"/>
      <x:c r="C183" s="27" t="n">
        <x:f>36</x:f>
        <x:v>36</x:v>
      </x:c>
      <x:c r="D183" s="28" t="n">
        <x:f>IF(ISNUMBER('Inputs'!$D$7),EDATE('Inputs'!$D$7,35),"n.a.")</x:f>
        <x:v>47392</x:v>
      </x:c>
      <x:c r="E183" s="26" t="n">
        <x:f>IF('Inputs'!$D$9&lt;&gt;"Ready","n.a.",IF(ISNUMBER('Inputs'!E54),IF('Inputs'!E54&gt;=0,'Inputs'!E54,"n.a."),IF('Inputs'!E54="",'Inputs'!$D$6,"n.a.")))</x:f>
        <x:v>500</x:v>
      </x:c>
      <x:c r="F183" s="22" t="n">
        <x:f>IF(COUNT($N$182:$N$186)=5,SUM($N$182:$N$186),"n.a.")</x:f>
        <x:v>0</x:v>
      </x:c>
      <x:c r="G183" s="22" t="n">
        <x:f>IF(COUNT(E183:F183)=2,MAX(0,E183-F183),"n.a.")</x:f>
        <x:v>500</x:v>
      </x:c>
      <x:c r="H183" s="26" t="str">
        <x:f>'Inputs'!C12</x:f>
        <x:v>Card B</x:v>
      </x:c>
      <x:c r="I183" s="26" t="n">
        <x:f>S178</x:f>
        <x:v>0</x:v>
      </x:c>
      <x:c r="J183" s="29" t="n">
        <x:f>IF('Inputs'!$D$9="Ready",'Inputs'!E12,"n.a.")</x:f>
        <x:v>0.18</x:v>
      </x:c>
      <x:c r="K183" s="26" t="n">
        <x:f>IF('Inputs'!$D$9="Ready",'Inputs'!F12,"n.a.")</x:f>
        <x:v>60</x:v>
      </x:c>
      <x:c r="L183" s="29" t="n">
        <x:f>IF('Inputs'!$D$9="Ready",'Inputs'!G12,"n.a.")</x:f>
        <x:v>0.02</x:v>
      </x:c>
      <x:c r="M183" s="22" t="n">
        <x:f>IF(COUNT(I183:L183)=4,ROUND(I183*J183/12,2),"n.a.")</x:f>
        <x:v>0</x:v>
      </x:c>
      <x:c r="N183" s="22" t="n">
        <x:f>IF(COUNT(I183:M183)=5,MIN(I183+M183,ROUND(MAX(K183,I183*L183+M183),2)),"n.a.")</x:f>
        <x:v>0</x:v>
      </x:c>
      <x:c r="O183" s="30" t="n">
        <x:f>IF(COUNT($I$182:$I$186)&lt;&gt;5,"n.a.",IF(I183=0,6,IF('Inputs'!$D$5=1,COUNTIFS($I$182:$I$186,"&gt;0",$I$182:$I$186,"&lt;"&amp;I183)+COUNTIFS($I$182:I183,I183),COUNTIFS($I$182:$I$186,"&gt;0",$J$182:$J$186,"&gt;"&amp;J183)+COUNTIFS($I$182:I183,"&gt;0",$J$182:J183,J183))))</x:f>
        <x:v>6</x:v>
      </x:c>
      <x:c r="P183" s="22" t="n">
        <x:f>IF(T183="Ready",MIN(U183,MAX(0,G183-SUMIFS($U$182:$U$186,$O$182:$O$186,"&lt;"&amp;O183))),"n.a.")</x:f>
        <x:v>0</x:v>
      </x:c>
      <x:c r="Q183" s="22" t="n">
        <x:f>IF(T183="Ready",ROUND(N183+P183,2),"n.a.")</x:f>
        <x:v>0</x:v>
      </x:c>
      <x:c r="R183" s="22" t="n">
        <x:f>IF(T183="Ready",ROUND(Q183-M183,2),"n.a.")</x:f>
        <x:v>0</x:v>
      </x:c>
      <x:c r="S183" s="22" t="n">
        <x:f>IF(T183="Ready",MAX(0,ROUND(I183+M183-Q183,2)),"n.a.")</x:f>
        <x:v>0</x:v>
      </x:c>
      <x:c r="T183" s="22" t="str">
        <x:f>IF(AND(COUNT($I$182:$I$186)=5,COUNT(E183:F183)=2),IF(E183&gt;=F183,"Ready","Budget below minima"),"Check inputs")</x:f>
        <x:v>Ready</x:v>
      </x:c>
      <x:c r="U183" s="22" t="n">
        <x:f>IF(COUNT(I183,M183,N183)=3,MAX(0,ROUND(I183+M183-N183,2)),"n.a.")</x:f>
        <x:v>0</x:v>
      </x:c>
    </x:row>
    <x:row r="184" ht="22" customHeight="1">
      <x:c r="A184" s="2"/>
      <x:c r="B184" s="2"/>
      <x:c r="C184" s="27" t="n">
        <x:f>36</x:f>
        <x:v>36</x:v>
      </x:c>
      <x:c r="D184" s="28" t="n">
        <x:f>IF(ISNUMBER('Inputs'!$D$7),EDATE('Inputs'!$D$7,35),"n.a.")</x:f>
        <x:v>47392</x:v>
      </x:c>
      <x:c r="E184" s="26" t="n">
        <x:f>IF('Inputs'!$D$9&lt;&gt;"Ready","n.a.",IF(ISNUMBER('Inputs'!E54),IF('Inputs'!E54&gt;=0,'Inputs'!E54,"n.a."),IF('Inputs'!E54="",'Inputs'!$D$6,"n.a.")))</x:f>
        <x:v>500</x:v>
      </x:c>
      <x:c r="F184" s="22" t="n">
        <x:f>IF(COUNT($N$182:$N$186)=5,SUM($N$182:$N$186),"n.a.")</x:f>
        <x:v>0</x:v>
      </x:c>
      <x:c r="G184" s="22" t="n">
        <x:f>IF(COUNT(E184:F184)=2,MAX(0,E184-F184),"n.a.")</x:f>
        <x:v>500</x:v>
      </x:c>
      <x:c r="H184" s="26" t="str">
        <x:f>'Inputs'!C13</x:f>
        <x:v>Loan C</x:v>
      </x:c>
      <x:c r="I184" s="26" t="n">
        <x:f>S179</x:f>
        <x:v>0</x:v>
      </x:c>
      <x:c r="J184" s="29" t="n">
        <x:f>IF('Inputs'!$D$9="Ready",'Inputs'!E13,"n.a.")</x:f>
        <x:v>0.08</x:v>
      </x:c>
      <x:c r="K184" s="26" t="n">
        <x:f>IF('Inputs'!$D$9="Ready",'Inputs'!F13,"n.a.")</x:f>
        <x:v>150</x:v>
      </x:c>
      <x:c r="L184" s="29" t="n">
        <x:f>IF('Inputs'!$D$9="Ready",'Inputs'!G13,"n.a.")</x:f>
        <x:v>0</x:v>
      </x:c>
      <x:c r="M184" s="22" t="n">
        <x:f>IF(COUNT(I184:L184)=4,ROUND(I184*J184/12,2),"n.a.")</x:f>
        <x:v>0</x:v>
      </x:c>
      <x:c r="N184" s="22" t="n">
        <x:f>IF(COUNT(I184:M184)=5,MIN(I184+M184,ROUND(MAX(K184,I184*L184+M184),2)),"n.a.")</x:f>
        <x:v>0</x:v>
      </x:c>
      <x:c r="O184" s="30" t="n">
        <x:f>IF(COUNT($I$182:$I$186)&lt;&gt;5,"n.a.",IF(I184=0,6,IF('Inputs'!$D$5=1,COUNTIFS($I$182:$I$186,"&gt;0",$I$182:$I$186,"&lt;"&amp;I184)+COUNTIFS($I$182:I184,I184),COUNTIFS($I$182:$I$186,"&gt;0",$J$182:$J$186,"&gt;"&amp;J184)+COUNTIFS($I$182:I184,"&gt;0",$J$182:J184,J184))))</x:f>
        <x:v>6</x:v>
      </x:c>
      <x:c r="P184" s="22" t="n">
        <x:f>IF(T184="Ready",MIN(U184,MAX(0,G184-SUMIFS($U$182:$U$186,$O$182:$O$186,"&lt;"&amp;O184))),"n.a.")</x:f>
        <x:v>0</x:v>
      </x:c>
      <x:c r="Q184" s="22" t="n">
        <x:f>IF(T184="Ready",ROUND(N184+P184,2),"n.a.")</x:f>
        <x:v>0</x:v>
      </x:c>
      <x:c r="R184" s="22" t="n">
        <x:f>IF(T184="Ready",ROUND(Q184-M184,2),"n.a.")</x:f>
        <x:v>0</x:v>
      </x:c>
      <x:c r="S184" s="22" t="n">
        <x:f>IF(T184="Ready",MAX(0,ROUND(I184+M184-Q184,2)),"n.a.")</x:f>
        <x:v>0</x:v>
      </x:c>
      <x:c r="T184" s="22" t="str">
        <x:f>IF(AND(COUNT($I$182:$I$186)=5,COUNT(E184:F184)=2),IF(E184&gt;=F184,"Ready","Budget below minima"),"Check inputs")</x:f>
        <x:v>Ready</x:v>
      </x:c>
      <x:c r="U184" s="22" t="n">
        <x:f>IF(COUNT(I184,M184,N184)=3,MAX(0,ROUND(I184+M184-N184,2)),"n.a.")</x:f>
        <x:v>0</x:v>
      </x:c>
    </x:row>
    <x:row r="185" ht="22" customHeight="1">
      <x:c r="A185" s="2"/>
      <x:c r="B185" s="2"/>
      <x:c r="C185" s="27" t="n">
        <x:f>36</x:f>
        <x:v>36</x:v>
      </x:c>
      <x:c r="D185" s="28" t="n">
        <x:f>IF(ISNUMBER('Inputs'!$D$7),EDATE('Inputs'!$D$7,35),"n.a.")</x:f>
        <x:v>47392</x:v>
      </x:c>
      <x:c r="E185" s="26" t="n">
        <x:f>IF('Inputs'!$D$9&lt;&gt;"Ready","n.a.",IF(ISNUMBER('Inputs'!E54),IF('Inputs'!E54&gt;=0,'Inputs'!E54,"n.a."),IF('Inputs'!E54="",'Inputs'!$D$6,"n.a.")))</x:f>
        <x:v>500</x:v>
      </x:c>
      <x:c r="F185" s="22" t="n">
        <x:f>IF(COUNT($N$182:$N$186)=5,SUM($N$182:$N$186),"n.a.")</x:f>
        <x:v>0</x:v>
      </x:c>
      <x:c r="G185" s="22" t="n">
        <x:f>IF(COUNT(E185:F185)=2,MAX(0,E185-F185),"n.a.")</x:f>
        <x:v>500</x:v>
      </x:c>
      <x:c r="H185" s="26" t="str">
        <x:f>'Inputs'!C14</x:f>
        <x:v>Unused 4</x:v>
      </x:c>
      <x:c r="I185" s="26" t="n">
        <x:f>S180</x:f>
        <x:v>0</x:v>
      </x:c>
      <x:c r="J185" s="29" t="n">
        <x:f>IF('Inputs'!$D$9="Ready",'Inputs'!E14,"n.a.")</x:f>
        <x:v>0</x:v>
      </x:c>
      <x:c r="K185" s="26" t="n">
        <x:f>IF('Inputs'!$D$9="Ready",'Inputs'!F14,"n.a.")</x:f>
        <x:v>0</x:v>
      </x:c>
      <x:c r="L185" s="29" t="n">
        <x:f>IF('Inputs'!$D$9="Ready",'Inputs'!G14,"n.a.")</x:f>
        <x:v>0</x:v>
      </x:c>
      <x:c r="M185" s="22" t="n">
        <x:f>IF(COUNT(I185:L185)=4,ROUND(I185*J185/12,2),"n.a.")</x:f>
        <x:v>0</x:v>
      </x:c>
      <x:c r="N185" s="22" t="n">
        <x:f>IF(COUNT(I185:M185)=5,MIN(I185+M185,ROUND(MAX(K185,I185*L185+M185),2)),"n.a.")</x:f>
        <x:v>0</x:v>
      </x:c>
      <x:c r="O185" s="30" t="n">
        <x:f>IF(COUNT($I$182:$I$186)&lt;&gt;5,"n.a.",IF(I185=0,6,IF('Inputs'!$D$5=1,COUNTIFS($I$182:$I$186,"&gt;0",$I$182:$I$186,"&lt;"&amp;I185)+COUNTIFS($I$182:I185,I185),COUNTIFS($I$182:$I$186,"&gt;0",$J$182:$J$186,"&gt;"&amp;J185)+COUNTIFS($I$182:I185,"&gt;0",$J$182:J185,J185))))</x:f>
        <x:v>6</x:v>
      </x:c>
      <x:c r="P185" s="22" t="n">
        <x:f>IF(T185="Ready",MIN(U185,MAX(0,G185-SUMIFS($U$182:$U$186,$O$182:$O$186,"&lt;"&amp;O185))),"n.a.")</x:f>
        <x:v>0</x:v>
      </x:c>
      <x:c r="Q185" s="22" t="n">
        <x:f>IF(T185="Ready",ROUND(N185+P185,2),"n.a.")</x:f>
        <x:v>0</x:v>
      </x:c>
      <x:c r="R185" s="22" t="n">
        <x:f>IF(T185="Ready",ROUND(Q185-M185,2),"n.a.")</x:f>
        <x:v>0</x:v>
      </x:c>
      <x:c r="S185" s="22" t="n">
        <x:f>IF(T185="Ready",MAX(0,ROUND(I185+M185-Q185,2)),"n.a.")</x:f>
        <x:v>0</x:v>
      </x:c>
      <x:c r="T185" s="22" t="str">
        <x:f>IF(AND(COUNT($I$182:$I$186)=5,COUNT(E185:F185)=2),IF(E185&gt;=F185,"Ready","Budget below minima"),"Check inputs")</x:f>
        <x:v>Ready</x:v>
      </x:c>
      <x:c r="U185" s="22" t="n">
        <x:f>IF(COUNT(I185,M185,N185)=3,MAX(0,ROUND(I185+M185-N185,2)),"n.a.")</x:f>
        <x:v>0</x:v>
      </x:c>
    </x:row>
    <x:row r="186" ht="22" customHeight="1">
      <x:c r="A186" s="2"/>
      <x:c r="B186" s="2"/>
      <x:c r="C186" s="27" t="n">
        <x:f>36</x:f>
        <x:v>36</x:v>
      </x:c>
      <x:c r="D186" s="28" t="n">
        <x:f>IF(ISNUMBER('Inputs'!$D$7),EDATE('Inputs'!$D$7,35),"n.a.")</x:f>
        <x:v>47392</x:v>
      </x:c>
      <x:c r="E186" s="26" t="n">
        <x:f>IF('Inputs'!$D$9&lt;&gt;"Ready","n.a.",IF(ISNUMBER('Inputs'!E54),IF('Inputs'!E54&gt;=0,'Inputs'!E54,"n.a."),IF('Inputs'!E54="",'Inputs'!$D$6,"n.a.")))</x:f>
        <x:v>500</x:v>
      </x:c>
      <x:c r="F186" s="22" t="n">
        <x:f>IF(COUNT($N$182:$N$186)=5,SUM($N$182:$N$186),"n.a.")</x:f>
        <x:v>0</x:v>
      </x:c>
      <x:c r="G186" s="22" t="n">
        <x:f>IF(COUNT(E186:F186)=2,MAX(0,E186-F186),"n.a.")</x:f>
        <x:v>500</x:v>
      </x:c>
      <x:c r="H186" s="26" t="str">
        <x:f>'Inputs'!C15</x:f>
        <x:v>Unused 5</x:v>
      </x:c>
      <x:c r="I186" s="26" t="n">
        <x:f>S181</x:f>
        <x:v>0</x:v>
      </x:c>
      <x:c r="J186" s="29" t="n">
        <x:f>IF('Inputs'!$D$9="Ready",'Inputs'!E15,"n.a.")</x:f>
        <x:v>0</x:v>
      </x:c>
      <x:c r="K186" s="26" t="n">
        <x:f>IF('Inputs'!$D$9="Ready",'Inputs'!F15,"n.a.")</x:f>
        <x:v>0</x:v>
      </x:c>
      <x:c r="L186" s="29" t="n">
        <x:f>IF('Inputs'!$D$9="Ready",'Inputs'!G15,"n.a.")</x:f>
        <x:v>0</x:v>
      </x:c>
      <x:c r="M186" s="22" t="n">
        <x:f>IF(COUNT(I186:L186)=4,ROUND(I186*J186/12,2),"n.a.")</x:f>
        <x:v>0</x:v>
      </x:c>
      <x:c r="N186" s="22" t="n">
        <x:f>IF(COUNT(I186:M186)=5,MIN(I186+M186,ROUND(MAX(K186,I186*L186+M186),2)),"n.a.")</x:f>
        <x:v>0</x:v>
      </x:c>
      <x:c r="O186" s="30" t="n">
        <x:f>IF(COUNT($I$182:$I$186)&lt;&gt;5,"n.a.",IF(I186=0,6,IF('Inputs'!$D$5=1,COUNTIFS($I$182:$I$186,"&gt;0",$I$182:$I$186,"&lt;"&amp;I186)+COUNTIFS($I$182:I186,I186),COUNTIFS($I$182:$I$186,"&gt;0",$J$182:$J$186,"&gt;"&amp;J186)+COUNTIFS($I$182:I186,"&gt;0",$J$182:J186,J186))))</x:f>
        <x:v>6</x:v>
      </x:c>
      <x:c r="P186" s="22" t="n">
        <x:f>IF(T186="Ready",MIN(U186,MAX(0,G186-SUMIFS($U$182:$U$186,$O$182:$O$186,"&lt;"&amp;O186))),"n.a.")</x:f>
        <x:v>0</x:v>
      </x:c>
      <x:c r="Q186" s="22" t="n">
        <x:f>IF(T186="Ready",ROUND(N186+P186,2),"n.a.")</x:f>
        <x:v>0</x:v>
      </x:c>
      <x:c r="R186" s="22" t="n">
        <x:f>IF(T186="Ready",ROUND(Q186-M186,2),"n.a.")</x:f>
        <x:v>0</x:v>
      </x:c>
      <x:c r="S186" s="22" t="n">
        <x:f>IF(T186="Ready",MAX(0,ROUND(I186+M186-Q186,2)),"n.a.")</x:f>
        <x:v>0</x:v>
      </x:c>
      <x:c r="T186" s="22" t="str">
        <x:f>IF(AND(COUNT($I$182:$I$186)=5,COUNT(E186:F186)=2),IF(E186&gt;=F186,"Ready","Budget below minima"),"Check inputs")</x:f>
        <x:v>Ready</x:v>
      </x:c>
      <x:c r="U186" s="22" t="n">
        <x:f>IF(COUNT(I186,M186,N186)=3,MAX(0,ROUND(I186+M186-N186,2)),"n.a.")</x:f>
        <x:v>0</x:v>
      </x:c>
    </x:row>
    <x:row r="187" ht="22" customHeight="1">
      <x:c r="A187" s="2"/>
      <x:c r="B187" s="2"/>
      <x:c r="C187" s="27" t="n">
        <x:f>37</x:f>
        <x:v>37</x:v>
      </x:c>
      <x:c r="D187" s="28" t="n">
        <x:f>IF(ISNUMBER('Inputs'!$D$7),EDATE('Inputs'!$D$7,36),"n.a.")</x:f>
        <x:v>47423</x:v>
      </x:c>
      <x:c r="E187" s="26" t="n">
        <x:f>IF('Inputs'!$D$9&lt;&gt;"Ready","n.a.",IF(ISNUMBER('Inputs'!E55),IF('Inputs'!E55&gt;=0,'Inputs'!E55,"n.a."),IF('Inputs'!E55="",'Inputs'!$D$6,"n.a.")))</x:f>
        <x:v>500</x:v>
      </x:c>
      <x:c r="F187" s="22" t="n">
        <x:f>IF(COUNT($N$187:$N$191)=5,SUM($N$187:$N$191),"n.a.")</x:f>
        <x:v>0</x:v>
      </x:c>
      <x:c r="G187" s="22" t="n">
        <x:f>IF(COUNT(E187:F187)=2,MAX(0,E187-F187),"n.a.")</x:f>
        <x:v>500</x:v>
      </x:c>
      <x:c r="H187" s="26" t="str">
        <x:f>'Inputs'!C11</x:f>
        <x:v>Card A</x:v>
      </x:c>
      <x:c r="I187" s="26" t="n">
        <x:f>S182</x:f>
        <x:v>0</x:v>
      </x:c>
      <x:c r="J187" s="29" t="n">
        <x:f>IF('Inputs'!$D$9="Ready",'Inputs'!E11,"n.a.")</x:f>
        <x:v>0.24</x:v>
      </x:c>
      <x:c r="K187" s="26" t="n">
        <x:f>IF('Inputs'!$D$9="Ready",'Inputs'!F11,"n.a.")</x:f>
        <x:v>35</x:v>
      </x:c>
      <x:c r="L187" s="29" t="n">
        <x:f>IF('Inputs'!$D$9="Ready",'Inputs'!G11,"n.a.")</x:f>
        <x:v>0.02</x:v>
      </x:c>
      <x:c r="M187" s="22" t="n">
        <x:f>IF(COUNT(I187:L187)=4,ROUND(I187*J187/12,2),"n.a.")</x:f>
        <x:v>0</x:v>
      </x:c>
      <x:c r="N187" s="22" t="n">
        <x:f>IF(COUNT(I187:M187)=5,MIN(I187+M187,ROUND(MAX(K187,I187*L187+M187),2)),"n.a.")</x:f>
        <x:v>0</x:v>
      </x:c>
      <x:c r="O187" s="30" t="n">
        <x:f>IF(COUNT($I$187:$I$191)&lt;&gt;5,"n.a.",IF(I187=0,6,IF('Inputs'!$D$5=1,COUNTIFS($I$187:$I$191,"&gt;0",$I$187:$I$191,"&lt;"&amp;I187)+COUNTIFS($I$187:I187,I187),COUNTIFS($I$187:$I$191,"&gt;0",$J$187:$J$191,"&gt;"&amp;J187)+COUNTIFS($I$187:I187,"&gt;0",$J$187:J187,J187))))</x:f>
        <x:v>6</x:v>
      </x:c>
      <x:c r="P187" s="22" t="n">
        <x:f>IF(T187="Ready",MIN(U187,MAX(0,G187-SUMIFS($U$187:$U$191,$O$187:$O$191,"&lt;"&amp;O187))),"n.a.")</x:f>
        <x:v>0</x:v>
      </x:c>
      <x:c r="Q187" s="22" t="n">
        <x:f>IF(T187="Ready",ROUND(N187+P187,2),"n.a.")</x:f>
        <x:v>0</x:v>
      </x:c>
      <x:c r="R187" s="22" t="n">
        <x:f>IF(T187="Ready",ROUND(Q187-M187,2),"n.a.")</x:f>
        <x:v>0</x:v>
      </x:c>
      <x:c r="S187" s="22" t="n">
        <x:f>IF(T187="Ready",MAX(0,ROUND(I187+M187-Q187,2)),"n.a.")</x:f>
        <x:v>0</x:v>
      </x:c>
      <x:c r="T187" s="22" t="str">
        <x:f>IF(AND(COUNT($I$187:$I$191)=5,COUNT(E187:F187)=2),IF(E187&gt;=F187,"Ready","Budget below minima"),"Check inputs")</x:f>
        <x:v>Ready</x:v>
      </x:c>
      <x:c r="U187" s="22" t="n">
        <x:f>IF(COUNT(I187,M187,N187)=3,MAX(0,ROUND(I187+M187-N187,2)),"n.a.")</x:f>
        <x:v>0</x:v>
      </x:c>
    </x:row>
    <x:row r="188" ht="22" customHeight="1">
      <x:c r="A188" s="2"/>
      <x:c r="B188" s="2"/>
      <x:c r="C188" s="27" t="n">
        <x:f>37</x:f>
        <x:v>37</x:v>
      </x:c>
      <x:c r="D188" s="28" t="n">
        <x:f>IF(ISNUMBER('Inputs'!$D$7),EDATE('Inputs'!$D$7,36),"n.a.")</x:f>
        <x:v>47423</x:v>
      </x:c>
      <x:c r="E188" s="26" t="n">
        <x:f>IF('Inputs'!$D$9&lt;&gt;"Ready","n.a.",IF(ISNUMBER('Inputs'!E55),IF('Inputs'!E55&gt;=0,'Inputs'!E55,"n.a."),IF('Inputs'!E55="",'Inputs'!$D$6,"n.a.")))</x:f>
        <x:v>500</x:v>
      </x:c>
      <x:c r="F188" s="22" t="n">
        <x:f>IF(COUNT($N$187:$N$191)=5,SUM($N$187:$N$191),"n.a.")</x:f>
        <x:v>0</x:v>
      </x:c>
      <x:c r="G188" s="22" t="n">
        <x:f>IF(COUNT(E188:F188)=2,MAX(0,E188-F188),"n.a.")</x:f>
        <x:v>500</x:v>
      </x:c>
      <x:c r="H188" s="26" t="str">
        <x:f>'Inputs'!C12</x:f>
        <x:v>Card B</x:v>
      </x:c>
      <x:c r="I188" s="26" t="n">
        <x:f>S183</x:f>
        <x:v>0</x:v>
      </x:c>
      <x:c r="J188" s="29" t="n">
        <x:f>IF('Inputs'!$D$9="Ready",'Inputs'!E12,"n.a.")</x:f>
        <x:v>0.18</x:v>
      </x:c>
      <x:c r="K188" s="26" t="n">
        <x:f>IF('Inputs'!$D$9="Ready",'Inputs'!F12,"n.a.")</x:f>
        <x:v>60</x:v>
      </x:c>
      <x:c r="L188" s="29" t="n">
        <x:f>IF('Inputs'!$D$9="Ready",'Inputs'!G12,"n.a.")</x:f>
        <x:v>0.02</x:v>
      </x:c>
      <x:c r="M188" s="22" t="n">
        <x:f>IF(COUNT(I188:L188)=4,ROUND(I188*J188/12,2),"n.a.")</x:f>
        <x:v>0</x:v>
      </x:c>
      <x:c r="N188" s="22" t="n">
        <x:f>IF(COUNT(I188:M188)=5,MIN(I188+M188,ROUND(MAX(K188,I188*L188+M188),2)),"n.a.")</x:f>
        <x:v>0</x:v>
      </x:c>
      <x:c r="O188" s="30" t="n">
        <x:f>IF(COUNT($I$187:$I$191)&lt;&gt;5,"n.a.",IF(I188=0,6,IF('Inputs'!$D$5=1,COUNTIFS($I$187:$I$191,"&gt;0",$I$187:$I$191,"&lt;"&amp;I188)+COUNTIFS($I$187:I188,I188),COUNTIFS($I$187:$I$191,"&gt;0",$J$187:$J$191,"&gt;"&amp;J188)+COUNTIFS($I$187:I188,"&gt;0",$J$187:J188,J188))))</x:f>
        <x:v>6</x:v>
      </x:c>
      <x:c r="P188" s="22" t="n">
        <x:f>IF(T188="Ready",MIN(U188,MAX(0,G188-SUMIFS($U$187:$U$191,$O$187:$O$191,"&lt;"&amp;O188))),"n.a.")</x:f>
        <x:v>0</x:v>
      </x:c>
      <x:c r="Q188" s="22" t="n">
        <x:f>IF(T188="Ready",ROUND(N188+P188,2),"n.a.")</x:f>
        <x:v>0</x:v>
      </x:c>
      <x:c r="R188" s="22" t="n">
        <x:f>IF(T188="Ready",ROUND(Q188-M188,2),"n.a.")</x:f>
        <x:v>0</x:v>
      </x:c>
      <x:c r="S188" s="22" t="n">
        <x:f>IF(T188="Ready",MAX(0,ROUND(I188+M188-Q188,2)),"n.a.")</x:f>
        <x:v>0</x:v>
      </x:c>
      <x:c r="T188" s="22" t="str">
        <x:f>IF(AND(COUNT($I$187:$I$191)=5,COUNT(E188:F188)=2),IF(E188&gt;=F188,"Ready","Budget below minima"),"Check inputs")</x:f>
        <x:v>Ready</x:v>
      </x:c>
      <x:c r="U188" s="22" t="n">
        <x:f>IF(COUNT(I188,M188,N188)=3,MAX(0,ROUND(I188+M188-N188,2)),"n.a.")</x:f>
        <x:v>0</x:v>
      </x:c>
    </x:row>
    <x:row r="189" ht="22" customHeight="1">
      <x:c r="A189" s="2"/>
      <x:c r="B189" s="2"/>
      <x:c r="C189" s="27" t="n">
        <x:f>37</x:f>
        <x:v>37</x:v>
      </x:c>
      <x:c r="D189" s="28" t="n">
        <x:f>IF(ISNUMBER('Inputs'!$D$7),EDATE('Inputs'!$D$7,36),"n.a.")</x:f>
        <x:v>47423</x:v>
      </x:c>
      <x:c r="E189" s="26" t="n">
        <x:f>IF('Inputs'!$D$9&lt;&gt;"Ready","n.a.",IF(ISNUMBER('Inputs'!E55),IF('Inputs'!E55&gt;=0,'Inputs'!E55,"n.a."),IF('Inputs'!E55="",'Inputs'!$D$6,"n.a.")))</x:f>
        <x:v>500</x:v>
      </x:c>
      <x:c r="F189" s="22" t="n">
        <x:f>IF(COUNT($N$187:$N$191)=5,SUM($N$187:$N$191),"n.a.")</x:f>
        <x:v>0</x:v>
      </x:c>
      <x:c r="G189" s="22" t="n">
        <x:f>IF(COUNT(E189:F189)=2,MAX(0,E189-F189),"n.a.")</x:f>
        <x:v>500</x:v>
      </x:c>
      <x:c r="H189" s="26" t="str">
        <x:f>'Inputs'!C13</x:f>
        <x:v>Loan C</x:v>
      </x:c>
      <x:c r="I189" s="26" t="n">
        <x:f>S184</x:f>
        <x:v>0</x:v>
      </x:c>
      <x:c r="J189" s="29" t="n">
        <x:f>IF('Inputs'!$D$9="Ready",'Inputs'!E13,"n.a.")</x:f>
        <x:v>0.08</x:v>
      </x:c>
      <x:c r="K189" s="26" t="n">
        <x:f>IF('Inputs'!$D$9="Ready",'Inputs'!F13,"n.a.")</x:f>
        <x:v>150</x:v>
      </x:c>
      <x:c r="L189" s="29" t="n">
        <x:f>IF('Inputs'!$D$9="Ready",'Inputs'!G13,"n.a.")</x:f>
        <x:v>0</x:v>
      </x:c>
      <x:c r="M189" s="22" t="n">
        <x:f>IF(COUNT(I189:L189)=4,ROUND(I189*J189/12,2),"n.a.")</x:f>
        <x:v>0</x:v>
      </x:c>
      <x:c r="N189" s="22" t="n">
        <x:f>IF(COUNT(I189:M189)=5,MIN(I189+M189,ROUND(MAX(K189,I189*L189+M189),2)),"n.a.")</x:f>
        <x:v>0</x:v>
      </x:c>
      <x:c r="O189" s="30" t="n">
        <x:f>IF(COUNT($I$187:$I$191)&lt;&gt;5,"n.a.",IF(I189=0,6,IF('Inputs'!$D$5=1,COUNTIFS($I$187:$I$191,"&gt;0",$I$187:$I$191,"&lt;"&amp;I189)+COUNTIFS($I$187:I189,I189),COUNTIFS($I$187:$I$191,"&gt;0",$J$187:$J$191,"&gt;"&amp;J189)+COUNTIFS($I$187:I189,"&gt;0",$J$187:J189,J189))))</x:f>
        <x:v>6</x:v>
      </x:c>
      <x:c r="P189" s="22" t="n">
        <x:f>IF(T189="Ready",MIN(U189,MAX(0,G189-SUMIFS($U$187:$U$191,$O$187:$O$191,"&lt;"&amp;O189))),"n.a.")</x:f>
        <x:v>0</x:v>
      </x:c>
      <x:c r="Q189" s="22" t="n">
        <x:f>IF(T189="Ready",ROUND(N189+P189,2),"n.a.")</x:f>
        <x:v>0</x:v>
      </x:c>
      <x:c r="R189" s="22" t="n">
        <x:f>IF(T189="Ready",ROUND(Q189-M189,2),"n.a.")</x:f>
        <x:v>0</x:v>
      </x:c>
      <x:c r="S189" s="22" t="n">
        <x:f>IF(T189="Ready",MAX(0,ROUND(I189+M189-Q189,2)),"n.a.")</x:f>
        <x:v>0</x:v>
      </x:c>
      <x:c r="T189" s="22" t="str">
        <x:f>IF(AND(COUNT($I$187:$I$191)=5,COUNT(E189:F189)=2),IF(E189&gt;=F189,"Ready","Budget below minima"),"Check inputs")</x:f>
        <x:v>Ready</x:v>
      </x:c>
      <x:c r="U189" s="22" t="n">
        <x:f>IF(COUNT(I189,M189,N189)=3,MAX(0,ROUND(I189+M189-N189,2)),"n.a.")</x:f>
        <x:v>0</x:v>
      </x:c>
    </x:row>
    <x:row r="190" ht="22" customHeight="1">
      <x:c r="A190" s="2"/>
      <x:c r="B190" s="2"/>
      <x:c r="C190" s="27" t="n">
        <x:f>37</x:f>
        <x:v>37</x:v>
      </x:c>
      <x:c r="D190" s="28" t="n">
        <x:f>IF(ISNUMBER('Inputs'!$D$7),EDATE('Inputs'!$D$7,36),"n.a.")</x:f>
        <x:v>47423</x:v>
      </x:c>
      <x:c r="E190" s="26" t="n">
        <x:f>IF('Inputs'!$D$9&lt;&gt;"Ready","n.a.",IF(ISNUMBER('Inputs'!E55),IF('Inputs'!E55&gt;=0,'Inputs'!E55,"n.a."),IF('Inputs'!E55="",'Inputs'!$D$6,"n.a.")))</x:f>
        <x:v>500</x:v>
      </x:c>
      <x:c r="F190" s="22" t="n">
        <x:f>IF(COUNT($N$187:$N$191)=5,SUM($N$187:$N$191),"n.a.")</x:f>
        <x:v>0</x:v>
      </x:c>
      <x:c r="G190" s="22" t="n">
        <x:f>IF(COUNT(E190:F190)=2,MAX(0,E190-F190),"n.a.")</x:f>
        <x:v>500</x:v>
      </x:c>
      <x:c r="H190" s="26" t="str">
        <x:f>'Inputs'!C14</x:f>
        <x:v>Unused 4</x:v>
      </x:c>
      <x:c r="I190" s="26" t="n">
        <x:f>S185</x:f>
        <x:v>0</x:v>
      </x:c>
      <x:c r="J190" s="29" t="n">
        <x:f>IF('Inputs'!$D$9="Ready",'Inputs'!E14,"n.a.")</x:f>
        <x:v>0</x:v>
      </x:c>
      <x:c r="K190" s="26" t="n">
        <x:f>IF('Inputs'!$D$9="Ready",'Inputs'!F14,"n.a.")</x:f>
        <x:v>0</x:v>
      </x:c>
      <x:c r="L190" s="29" t="n">
        <x:f>IF('Inputs'!$D$9="Ready",'Inputs'!G14,"n.a.")</x:f>
        <x:v>0</x:v>
      </x:c>
      <x:c r="M190" s="22" t="n">
        <x:f>IF(COUNT(I190:L190)=4,ROUND(I190*J190/12,2),"n.a.")</x:f>
        <x:v>0</x:v>
      </x:c>
      <x:c r="N190" s="22" t="n">
        <x:f>IF(COUNT(I190:M190)=5,MIN(I190+M190,ROUND(MAX(K190,I190*L190+M190),2)),"n.a.")</x:f>
        <x:v>0</x:v>
      </x:c>
      <x:c r="O190" s="30" t="n">
        <x:f>IF(COUNT($I$187:$I$191)&lt;&gt;5,"n.a.",IF(I190=0,6,IF('Inputs'!$D$5=1,COUNTIFS($I$187:$I$191,"&gt;0",$I$187:$I$191,"&lt;"&amp;I190)+COUNTIFS($I$187:I190,I190),COUNTIFS($I$187:$I$191,"&gt;0",$J$187:$J$191,"&gt;"&amp;J190)+COUNTIFS($I$187:I190,"&gt;0",$J$187:J190,J190))))</x:f>
        <x:v>6</x:v>
      </x:c>
      <x:c r="P190" s="22" t="n">
        <x:f>IF(T190="Ready",MIN(U190,MAX(0,G190-SUMIFS($U$187:$U$191,$O$187:$O$191,"&lt;"&amp;O190))),"n.a.")</x:f>
        <x:v>0</x:v>
      </x:c>
      <x:c r="Q190" s="22" t="n">
        <x:f>IF(T190="Ready",ROUND(N190+P190,2),"n.a.")</x:f>
        <x:v>0</x:v>
      </x:c>
      <x:c r="R190" s="22" t="n">
        <x:f>IF(T190="Ready",ROUND(Q190-M190,2),"n.a.")</x:f>
        <x:v>0</x:v>
      </x:c>
      <x:c r="S190" s="22" t="n">
        <x:f>IF(T190="Ready",MAX(0,ROUND(I190+M190-Q190,2)),"n.a.")</x:f>
        <x:v>0</x:v>
      </x:c>
      <x:c r="T190" s="22" t="str">
        <x:f>IF(AND(COUNT($I$187:$I$191)=5,COUNT(E190:F190)=2),IF(E190&gt;=F190,"Ready","Budget below minima"),"Check inputs")</x:f>
        <x:v>Ready</x:v>
      </x:c>
      <x:c r="U190" s="22" t="n">
        <x:f>IF(COUNT(I190,M190,N190)=3,MAX(0,ROUND(I190+M190-N190,2)),"n.a.")</x:f>
        <x:v>0</x:v>
      </x:c>
    </x:row>
    <x:row r="191" ht="22" customHeight="1">
      <x:c r="A191" s="2"/>
      <x:c r="B191" s="2"/>
      <x:c r="C191" s="27" t="n">
        <x:f>37</x:f>
        <x:v>37</x:v>
      </x:c>
      <x:c r="D191" s="28" t="n">
        <x:f>IF(ISNUMBER('Inputs'!$D$7),EDATE('Inputs'!$D$7,36),"n.a.")</x:f>
        <x:v>47423</x:v>
      </x:c>
      <x:c r="E191" s="26" t="n">
        <x:f>IF('Inputs'!$D$9&lt;&gt;"Ready","n.a.",IF(ISNUMBER('Inputs'!E55),IF('Inputs'!E55&gt;=0,'Inputs'!E55,"n.a."),IF('Inputs'!E55="",'Inputs'!$D$6,"n.a.")))</x:f>
        <x:v>500</x:v>
      </x:c>
      <x:c r="F191" s="22" t="n">
        <x:f>IF(COUNT($N$187:$N$191)=5,SUM($N$187:$N$191),"n.a.")</x:f>
        <x:v>0</x:v>
      </x:c>
      <x:c r="G191" s="22" t="n">
        <x:f>IF(COUNT(E191:F191)=2,MAX(0,E191-F191),"n.a.")</x:f>
        <x:v>500</x:v>
      </x:c>
      <x:c r="H191" s="26" t="str">
        <x:f>'Inputs'!C15</x:f>
        <x:v>Unused 5</x:v>
      </x:c>
      <x:c r="I191" s="26" t="n">
        <x:f>S186</x:f>
        <x:v>0</x:v>
      </x:c>
      <x:c r="J191" s="29" t="n">
        <x:f>IF('Inputs'!$D$9="Ready",'Inputs'!E15,"n.a.")</x:f>
        <x:v>0</x:v>
      </x:c>
      <x:c r="K191" s="26" t="n">
        <x:f>IF('Inputs'!$D$9="Ready",'Inputs'!F15,"n.a.")</x:f>
        <x:v>0</x:v>
      </x:c>
      <x:c r="L191" s="29" t="n">
        <x:f>IF('Inputs'!$D$9="Ready",'Inputs'!G15,"n.a.")</x:f>
        <x:v>0</x:v>
      </x:c>
      <x:c r="M191" s="22" t="n">
        <x:f>IF(COUNT(I191:L191)=4,ROUND(I191*J191/12,2),"n.a.")</x:f>
        <x:v>0</x:v>
      </x:c>
      <x:c r="N191" s="22" t="n">
        <x:f>IF(COUNT(I191:M191)=5,MIN(I191+M191,ROUND(MAX(K191,I191*L191+M191),2)),"n.a.")</x:f>
        <x:v>0</x:v>
      </x:c>
      <x:c r="O191" s="30" t="n">
        <x:f>IF(COUNT($I$187:$I$191)&lt;&gt;5,"n.a.",IF(I191=0,6,IF('Inputs'!$D$5=1,COUNTIFS($I$187:$I$191,"&gt;0",$I$187:$I$191,"&lt;"&amp;I191)+COUNTIFS($I$187:I191,I191),COUNTIFS($I$187:$I$191,"&gt;0",$J$187:$J$191,"&gt;"&amp;J191)+COUNTIFS($I$187:I191,"&gt;0",$J$187:J191,J191))))</x:f>
        <x:v>6</x:v>
      </x:c>
      <x:c r="P191" s="22" t="n">
        <x:f>IF(T191="Ready",MIN(U191,MAX(0,G191-SUMIFS($U$187:$U$191,$O$187:$O$191,"&lt;"&amp;O191))),"n.a.")</x:f>
        <x:v>0</x:v>
      </x:c>
      <x:c r="Q191" s="22" t="n">
        <x:f>IF(T191="Ready",ROUND(N191+P191,2),"n.a.")</x:f>
        <x:v>0</x:v>
      </x:c>
      <x:c r="R191" s="22" t="n">
        <x:f>IF(T191="Ready",ROUND(Q191-M191,2),"n.a.")</x:f>
        <x:v>0</x:v>
      </x:c>
      <x:c r="S191" s="22" t="n">
        <x:f>IF(T191="Ready",MAX(0,ROUND(I191+M191-Q191,2)),"n.a.")</x:f>
        <x:v>0</x:v>
      </x:c>
      <x:c r="T191" s="22" t="str">
        <x:f>IF(AND(COUNT($I$187:$I$191)=5,COUNT(E191:F191)=2),IF(E191&gt;=F191,"Ready","Budget below minima"),"Check inputs")</x:f>
        <x:v>Ready</x:v>
      </x:c>
      <x:c r="U191" s="22" t="n">
        <x:f>IF(COUNT(I191,M191,N191)=3,MAX(0,ROUND(I191+M191-N191,2)),"n.a.")</x:f>
        <x:v>0</x:v>
      </x:c>
    </x:row>
    <x:row r="192" ht="22" customHeight="1">
      <x:c r="A192" s="2"/>
      <x:c r="B192" s="2"/>
      <x:c r="C192" s="27" t="n">
        <x:f>38</x:f>
        <x:v>38</x:v>
      </x:c>
      <x:c r="D192" s="28" t="n">
        <x:f>IF(ISNUMBER('Inputs'!$D$7),EDATE('Inputs'!$D$7,37),"n.a.")</x:f>
        <x:v>47453</x:v>
      </x:c>
      <x:c r="E192" s="26" t="n">
        <x:f>IF('Inputs'!$D$9&lt;&gt;"Ready","n.a.",IF(ISNUMBER('Inputs'!E56),IF('Inputs'!E56&gt;=0,'Inputs'!E56,"n.a."),IF('Inputs'!E56="",'Inputs'!$D$6,"n.a.")))</x:f>
        <x:v>500</x:v>
      </x:c>
      <x:c r="F192" s="22" t="n">
        <x:f>IF(COUNT($N$192:$N$196)=5,SUM($N$192:$N$196),"n.a.")</x:f>
        <x:v>0</x:v>
      </x:c>
      <x:c r="G192" s="22" t="n">
        <x:f>IF(COUNT(E192:F192)=2,MAX(0,E192-F192),"n.a.")</x:f>
        <x:v>500</x:v>
      </x:c>
      <x:c r="H192" s="26" t="str">
        <x:f>'Inputs'!C11</x:f>
        <x:v>Card A</x:v>
      </x:c>
      <x:c r="I192" s="26" t="n">
        <x:f>S187</x:f>
        <x:v>0</x:v>
      </x:c>
      <x:c r="J192" s="29" t="n">
        <x:f>IF('Inputs'!$D$9="Ready",'Inputs'!E11,"n.a.")</x:f>
        <x:v>0.24</x:v>
      </x:c>
      <x:c r="K192" s="26" t="n">
        <x:f>IF('Inputs'!$D$9="Ready",'Inputs'!F11,"n.a.")</x:f>
        <x:v>35</x:v>
      </x:c>
      <x:c r="L192" s="29" t="n">
        <x:f>IF('Inputs'!$D$9="Ready",'Inputs'!G11,"n.a.")</x:f>
        <x:v>0.02</x:v>
      </x:c>
      <x:c r="M192" s="22" t="n">
        <x:f>IF(COUNT(I192:L192)=4,ROUND(I192*J192/12,2),"n.a.")</x:f>
        <x:v>0</x:v>
      </x:c>
      <x:c r="N192" s="22" t="n">
        <x:f>IF(COUNT(I192:M192)=5,MIN(I192+M192,ROUND(MAX(K192,I192*L192+M192),2)),"n.a.")</x:f>
        <x:v>0</x:v>
      </x:c>
      <x:c r="O192" s="30" t="n">
        <x:f>IF(COUNT($I$192:$I$196)&lt;&gt;5,"n.a.",IF(I192=0,6,IF('Inputs'!$D$5=1,COUNTIFS($I$192:$I$196,"&gt;0",$I$192:$I$196,"&lt;"&amp;I192)+COUNTIFS($I$192:I192,I192),COUNTIFS($I$192:$I$196,"&gt;0",$J$192:$J$196,"&gt;"&amp;J192)+COUNTIFS($I$192:I192,"&gt;0",$J$192:J192,J192))))</x:f>
        <x:v>6</x:v>
      </x:c>
      <x:c r="P192" s="22" t="n">
        <x:f>IF(T192="Ready",MIN(U192,MAX(0,G192-SUMIFS($U$192:$U$196,$O$192:$O$196,"&lt;"&amp;O192))),"n.a.")</x:f>
        <x:v>0</x:v>
      </x:c>
      <x:c r="Q192" s="22" t="n">
        <x:f>IF(T192="Ready",ROUND(N192+P192,2),"n.a.")</x:f>
        <x:v>0</x:v>
      </x:c>
      <x:c r="R192" s="22" t="n">
        <x:f>IF(T192="Ready",ROUND(Q192-M192,2),"n.a.")</x:f>
        <x:v>0</x:v>
      </x:c>
      <x:c r="S192" s="22" t="n">
        <x:f>IF(T192="Ready",MAX(0,ROUND(I192+M192-Q192,2)),"n.a.")</x:f>
        <x:v>0</x:v>
      </x:c>
      <x:c r="T192" s="22" t="str">
        <x:f>IF(AND(COUNT($I$192:$I$196)=5,COUNT(E192:F192)=2),IF(E192&gt;=F192,"Ready","Budget below minima"),"Check inputs")</x:f>
        <x:v>Ready</x:v>
      </x:c>
      <x:c r="U192" s="22" t="n">
        <x:f>IF(COUNT(I192,M192,N192)=3,MAX(0,ROUND(I192+M192-N192,2)),"n.a.")</x:f>
        <x:v>0</x:v>
      </x:c>
    </x:row>
    <x:row r="193" ht="22" customHeight="1">
      <x:c r="A193" s="2"/>
      <x:c r="B193" s="2"/>
      <x:c r="C193" s="27" t="n">
        <x:f>38</x:f>
        <x:v>38</x:v>
      </x:c>
      <x:c r="D193" s="28" t="n">
        <x:f>IF(ISNUMBER('Inputs'!$D$7),EDATE('Inputs'!$D$7,37),"n.a.")</x:f>
        <x:v>47453</x:v>
      </x:c>
      <x:c r="E193" s="26" t="n">
        <x:f>IF('Inputs'!$D$9&lt;&gt;"Ready","n.a.",IF(ISNUMBER('Inputs'!E56),IF('Inputs'!E56&gt;=0,'Inputs'!E56,"n.a."),IF('Inputs'!E56="",'Inputs'!$D$6,"n.a.")))</x:f>
        <x:v>500</x:v>
      </x:c>
      <x:c r="F193" s="22" t="n">
        <x:f>IF(COUNT($N$192:$N$196)=5,SUM($N$192:$N$196),"n.a.")</x:f>
        <x:v>0</x:v>
      </x:c>
      <x:c r="G193" s="22" t="n">
        <x:f>IF(COUNT(E193:F193)=2,MAX(0,E193-F193),"n.a.")</x:f>
        <x:v>500</x:v>
      </x:c>
      <x:c r="H193" s="26" t="str">
        <x:f>'Inputs'!C12</x:f>
        <x:v>Card B</x:v>
      </x:c>
      <x:c r="I193" s="26" t="n">
        <x:f>S188</x:f>
        <x:v>0</x:v>
      </x:c>
      <x:c r="J193" s="29" t="n">
        <x:f>IF('Inputs'!$D$9="Ready",'Inputs'!E12,"n.a.")</x:f>
        <x:v>0.18</x:v>
      </x:c>
      <x:c r="K193" s="26" t="n">
        <x:f>IF('Inputs'!$D$9="Ready",'Inputs'!F12,"n.a.")</x:f>
        <x:v>60</x:v>
      </x:c>
      <x:c r="L193" s="29" t="n">
        <x:f>IF('Inputs'!$D$9="Ready",'Inputs'!G12,"n.a.")</x:f>
        <x:v>0.02</x:v>
      </x:c>
      <x:c r="M193" s="22" t="n">
        <x:f>IF(COUNT(I193:L193)=4,ROUND(I193*J193/12,2),"n.a.")</x:f>
        <x:v>0</x:v>
      </x:c>
      <x:c r="N193" s="22" t="n">
        <x:f>IF(COUNT(I193:M193)=5,MIN(I193+M193,ROUND(MAX(K193,I193*L193+M193),2)),"n.a.")</x:f>
        <x:v>0</x:v>
      </x:c>
      <x:c r="O193" s="30" t="n">
        <x:f>IF(COUNT($I$192:$I$196)&lt;&gt;5,"n.a.",IF(I193=0,6,IF('Inputs'!$D$5=1,COUNTIFS($I$192:$I$196,"&gt;0",$I$192:$I$196,"&lt;"&amp;I193)+COUNTIFS($I$192:I193,I193),COUNTIFS($I$192:$I$196,"&gt;0",$J$192:$J$196,"&gt;"&amp;J193)+COUNTIFS($I$192:I193,"&gt;0",$J$192:J193,J193))))</x:f>
        <x:v>6</x:v>
      </x:c>
      <x:c r="P193" s="22" t="n">
        <x:f>IF(T193="Ready",MIN(U193,MAX(0,G193-SUMIFS($U$192:$U$196,$O$192:$O$196,"&lt;"&amp;O193))),"n.a.")</x:f>
        <x:v>0</x:v>
      </x:c>
      <x:c r="Q193" s="22" t="n">
        <x:f>IF(T193="Ready",ROUND(N193+P193,2),"n.a.")</x:f>
        <x:v>0</x:v>
      </x:c>
      <x:c r="R193" s="22" t="n">
        <x:f>IF(T193="Ready",ROUND(Q193-M193,2),"n.a.")</x:f>
        <x:v>0</x:v>
      </x:c>
      <x:c r="S193" s="22" t="n">
        <x:f>IF(T193="Ready",MAX(0,ROUND(I193+M193-Q193,2)),"n.a.")</x:f>
        <x:v>0</x:v>
      </x:c>
      <x:c r="T193" s="22" t="str">
        <x:f>IF(AND(COUNT($I$192:$I$196)=5,COUNT(E193:F193)=2),IF(E193&gt;=F193,"Ready","Budget below minima"),"Check inputs")</x:f>
        <x:v>Ready</x:v>
      </x:c>
      <x:c r="U193" s="22" t="n">
        <x:f>IF(COUNT(I193,M193,N193)=3,MAX(0,ROUND(I193+M193-N193,2)),"n.a.")</x:f>
        <x:v>0</x:v>
      </x:c>
    </x:row>
    <x:row r="194" ht="22" customHeight="1">
      <x:c r="A194" s="2"/>
      <x:c r="B194" s="2"/>
      <x:c r="C194" s="27" t="n">
        <x:f>38</x:f>
        <x:v>38</x:v>
      </x:c>
      <x:c r="D194" s="28" t="n">
        <x:f>IF(ISNUMBER('Inputs'!$D$7),EDATE('Inputs'!$D$7,37),"n.a.")</x:f>
        <x:v>47453</x:v>
      </x:c>
      <x:c r="E194" s="26" t="n">
        <x:f>IF('Inputs'!$D$9&lt;&gt;"Ready","n.a.",IF(ISNUMBER('Inputs'!E56),IF('Inputs'!E56&gt;=0,'Inputs'!E56,"n.a."),IF('Inputs'!E56="",'Inputs'!$D$6,"n.a.")))</x:f>
        <x:v>500</x:v>
      </x:c>
      <x:c r="F194" s="22" t="n">
        <x:f>IF(COUNT($N$192:$N$196)=5,SUM($N$192:$N$196),"n.a.")</x:f>
        <x:v>0</x:v>
      </x:c>
      <x:c r="G194" s="22" t="n">
        <x:f>IF(COUNT(E194:F194)=2,MAX(0,E194-F194),"n.a.")</x:f>
        <x:v>500</x:v>
      </x:c>
      <x:c r="H194" s="26" t="str">
        <x:f>'Inputs'!C13</x:f>
        <x:v>Loan C</x:v>
      </x:c>
      <x:c r="I194" s="26" t="n">
        <x:f>S189</x:f>
        <x:v>0</x:v>
      </x:c>
      <x:c r="J194" s="29" t="n">
        <x:f>IF('Inputs'!$D$9="Ready",'Inputs'!E13,"n.a.")</x:f>
        <x:v>0.08</x:v>
      </x:c>
      <x:c r="K194" s="26" t="n">
        <x:f>IF('Inputs'!$D$9="Ready",'Inputs'!F13,"n.a.")</x:f>
        <x:v>150</x:v>
      </x:c>
      <x:c r="L194" s="29" t="n">
        <x:f>IF('Inputs'!$D$9="Ready",'Inputs'!G13,"n.a.")</x:f>
        <x:v>0</x:v>
      </x:c>
      <x:c r="M194" s="22" t="n">
        <x:f>IF(COUNT(I194:L194)=4,ROUND(I194*J194/12,2),"n.a.")</x:f>
        <x:v>0</x:v>
      </x:c>
      <x:c r="N194" s="22" t="n">
        <x:f>IF(COUNT(I194:M194)=5,MIN(I194+M194,ROUND(MAX(K194,I194*L194+M194),2)),"n.a.")</x:f>
        <x:v>0</x:v>
      </x:c>
      <x:c r="O194" s="30" t="n">
        <x:f>IF(COUNT($I$192:$I$196)&lt;&gt;5,"n.a.",IF(I194=0,6,IF('Inputs'!$D$5=1,COUNTIFS($I$192:$I$196,"&gt;0",$I$192:$I$196,"&lt;"&amp;I194)+COUNTIFS($I$192:I194,I194),COUNTIFS($I$192:$I$196,"&gt;0",$J$192:$J$196,"&gt;"&amp;J194)+COUNTIFS($I$192:I194,"&gt;0",$J$192:J194,J194))))</x:f>
        <x:v>6</x:v>
      </x:c>
      <x:c r="P194" s="22" t="n">
        <x:f>IF(T194="Ready",MIN(U194,MAX(0,G194-SUMIFS($U$192:$U$196,$O$192:$O$196,"&lt;"&amp;O194))),"n.a.")</x:f>
        <x:v>0</x:v>
      </x:c>
      <x:c r="Q194" s="22" t="n">
        <x:f>IF(T194="Ready",ROUND(N194+P194,2),"n.a.")</x:f>
        <x:v>0</x:v>
      </x:c>
      <x:c r="R194" s="22" t="n">
        <x:f>IF(T194="Ready",ROUND(Q194-M194,2),"n.a.")</x:f>
        <x:v>0</x:v>
      </x:c>
      <x:c r="S194" s="22" t="n">
        <x:f>IF(T194="Ready",MAX(0,ROUND(I194+M194-Q194,2)),"n.a.")</x:f>
        <x:v>0</x:v>
      </x:c>
      <x:c r="T194" s="22" t="str">
        <x:f>IF(AND(COUNT($I$192:$I$196)=5,COUNT(E194:F194)=2),IF(E194&gt;=F194,"Ready","Budget below minima"),"Check inputs")</x:f>
        <x:v>Ready</x:v>
      </x:c>
      <x:c r="U194" s="22" t="n">
        <x:f>IF(COUNT(I194,M194,N194)=3,MAX(0,ROUND(I194+M194-N194,2)),"n.a.")</x:f>
        <x:v>0</x:v>
      </x:c>
    </x:row>
    <x:row r="195" ht="22" customHeight="1">
      <x:c r="A195" s="2"/>
      <x:c r="B195" s="2"/>
      <x:c r="C195" s="27" t="n">
        <x:f>38</x:f>
        <x:v>38</x:v>
      </x:c>
      <x:c r="D195" s="28" t="n">
        <x:f>IF(ISNUMBER('Inputs'!$D$7),EDATE('Inputs'!$D$7,37),"n.a.")</x:f>
        <x:v>47453</x:v>
      </x:c>
      <x:c r="E195" s="26" t="n">
        <x:f>IF('Inputs'!$D$9&lt;&gt;"Ready","n.a.",IF(ISNUMBER('Inputs'!E56),IF('Inputs'!E56&gt;=0,'Inputs'!E56,"n.a."),IF('Inputs'!E56="",'Inputs'!$D$6,"n.a.")))</x:f>
        <x:v>500</x:v>
      </x:c>
      <x:c r="F195" s="22" t="n">
        <x:f>IF(COUNT($N$192:$N$196)=5,SUM($N$192:$N$196),"n.a.")</x:f>
        <x:v>0</x:v>
      </x:c>
      <x:c r="G195" s="22" t="n">
        <x:f>IF(COUNT(E195:F195)=2,MAX(0,E195-F195),"n.a.")</x:f>
        <x:v>500</x:v>
      </x:c>
      <x:c r="H195" s="26" t="str">
        <x:f>'Inputs'!C14</x:f>
        <x:v>Unused 4</x:v>
      </x:c>
      <x:c r="I195" s="26" t="n">
        <x:f>S190</x:f>
        <x:v>0</x:v>
      </x:c>
      <x:c r="J195" s="29" t="n">
        <x:f>IF('Inputs'!$D$9="Ready",'Inputs'!E14,"n.a.")</x:f>
        <x:v>0</x:v>
      </x:c>
      <x:c r="K195" s="26" t="n">
        <x:f>IF('Inputs'!$D$9="Ready",'Inputs'!F14,"n.a.")</x:f>
        <x:v>0</x:v>
      </x:c>
      <x:c r="L195" s="29" t="n">
        <x:f>IF('Inputs'!$D$9="Ready",'Inputs'!G14,"n.a.")</x:f>
        <x:v>0</x:v>
      </x:c>
      <x:c r="M195" s="22" t="n">
        <x:f>IF(COUNT(I195:L195)=4,ROUND(I195*J195/12,2),"n.a.")</x:f>
        <x:v>0</x:v>
      </x:c>
      <x:c r="N195" s="22" t="n">
        <x:f>IF(COUNT(I195:M195)=5,MIN(I195+M195,ROUND(MAX(K195,I195*L195+M195),2)),"n.a.")</x:f>
        <x:v>0</x:v>
      </x:c>
      <x:c r="O195" s="30" t="n">
        <x:f>IF(COUNT($I$192:$I$196)&lt;&gt;5,"n.a.",IF(I195=0,6,IF('Inputs'!$D$5=1,COUNTIFS($I$192:$I$196,"&gt;0",$I$192:$I$196,"&lt;"&amp;I195)+COUNTIFS($I$192:I195,I195),COUNTIFS($I$192:$I$196,"&gt;0",$J$192:$J$196,"&gt;"&amp;J195)+COUNTIFS($I$192:I195,"&gt;0",$J$192:J195,J195))))</x:f>
        <x:v>6</x:v>
      </x:c>
      <x:c r="P195" s="22" t="n">
        <x:f>IF(T195="Ready",MIN(U195,MAX(0,G195-SUMIFS($U$192:$U$196,$O$192:$O$196,"&lt;"&amp;O195))),"n.a.")</x:f>
        <x:v>0</x:v>
      </x:c>
      <x:c r="Q195" s="22" t="n">
        <x:f>IF(T195="Ready",ROUND(N195+P195,2),"n.a.")</x:f>
        <x:v>0</x:v>
      </x:c>
      <x:c r="R195" s="22" t="n">
        <x:f>IF(T195="Ready",ROUND(Q195-M195,2),"n.a.")</x:f>
        <x:v>0</x:v>
      </x:c>
      <x:c r="S195" s="22" t="n">
        <x:f>IF(T195="Ready",MAX(0,ROUND(I195+M195-Q195,2)),"n.a.")</x:f>
        <x:v>0</x:v>
      </x:c>
      <x:c r="T195" s="22" t="str">
        <x:f>IF(AND(COUNT($I$192:$I$196)=5,COUNT(E195:F195)=2),IF(E195&gt;=F195,"Ready","Budget below minima"),"Check inputs")</x:f>
        <x:v>Ready</x:v>
      </x:c>
      <x:c r="U195" s="22" t="n">
        <x:f>IF(COUNT(I195,M195,N195)=3,MAX(0,ROUND(I195+M195-N195,2)),"n.a.")</x:f>
        <x:v>0</x:v>
      </x:c>
    </x:row>
    <x:row r="196" ht="22" customHeight="1">
      <x:c r="A196" s="2"/>
      <x:c r="B196" s="2"/>
      <x:c r="C196" s="27" t="n">
        <x:f>38</x:f>
        <x:v>38</x:v>
      </x:c>
      <x:c r="D196" s="28" t="n">
        <x:f>IF(ISNUMBER('Inputs'!$D$7),EDATE('Inputs'!$D$7,37),"n.a.")</x:f>
        <x:v>47453</x:v>
      </x:c>
      <x:c r="E196" s="26" t="n">
        <x:f>IF('Inputs'!$D$9&lt;&gt;"Ready","n.a.",IF(ISNUMBER('Inputs'!E56),IF('Inputs'!E56&gt;=0,'Inputs'!E56,"n.a."),IF('Inputs'!E56="",'Inputs'!$D$6,"n.a.")))</x:f>
        <x:v>500</x:v>
      </x:c>
      <x:c r="F196" s="22" t="n">
        <x:f>IF(COUNT($N$192:$N$196)=5,SUM($N$192:$N$196),"n.a.")</x:f>
        <x:v>0</x:v>
      </x:c>
      <x:c r="G196" s="22" t="n">
        <x:f>IF(COUNT(E196:F196)=2,MAX(0,E196-F196),"n.a.")</x:f>
        <x:v>500</x:v>
      </x:c>
      <x:c r="H196" s="26" t="str">
        <x:f>'Inputs'!C15</x:f>
        <x:v>Unused 5</x:v>
      </x:c>
      <x:c r="I196" s="26" t="n">
        <x:f>S191</x:f>
        <x:v>0</x:v>
      </x:c>
      <x:c r="J196" s="29" t="n">
        <x:f>IF('Inputs'!$D$9="Ready",'Inputs'!E15,"n.a.")</x:f>
        <x:v>0</x:v>
      </x:c>
      <x:c r="K196" s="26" t="n">
        <x:f>IF('Inputs'!$D$9="Ready",'Inputs'!F15,"n.a.")</x:f>
        <x:v>0</x:v>
      </x:c>
      <x:c r="L196" s="29" t="n">
        <x:f>IF('Inputs'!$D$9="Ready",'Inputs'!G15,"n.a.")</x:f>
        <x:v>0</x:v>
      </x:c>
      <x:c r="M196" s="22" t="n">
        <x:f>IF(COUNT(I196:L196)=4,ROUND(I196*J196/12,2),"n.a.")</x:f>
        <x:v>0</x:v>
      </x:c>
      <x:c r="N196" s="22" t="n">
        <x:f>IF(COUNT(I196:M196)=5,MIN(I196+M196,ROUND(MAX(K196,I196*L196+M196),2)),"n.a.")</x:f>
        <x:v>0</x:v>
      </x:c>
      <x:c r="O196" s="30" t="n">
        <x:f>IF(COUNT($I$192:$I$196)&lt;&gt;5,"n.a.",IF(I196=0,6,IF('Inputs'!$D$5=1,COUNTIFS($I$192:$I$196,"&gt;0",$I$192:$I$196,"&lt;"&amp;I196)+COUNTIFS($I$192:I196,I196),COUNTIFS($I$192:$I$196,"&gt;0",$J$192:$J$196,"&gt;"&amp;J196)+COUNTIFS($I$192:I196,"&gt;0",$J$192:J196,J196))))</x:f>
        <x:v>6</x:v>
      </x:c>
      <x:c r="P196" s="22" t="n">
        <x:f>IF(T196="Ready",MIN(U196,MAX(0,G196-SUMIFS($U$192:$U$196,$O$192:$O$196,"&lt;"&amp;O196))),"n.a.")</x:f>
        <x:v>0</x:v>
      </x:c>
      <x:c r="Q196" s="22" t="n">
        <x:f>IF(T196="Ready",ROUND(N196+P196,2),"n.a.")</x:f>
        <x:v>0</x:v>
      </x:c>
      <x:c r="R196" s="22" t="n">
        <x:f>IF(T196="Ready",ROUND(Q196-M196,2),"n.a.")</x:f>
        <x:v>0</x:v>
      </x:c>
      <x:c r="S196" s="22" t="n">
        <x:f>IF(T196="Ready",MAX(0,ROUND(I196+M196-Q196,2)),"n.a.")</x:f>
        <x:v>0</x:v>
      </x:c>
      <x:c r="T196" s="22" t="str">
        <x:f>IF(AND(COUNT($I$192:$I$196)=5,COUNT(E196:F196)=2),IF(E196&gt;=F196,"Ready","Budget below minima"),"Check inputs")</x:f>
        <x:v>Ready</x:v>
      </x:c>
      <x:c r="U196" s="22" t="n">
        <x:f>IF(COUNT(I196,M196,N196)=3,MAX(0,ROUND(I196+M196-N196,2)),"n.a.")</x:f>
        <x:v>0</x:v>
      </x:c>
    </x:row>
    <x:row r="197" ht="22" customHeight="1">
      <x:c r="A197" s="2"/>
      <x:c r="B197" s="2"/>
      <x:c r="C197" s="27" t="n">
        <x:f>39</x:f>
        <x:v>39</x:v>
      </x:c>
      <x:c r="D197" s="28" t="n">
        <x:f>IF(ISNUMBER('Inputs'!$D$7),EDATE('Inputs'!$D$7,38),"n.a.")</x:f>
        <x:v>47484</x:v>
      </x:c>
      <x:c r="E197" s="26" t="n">
        <x:f>IF('Inputs'!$D$9&lt;&gt;"Ready","n.a.",IF(ISNUMBER('Inputs'!E57),IF('Inputs'!E57&gt;=0,'Inputs'!E57,"n.a."),IF('Inputs'!E57="",'Inputs'!$D$6,"n.a.")))</x:f>
        <x:v>500</x:v>
      </x:c>
      <x:c r="F197" s="22" t="n">
        <x:f>IF(COUNT($N$197:$N$201)=5,SUM($N$197:$N$201),"n.a.")</x:f>
        <x:v>0</x:v>
      </x:c>
      <x:c r="G197" s="22" t="n">
        <x:f>IF(COUNT(E197:F197)=2,MAX(0,E197-F197),"n.a.")</x:f>
        <x:v>500</x:v>
      </x:c>
      <x:c r="H197" s="26" t="str">
        <x:f>'Inputs'!C11</x:f>
        <x:v>Card A</x:v>
      </x:c>
      <x:c r="I197" s="26" t="n">
        <x:f>S192</x:f>
        <x:v>0</x:v>
      </x:c>
      <x:c r="J197" s="29" t="n">
        <x:f>IF('Inputs'!$D$9="Ready",'Inputs'!E11,"n.a.")</x:f>
        <x:v>0.24</x:v>
      </x:c>
      <x:c r="K197" s="26" t="n">
        <x:f>IF('Inputs'!$D$9="Ready",'Inputs'!F11,"n.a.")</x:f>
        <x:v>35</x:v>
      </x:c>
      <x:c r="L197" s="29" t="n">
        <x:f>IF('Inputs'!$D$9="Ready",'Inputs'!G11,"n.a.")</x:f>
        <x:v>0.02</x:v>
      </x:c>
      <x:c r="M197" s="22" t="n">
        <x:f>IF(COUNT(I197:L197)=4,ROUND(I197*J197/12,2),"n.a.")</x:f>
        <x:v>0</x:v>
      </x:c>
      <x:c r="N197" s="22" t="n">
        <x:f>IF(COUNT(I197:M197)=5,MIN(I197+M197,ROUND(MAX(K197,I197*L197+M197),2)),"n.a.")</x:f>
        <x:v>0</x:v>
      </x:c>
      <x:c r="O197" s="30" t="n">
        <x:f>IF(COUNT($I$197:$I$201)&lt;&gt;5,"n.a.",IF(I197=0,6,IF('Inputs'!$D$5=1,COUNTIFS($I$197:$I$201,"&gt;0",$I$197:$I$201,"&lt;"&amp;I197)+COUNTIFS($I$197:I197,I197),COUNTIFS($I$197:$I$201,"&gt;0",$J$197:$J$201,"&gt;"&amp;J197)+COUNTIFS($I$197:I197,"&gt;0",$J$197:J197,J197))))</x:f>
        <x:v>6</x:v>
      </x:c>
      <x:c r="P197" s="22" t="n">
        <x:f>IF(T197="Ready",MIN(U197,MAX(0,G197-SUMIFS($U$197:$U$201,$O$197:$O$201,"&lt;"&amp;O197))),"n.a.")</x:f>
        <x:v>0</x:v>
      </x:c>
      <x:c r="Q197" s="22" t="n">
        <x:f>IF(T197="Ready",ROUND(N197+P197,2),"n.a.")</x:f>
        <x:v>0</x:v>
      </x:c>
      <x:c r="R197" s="22" t="n">
        <x:f>IF(T197="Ready",ROUND(Q197-M197,2),"n.a.")</x:f>
        <x:v>0</x:v>
      </x:c>
      <x:c r="S197" s="22" t="n">
        <x:f>IF(T197="Ready",MAX(0,ROUND(I197+M197-Q197,2)),"n.a.")</x:f>
        <x:v>0</x:v>
      </x:c>
      <x:c r="T197" s="22" t="str">
        <x:f>IF(AND(COUNT($I$197:$I$201)=5,COUNT(E197:F197)=2),IF(E197&gt;=F197,"Ready","Budget below minima"),"Check inputs")</x:f>
        <x:v>Ready</x:v>
      </x:c>
      <x:c r="U197" s="22" t="n">
        <x:f>IF(COUNT(I197,M197,N197)=3,MAX(0,ROUND(I197+M197-N197,2)),"n.a.")</x:f>
        <x:v>0</x:v>
      </x:c>
    </x:row>
    <x:row r="198" ht="22" customHeight="1">
      <x:c r="A198" s="2"/>
      <x:c r="B198" s="2"/>
      <x:c r="C198" s="27" t="n">
        <x:f>39</x:f>
        <x:v>39</x:v>
      </x:c>
      <x:c r="D198" s="28" t="n">
        <x:f>IF(ISNUMBER('Inputs'!$D$7),EDATE('Inputs'!$D$7,38),"n.a.")</x:f>
        <x:v>47484</x:v>
      </x:c>
      <x:c r="E198" s="26" t="n">
        <x:f>IF('Inputs'!$D$9&lt;&gt;"Ready","n.a.",IF(ISNUMBER('Inputs'!E57),IF('Inputs'!E57&gt;=0,'Inputs'!E57,"n.a."),IF('Inputs'!E57="",'Inputs'!$D$6,"n.a.")))</x:f>
        <x:v>500</x:v>
      </x:c>
      <x:c r="F198" s="22" t="n">
        <x:f>IF(COUNT($N$197:$N$201)=5,SUM($N$197:$N$201),"n.a.")</x:f>
        <x:v>0</x:v>
      </x:c>
      <x:c r="G198" s="22" t="n">
        <x:f>IF(COUNT(E198:F198)=2,MAX(0,E198-F198),"n.a.")</x:f>
        <x:v>500</x:v>
      </x:c>
      <x:c r="H198" s="26" t="str">
        <x:f>'Inputs'!C12</x:f>
        <x:v>Card B</x:v>
      </x:c>
      <x:c r="I198" s="26" t="n">
        <x:f>S193</x:f>
        <x:v>0</x:v>
      </x:c>
      <x:c r="J198" s="29" t="n">
        <x:f>IF('Inputs'!$D$9="Ready",'Inputs'!E12,"n.a.")</x:f>
        <x:v>0.18</x:v>
      </x:c>
      <x:c r="K198" s="26" t="n">
        <x:f>IF('Inputs'!$D$9="Ready",'Inputs'!F12,"n.a.")</x:f>
        <x:v>60</x:v>
      </x:c>
      <x:c r="L198" s="29" t="n">
        <x:f>IF('Inputs'!$D$9="Ready",'Inputs'!G12,"n.a.")</x:f>
        <x:v>0.02</x:v>
      </x:c>
      <x:c r="M198" s="22" t="n">
        <x:f>IF(COUNT(I198:L198)=4,ROUND(I198*J198/12,2),"n.a.")</x:f>
        <x:v>0</x:v>
      </x:c>
      <x:c r="N198" s="22" t="n">
        <x:f>IF(COUNT(I198:M198)=5,MIN(I198+M198,ROUND(MAX(K198,I198*L198+M198),2)),"n.a.")</x:f>
        <x:v>0</x:v>
      </x:c>
      <x:c r="O198" s="30" t="n">
        <x:f>IF(COUNT($I$197:$I$201)&lt;&gt;5,"n.a.",IF(I198=0,6,IF('Inputs'!$D$5=1,COUNTIFS($I$197:$I$201,"&gt;0",$I$197:$I$201,"&lt;"&amp;I198)+COUNTIFS($I$197:I198,I198),COUNTIFS($I$197:$I$201,"&gt;0",$J$197:$J$201,"&gt;"&amp;J198)+COUNTIFS($I$197:I198,"&gt;0",$J$197:J198,J198))))</x:f>
        <x:v>6</x:v>
      </x:c>
      <x:c r="P198" s="22" t="n">
        <x:f>IF(T198="Ready",MIN(U198,MAX(0,G198-SUMIFS($U$197:$U$201,$O$197:$O$201,"&lt;"&amp;O198))),"n.a.")</x:f>
        <x:v>0</x:v>
      </x:c>
      <x:c r="Q198" s="22" t="n">
        <x:f>IF(T198="Ready",ROUND(N198+P198,2),"n.a.")</x:f>
        <x:v>0</x:v>
      </x:c>
      <x:c r="R198" s="22" t="n">
        <x:f>IF(T198="Ready",ROUND(Q198-M198,2),"n.a.")</x:f>
        <x:v>0</x:v>
      </x:c>
      <x:c r="S198" s="22" t="n">
        <x:f>IF(T198="Ready",MAX(0,ROUND(I198+M198-Q198,2)),"n.a.")</x:f>
        <x:v>0</x:v>
      </x:c>
      <x:c r="T198" s="22" t="str">
        <x:f>IF(AND(COUNT($I$197:$I$201)=5,COUNT(E198:F198)=2),IF(E198&gt;=F198,"Ready","Budget below minima"),"Check inputs")</x:f>
        <x:v>Ready</x:v>
      </x:c>
      <x:c r="U198" s="22" t="n">
        <x:f>IF(COUNT(I198,M198,N198)=3,MAX(0,ROUND(I198+M198-N198,2)),"n.a.")</x:f>
        <x:v>0</x:v>
      </x:c>
    </x:row>
    <x:row r="199" ht="22" customHeight="1">
      <x:c r="A199" s="2"/>
      <x:c r="B199" s="2"/>
      <x:c r="C199" s="27" t="n">
        <x:f>39</x:f>
        <x:v>39</x:v>
      </x:c>
      <x:c r="D199" s="28" t="n">
        <x:f>IF(ISNUMBER('Inputs'!$D$7),EDATE('Inputs'!$D$7,38),"n.a.")</x:f>
        <x:v>47484</x:v>
      </x:c>
      <x:c r="E199" s="26" t="n">
        <x:f>IF('Inputs'!$D$9&lt;&gt;"Ready","n.a.",IF(ISNUMBER('Inputs'!E57),IF('Inputs'!E57&gt;=0,'Inputs'!E57,"n.a."),IF('Inputs'!E57="",'Inputs'!$D$6,"n.a.")))</x:f>
        <x:v>500</x:v>
      </x:c>
      <x:c r="F199" s="22" t="n">
        <x:f>IF(COUNT($N$197:$N$201)=5,SUM($N$197:$N$201),"n.a.")</x:f>
        <x:v>0</x:v>
      </x:c>
      <x:c r="G199" s="22" t="n">
        <x:f>IF(COUNT(E199:F199)=2,MAX(0,E199-F199),"n.a.")</x:f>
        <x:v>500</x:v>
      </x:c>
      <x:c r="H199" s="26" t="str">
        <x:f>'Inputs'!C13</x:f>
        <x:v>Loan C</x:v>
      </x:c>
      <x:c r="I199" s="26" t="n">
        <x:f>S194</x:f>
        <x:v>0</x:v>
      </x:c>
      <x:c r="J199" s="29" t="n">
        <x:f>IF('Inputs'!$D$9="Ready",'Inputs'!E13,"n.a.")</x:f>
        <x:v>0.08</x:v>
      </x:c>
      <x:c r="K199" s="26" t="n">
        <x:f>IF('Inputs'!$D$9="Ready",'Inputs'!F13,"n.a.")</x:f>
        <x:v>150</x:v>
      </x:c>
      <x:c r="L199" s="29" t="n">
        <x:f>IF('Inputs'!$D$9="Ready",'Inputs'!G13,"n.a.")</x:f>
        <x:v>0</x:v>
      </x:c>
      <x:c r="M199" s="22" t="n">
        <x:f>IF(COUNT(I199:L199)=4,ROUND(I199*J199/12,2),"n.a.")</x:f>
        <x:v>0</x:v>
      </x:c>
      <x:c r="N199" s="22" t="n">
        <x:f>IF(COUNT(I199:M199)=5,MIN(I199+M199,ROUND(MAX(K199,I199*L199+M199),2)),"n.a.")</x:f>
        <x:v>0</x:v>
      </x:c>
      <x:c r="O199" s="30" t="n">
        <x:f>IF(COUNT($I$197:$I$201)&lt;&gt;5,"n.a.",IF(I199=0,6,IF('Inputs'!$D$5=1,COUNTIFS($I$197:$I$201,"&gt;0",$I$197:$I$201,"&lt;"&amp;I199)+COUNTIFS($I$197:I199,I199),COUNTIFS($I$197:$I$201,"&gt;0",$J$197:$J$201,"&gt;"&amp;J199)+COUNTIFS($I$197:I199,"&gt;0",$J$197:J199,J199))))</x:f>
        <x:v>6</x:v>
      </x:c>
      <x:c r="P199" s="22" t="n">
        <x:f>IF(T199="Ready",MIN(U199,MAX(0,G199-SUMIFS($U$197:$U$201,$O$197:$O$201,"&lt;"&amp;O199))),"n.a.")</x:f>
        <x:v>0</x:v>
      </x:c>
      <x:c r="Q199" s="22" t="n">
        <x:f>IF(T199="Ready",ROUND(N199+P199,2),"n.a.")</x:f>
        <x:v>0</x:v>
      </x:c>
      <x:c r="R199" s="22" t="n">
        <x:f>IF(T199="Ready",ROUND(Q199-M199,2),"n.a.")</x:f>
        <x:v>0</x:v>
      </x:c>
      <x:c r="S199" s="22" t="n">
        <x:f>IF(T199="Ready",MAX(0,ROUND(I199+M199-Q199,2)),"n.a.")</x:f>
        <x:v>0</x:v>
      </x:c>
      <x:c r="T199" s="22" t="str">
        <x:f>IF(AND(COUNT($I$197:$I$201)=5,COUNT(E199:F199)=2),IF(E199&gt;=F199,"Ready","Budget below minima"),"Check inputs")</x:f>
        <x:v>Ready</x:v>
      </x:c>
      <x:c r="U199" s="22" t="n">
        <x:f>IF(COUNT(I199,M199,N199)=3,MAX(0,ROUND(I199+M199-N199,2)),"n.a.")</x:f>
        <x:v>0</x:v>
      </x:c>
    </x:row>
    <x:row r="200" ht="22" customHeight="1">
      <x:c r="A200" s="2"/>
      <x:c r="B200" s="2"/>
      <x:c r="C200" s="27" t="n">
        <x:f>39</x:f>
        <x:v>39</x:v>
      </x:c>
      <x:c r="D200" s="28" t="n">
        <x:f>IF(ISNUMBER('Inputs'!$D$7),EDATE('Inputs'!$D$7,38),"n.a.")</x:f>
        <x:v>47484</x:v>
      </x:c>
      <x:c r="E200" s="26" t="n">
        <x:f>IF('Inputs'!$D$9&lt;&gt;"Ready","n.a.",IF(ISNUMBER('Inputs'!E57),IF('Inputs'!E57&gt;=0,'Inputs'!E57,"n.a."),IF('Inputs'!E57="",'Inputs'!$D$6,"n.a.")))</x:f>
        <x:v>500</x:v>
      </x:c>
      <x:c r="F200" s="22" t="n">
        <x:f>IF(COUNT($N$197:$N$201)=5,SUM($N$197:$N$201),"n.a.")</x:f>
        <x:v>0</x:v>
      </x:c>
      <x:c r="G200" s="22" t="n">
        <x:f>IF(COUNT(E200:F200)=2,MAX(0,E200-F200),"n.a.")</x:f>
        <x:v>500</x:v>
      </x:c>
      <x:c r="H200" s="26" t="str">
        <x:f>'Inputs'!C14</x:f>
        <x:v>Unused 4</x:v>
      </x:c>
      <x:c r="I200" s="26" t="n">
        <x:f>S195</x:f>
        <x:v>0</x:v>
      </x:c>
      <x:c r="J200" s="29" t="n">
        <x:f>IF('Inputs'!$D$9="Ready",'Inputs'!E14,"n.a.")</x:f>
        <x:v>0</x:v>
      </x:c>
      <x:c r="K200" s="26" t="n">
        <x:f>IF('Inputs'!$D$9="Ready",'Inputs'!F14,"n.a.")</x:f>
        <x:v>0</x:v>
      </x:c>
      <x:c r="L200" s="29" t="n">
        <x:f>IF('Inputs'!$D$9="Ready",'Inputs'!G14,"n.a.")</x:f>
        <x:v>0</x:v>
      </x:c>
      <x:c r="M200" s="22" t="n">
        <x:f>IF(COUNT(I200:L200)=4,ROUND(I200*J200/12,2),"n.a.")</x:f>
        <x:v>0</x:v>
      </x:c>
      <x:c r="N200" s="22" t="n">
        <x:f>IF(COUNT(I200:M200)=5,MIN(I200+M200,ROUND(MAX(K200,I200*L200+M200),2)),"n.a.")</x:f>
        <x:v>0</x:v>
      </x:c>
      <x:c r="O200" s="30" t="n">
        <x:f>IF(COUNT($I$197:$I$201)&lt;&gt;5,"n.a.",IF(I200=0,6,IF('Inputs'!$D$5=1,COUNTIFS($I$197:$I$201,"&gt;0",$I$197:$I$201,"&lt;"&amp;I200)+COUNTIFS($I$197:I200,I200),COUNTIFS($I$197:$I$201,"&gt;0",$J$197:$J$201,"&gt;"&amp;J200)+COUNTIFS($I$197:I200,"&gt;0",$J$197:J200,J200))))</x:f>
        <x:v>6</x:v>
      </x:c>
      <x:c r="P200" s="22" t="n">
        <x:f>IF(T200="Ready",MIN(U200,MAX(0,G200-SUMIFS($U$197:$U$201,$O$197:$O$201,"&lt;"&amp;O200))),"n.a.")</x:f>
        <x:v>0</x:v>
      </x:c>
      <x:c r="Q200" s="22" t="n">
        <x:f>IF(T200="Ready",ROUND(N200+P200,2),"n.a.")</x:f>
        <x:v>0</x:v>
      </x:c>
      <x:c r="R200" s="22" t="n">
        <x:f>IF(T200="Ready",ROUND(Q200-M200,2),"n.a.")</x:f>
        <x:v>0</x:v>
      </x:c>
      <x:c r="S200" s="22" t="n">
        <x:f>IF(T200="Ready",MAX(0,ROUND(I200+M200-Q200,2)),"n.a.")</x:f>
        <x:v>0</x:v>
      </x:c>
      <x:c r="T200" s="22" t="str">
        <x:f>IF(AND(COUNT($I$197:$I$201)=5,COUNT(E200:F200)=2),IF(E200&gt;=F200,"Ready","Budget below minima"),"Check inputs")</x:f>
        <x:v>Ready</x:v>
      </x:c>
      <x:c r="U200" s="22" t="n">
        <x:f>IF(COUNT(I200,M200,N200)=3,MAX(0,ROUND(I200+M200-N200,2)),"n.a.")</x:f>
        <x:v>0</x:v>
      </x:c>
    </x:row>
    <x:row r="201" ht="22" customHeight="1">
      <x:c r="A201" s="2"/>
      <x:c r="B201" s="2"/>
      <x:c r="C201" s="27" t="n">
        <x:f>39</x:f>
        <x:v>39</x:v>
      </x:c>
      <x:c r="D201" s="28" t="n">
        <x:f>IF(ISNUMBER('Inputs'!$D$7),EDATE('Inputs'!$D$7,38),"n.a.")</x:f>
        <x:v>47484</x:v>
      </x:c>
      <x:c r="E201" s="26" t="n">
        <x:f>IF('Inputs'!$D$9&lt;&gt;"Ready","n.a.",IF(ISNUMBER('Inputs'!E57),IF('Inputs'!E57&gt;=0,'Inputs'!E57,"n.a."),IF('Inputs'!E57="",'Inputs'!$D$6,"n.a.")))</x:f>
        <x:v>500</x:v>
      </x:c>
      <x:c r="F201" s="22" t="n">
        <x:f>IF(COUNT($N$197:$N$201)=5,SUM($N$197:$N$201),"n.a.")</x:f>
        <x:v>0</x:v>
      </x:c>
      <x:c r="G201" s="22" t="n">
        <x:f>IF(COUNT(E201:F201)=2,MAX(0,E201-F201),"n.a.")</x:f>
        <x:v>500</x:v>
      </x:c>
      <x:c r="H201" s="26" t="str">
        <x:f>'Inputs'!C15</x:f>
        <x:v>Unused 5</x:v>
      </x:c>
      <x:c r="I201" s="26" t="n">
        <x:f>S196</x:f>
        <x:v>0</x:v>
      </x:c>
      <x:c r="J201" s="29" t="n">
        <x:f>IF('Inputs'!$D$9="Ready",'Inputs'!E15,"n.a.")</x:f>
        <x:v>0</x:v>
      </x:c>
      <x:c r="K201" s="26" t="n">
        <x:f>IF('Inputs'!$D$9="Ready",'Inputs'!F15,"n.a.")</x:f>
        <x:v>0</x:v>
      </x:c>
      <x:c r="L201" s="29" t="n">
        <x:f>IF('Inputs'!$D$9="Ready",'Inputs'!G15,"n.a.")</x:f>
        <x:v>0</x:v>
      </x:c>
      <x:c r="M201" s="22" t="n">
        <x:f>IF(COUNT(I201:L201)=4,ROUND(I201*J201/12,2),"n.a.")</x:f>
        <x:v>0</x:v>
      </x:c>
      <x:c r="N201" s="22" t="n">
        <x:f>IF(COUNT(I201:M201)=5,MIN(I201+M201,ROUND(MAX(K201,I201*L201+M201),2)),"n.a.")</x:f>
        <x:v>0</x:v>
      </x:c>
      <x:c r="O201" s="30" t="n">
        <x:f>IF(COUNT($I$197:$I$201)&lt;&gt;5,"n.a.",IF(I201=0,6,IF('Inputs'!$D$5=1,COUNTIFS($I$197:$I$201,"&gt;0",$I$197:$I$201,"&lt;"&amp;I201)+COUNTIFS($I$197:I201,I201),COUNTIFS($I$197:$I$201,"&gt;0",$J$197:$J$201,"&gt;"&amp;J201)+COUNTIFS($I$197:I201,"&gt;0",$J$197:J201,J201))))</x:f>
        <x:v>6</x:v>
      </x:c>
      <x:c r="P201" s="22" t="n">
        <x:f>IF(T201="Ready",MIN(U201,MAX(0,G201-SUMIFS($U$197:$U$201,$O$197:$O$201,"&lt;"&amp;O201))),"n.a.")</x:f>
        <x:v>0</x:v>
      </x:c>
      <x:c r="Q201" s="22" t="n">
        <x:f>IF(T201="Ready",ROUND(N201+P201,2),"n.a.")</x:f>
        <x:v>0</x:v>
      </x:c>
      <x:c r="R201" s="22" t="n">
        <x:f>IF(T201="Ready",ROUND(Q201-M201,2),"n.a.")</x:f>
        <x:v>0</x:v>
      </x:c>
      <x:c r="S201" s="22" t="n">
        <x:f>IF(T201="Ready",MAX(0,ROUND(I201+M201-Q201,2)),"n.a.")</x:f>
        <x:v>0</x:v>
      </x:c>
      <x:c r="T201" s="22" t="str">
        <x:f>IF(AND(COUNT($I$197:$I$201)=5,COUNT(E201:F201)=2),IF(E201&gt;=F201,"Ready","Budget below minima"),"Check inputs")</x:f>
        <x:v>Ready</x:v>
      </x:c>
      <x:c r="U201" s="22" t="n">
        <x:f>IF(COUNT(I201,M201,N201)=3,MAX(0,ROUND(I201+M201-N201,2)),"n.a.")</x:f>
        <x:v>0</x:v>
      </x:c>
    </x:row>
    <x:row r="202" ht="22" customHeight="1">
      <x:c r="A202" s="2"/>
      <x:c r="B202" s="2"/>
      <x:c r="C202" s="27" t="n">
        <x:f>40</x:f>
        <x:v>40</x:v>
      </x:c>
      <x:c r="D202" s="28" t="n">
        <x:f>IF(ISNUMBER('Inputs'!$D$7),EDATE('Inputs'!$D$7,39),"n.a.")</x:f>
        <x:v>47515</x:v>
      </x:c>
      <x:c r="E202" s="26" t="n">
        <x:f>IF('Inputs'!$D$9&lt;&gt;"Ready","n.a.",IF(ISNUMBER('Inputs'!E58),IF('Inputs'!E58&gt;=0,'Inputs'!E58,"n.a."),IF('Inputs'!E58="",'Inputs'!$D$6,"n.a.")))</x:f>
        <x:v>500</x:v>
      </x:c>
      <x:c r="F202" s="22" t="n">
        <x:f>IF(COUNT($N$202:$N$206)=5,SUM($N$202:$N$206),"n.a.")</x:f>
        <x:v>0</x:v>
      </x:c>
      <x:c r="G202" s="22" t="n">
        <x:f>IF(COUNT(E202:F202)=2,MAX(0,E202-F202),"n.a.")</x:f>
        <x:v>500</x:v>
      </x:c>
      <x:c r="H202" s="26" t="str">
        <x:f>'Inputs'!C11</x:f>
        <x:v>Card A</x:v>
      </x:c>
      <x:c r="I202" s="26" t="n">
        <x:f>S197</x:f>
        <x:v>0</x:v>
      </x:c>
      <x:c r="J202" s="29" t="n">
        <x:f>IF('Inputs'!$D$9="Ready",'Inputs'!E11,"n.a.")</x:f>
        <x:v>0.24</x:v>
      </x:c>
      <x:c r="K202" s="26" t="n">
        <x:f>IF('Inputs'!$D$9="Ready",'Inputs'!F11,"n.a.")</x:f>
        <x:v>35</x:v>
      </x:c>
      <x:c r="L202" s="29" t="n">
        <x:f>IF('Inputs'!$D$9="Ready",'Inputs'!G11,"n.a.")</x:f>
        <x:v>0.02</x:v>
      </x:c>
      <x:c r="M202" s="22" t="n">
        <x:f>IF(COUNT(I202:L202)=4,ROUND(I202*J202/12,2),"n.a.")</x:f>
        <x:v>0</x:v>
      </x:c>
      <x:c r="N202" s="22" t="n">
        <x:f>IF(COUNT(I202:M202)=5,MIN(I202+M202,ROUND(MAX(K202,I202*L202+M202),2)),"n.a.")</x:f>
        <x:v>0</x:v>
      </x:c>
      <x:c r="O202" s="30" t="n">
        <x:f>IF(COUNT($I$202:$I$206)&lt;&gt;5,"n.a.",IF(I202=0,6,IF('Inputs'!$D$5=1,COUNTIFS($I$202:$I$206,"&gt;0",$I$202:$I$206,"&lt;"&amp;I202)+COUNTIFS($I$202:I202,I202),COUNTIFS($I$202:$I$206,"&gt;0",$J$202:$J$206,"&gt;"&amp;J202)+COUNTIFS($I$202:I202,"&gt;0",$J$202:J202,J202))))</x:f>
        <x:v>6</x:v>
      </x:c>
      <x:c r="P202" s="22" t="n">
        <x:f>IF(T202="Ready",MIN(U202,MAX(0,G202-SUMIFS($U$202:$U$206,$O$202:$O$206,"&lt;"&amp;O202))),"n.a.")</x:f>
        <x:v>0</x:v>
      </x:c>
      <x:c r="Q202" s="22" t="n">
        <x:f>IF(T202="Ready",ROUND(N202+P202,2),"n.a.")</x:f>
        <x:v>0</x:v>
      </x:c>
      <x:c r="R202" s="22" t="n">
        <x:f>IF(T202="Ready",ROUND(Q202-M202,2),"n.a.")</x:f>
        <x:v>0</x:v>
      </x:c>
      <x:c r="S202" s="22" t="n">
        <x:f>IF(T202="Ready",MAX(0,ROUND(I202+M202-Q202,2)),"n.a.")</x:f>
        <x:v>0</x:v>
      </x:c>
      <x:c r="T202" s="22" t="str">
        <x:f>IF(AND(COUNT($I$202:$I$206)=5,COUNT(E202:F202)=2),IF(E202&gt;=F202,"Ready","Budget below minima"),"Check inputs")</x:f>
        <x:v>Ready</x:v>
      </x:c>
      <x:c r="U202" s="22" t="n">
        <x:f>IF(COUNT(I202,M202,N202)=3,MAX(0,ROUND(I202+M202-N202,2)),"n.a.")</x:f>
        <x:v>0</x:v>
      </x:c>
    </x:row>
    <x:row r="203" ht="22" customHeight="1">
      <x:c r="A203" s="2"/>
      <x:c r="B203" s="2"/>
      <x:c r="C203" s="27" t="n">
        <x:f>40</x:f>
        <x:v>40</x:v>
      </x:c>
      <x:c r="D203" s="28" t="n">
        <x:f>IF(ISNUMBER('Inputs'!$D$7),EDATE('Inputs'!$D$7,39),"n.a.")</x:f>
        <x:v>47515</x:v>
      </x:c>
      <x:c r="E203" s="26" t="n">
        <x:f>IF('Inputs'!$D$9&lt;&gt;"Ready","n.a.",IF(ISNUMBER('Inputs'!E58),IF('Inputs'!E58&gt;=0,'Inputs'!E58,"n.a."),IF('Inputs'!E58="",'Inputs'!$D$6,"n.a.")))</x:f>
        <x:v>500</x:v>
      </x:c>
      <x:c r="F203" s="22" t="n">
        <x:f>IF(COUNT($N$202:$N$206)=5,SUM($N$202:$N$206),"n.a.")</x:f>
        <x:v>0</x:v>
      </x:c>
      <x:c r="G203" s="22" t="n">
        <x:f>IF(COUNT(E203:F203)=2,MAX(0,E203-F203),"n.a.")</x:f>
        <x:v>500</x:v>
      </x:c>
      <x:c r="H203" s="26" t="str">
        <x:f>'Inputs'!C12</x:f>
        <x:v>Card B</x:v>
      </x:c>
      <x:c r="I203" s="26" t="n">
        <x:f>S198</x:f>
        <x:v>0</x:v>
      </x:c>
      <x:c r="J203" s="29" t="n">
        <x:f>IF('Inputs'!$D$9="Ready",'Inputs'!E12,"n.a.")</x:f>
        <x:v>0.18</x:v>
      </x:c>
      <x:c r="K203" s="26" t="n">
        <x:f>IF('Inputs'!$D$9="Ready",'Inputs'!F12,"n.a.")</x:f>
        <x:v>60</x:v>
      </x:c>
      <x:c r="L203" s="29" t="n">
        <x:f>IF('Inputs'!$D$9="Ready",'Inputs'!G12,"n.a.")</x:f>
        <x:v>0.02</x:v>
      </x:c>
      <x:c r="M203" s="22" t="n">
        <x:f>IF(COUNT(I203:L203)=4,ROUND(I203*J203/12,2),"n.a.")</x:f>
        <x:v>0</x:v>
      </x:c>
      <x:c r="N203" s="22" t="n">
        <x:f>IF(COUNT(I203:M203)=5,MIN(I203+M203,ROUND(MAX(K203,I203*L203+M203),2)),"n.a.")</x:f>
        <x:v>0</x:v>
      </x:c>
      <x:c r="O203" s="30" t="n">
        <x:f>IF(COUNT($I$202:$I$206)&lt;&gt;5,"n.a.",IF(I203=0,6,IF('Inputs'!$D$5=1,COUNTIFS($I$202:$I$206,"&gt;0",$I$202:$I$206,"&lt;"&amp;I203)+COUNTIFS($I$202:I203,I203),COUNTIFS($I$202:$I$206,"&gt;0",$J$202:$J$206,"&gt;"&amp;J203)+COUNTIFS($I$202:I203,"&gt;0",$J$202:J203,J203))))</x:f>
        <x:v>6</x:v>
      </x:c>
      <x:c r="P203" s="22" t="n">
        <x:f>IF(T203="Ready",MIN(U203,MAX(0,G203-SUMIFS($U$202:$U$206,$O$202:$O$206,"&lt;"&amp;O203))),"n.a.")</x:f>
        <x:v>0</x:v>
      </x:c>
      <x:c r="Q203" s="22" t="n">
        <x:f>IF(T203="Ready",ROUND(N203+P203,2),"n.a.")</x:f>
        <x:v>0</x:v>
      </x:c>
      <x:c r="R203" s="22" t="n">
        <x:f>IF(T203="Ready",ROUND(Q203-M203,2),"n.a.")</x:f>
        <x:v>0</x:v>
      </x:c>
      <x:c r="S203" s="22" t="n">
        <x:f>IF(T203="Ready",MAX(0,ROUND(I203+M203-Q203,2)),"n.a.")</x:f>
        <x:v>0</x:v>
      </x:c>
      <x:c r="T203" s="22" t="str">
        <x:f>IF(AND(COUNT($I$202:$I$206)=5,COUNT(E203:F203)=2),IF(E203&gt;=F203,"Ready","Budget below minima"),"Check inputs")</x:f>
        <x:v>Ready</x:v>
      </x:c>
      <x:c r="U203" s="22" t="n">
        <x:f>IF(COUNT(I203,M203,N203)=3,MAX(0,ROUND(I203+M203-N203,2)),"n.a.")</x:f>
        <x:v>0</x:v>
      </x:c>
    </x:row>
    <x:row r="204" ht="22" customHeight="1">
      <x:c r="A204" s="2"/>
      <x:c r="B204" s="2"/>
      <x:c r="C204" s="27" t="n">
        <x:f>40</x:f>
        <x:v>40</x:v>
      </x:c>
      <x:c r="D204" s="28" t="n">
        <x:f>IF(ISNUMBER('Inputs'!$D$7),EDATE('Inputs'!$D$7,39),"n.a.")</x:f>
        <x:v>47515</x:v>
      </x:c>
      <x:c r="E204" s="26" t="n">
        <x:f>IF('Inputs'!$D$9&lt;&gt;"Ready","n.a.",IF(ISNUMBER('Inputs'!E58),IF('Inputs'!E58&gt;=0,'Inputs'!E58,"n.a."),IF('Inputs'!E58="",'Inputs'!$D$6,"n.a.")))</x:f>
        <x:v>500</x:v>
      </x:c>
      <x:c r="F204" s="22" t="n">
        <x:f>IF(COUNT($N$202:$N$206)=5,SUM($N$202:$N$206),"n.a.")</x:f>
        <x:v>0</x:v>
      </x:c>
      <x:c r="G204" s="22" t="n">
        <x:f>IF(COUNT(E204:F204)=2,MAX(0,E204-F204),"n.a.")</x:f>
        <x:v>500</x:v>
      </x:c>
      <x:c r="H204" s="26" t="str">
        <x:f>'Inputs'!C13</x:f>
        <x:v>Loan C</x:v>
      </x:c>
      <x:c r="I204" s="26" t="n">
        <x:f>S199</x:f>
        <x:v>0</x:v>
      </x:c>
      <x:c r="J204" s="29" t="n">
        <x:f>IF('Inputs'!$D$9="Ready",'Inputs'!E13,"n.a.")</x:f>
        <x:v>0.08</x:v>
      </x:c>
      <x:c r="K204" s="26" t="n">
        <x:f>IF('Inputs'!$D$9="Ready",'Inputs'!F13,"n.a.")</x:f>
        <x:v>150</x:v>
      </x:c>
      <x:c r="L204" s="29" t="n">
        <x:f>IF('Inputs'!$D$9="Ready",'Inputs'!G13,"n.a.")</x:f>
        <x:v>0</x:v>
      </x:c>
      <x:c r="M204" s="22" t="n">
        <x:f>IF(COUNT(I204:L204)=4,ROUND(I204*J204/12,2),"n.a.")</x:f>
        <x:v>0</x:v>
      </x:c>
      <x:c r="N204" s="22" t="n">
        <x:f>IF(COUNT(I204:M204)=5,MIN(I204+M204,ROUND(MAX(K204,I204*L204+M204),2)),"n.a.")</x:f>
        <x:v>0</x:v>
      </x:c>
      <x:c r="O204" s="30" t="n">
        <x:f>IF(COUNT($I$202:$I$206)&lt;&gt;5,"n.a.",IF(I204=0,6,IF('Inputs'!$D$5=1,COUNTIFS($I$202:$I$206,"&gt;0",$I$202:$I$206,"&lt;"&amp;I204)+COUNTIFS($I$202:I204,I204),COUNTIFS($I$202:$I$206,"&gt;0",$J$202:$J$206,"&gt;"&amp;J204)+COUNTIFS($I$202:I204,"&gt;0",$J$202:J204,J204))))</x:f>
        <x:v>6</x:v>
      </x:c>
      <x:c r="P204" s="22" t="n">
        <x:f>IF(T204="Ready",MIN(U204,MAX(0,G204-SUMIFS($U$202:$U$206,$O$202:$O$206,"&lt;"&amp;O204))),"n.a.")</x:f>
        <x:v>0</x:v>
      </x:c>
      <x:c r="Q204" s="22" t="n">
        <x:f>IF(T204="Ready",ROUND(N204+P204,2),"n.a.")</x:f>
        <x:v>0</x:v>
      </x:c>
      <x:c r="R204" s="22" t="n">
        <x:f>IF(T204="Ready",ROUND(Q204-M204,2),"n.a.")</x:f>
        <x:v>0</x:v>
      </x:c>
      <x:c r="S204" s="22" t="n">
        <x:f>IF(T204="Ready",MAX(0,ROUND(I204+M204-Q204,2)),"n.a.")</x:f>
        <x:v>0</x:v>
      </x:c>
      <x:c r="T204" s="22" t="str">
        <x:f>IF(AND(COUNT($I$202:$I$206)=5,COUNT(E204:F204)=2),IF(E204&gt;=F204,"Ready","Budget below minima"),"Check inputs")</x:f>
        <x:v>Ready</x:v>
      </x:c>
      <x:c r="U204" s="22" t="n">
        <x:f>IF(COUNT(I204,M204,N204)=3,MAX(0,ROUND(I204+M204-N204,2)),"n.a.")</x:f>
        <x:v>0</x:v>
      </x:c>
    </x:row>
    <x:row r="205" ht="22" customHeight="1">
      <x:c r="A205" s="2"/>
      <x:c r="B205" s="2"/>
      <x:c r="C205" s="27" t="n">
        <x:f>40</x:f>
        <x:v>40</x:v>
      </x:c>
      <x:c r="D205" s="28" t="n">
        <x:f>IF(ISNUMBER('Inputs'!$D$7),EDATE('Inputs'!$D$7,39),"n.a.")</x:f>
        <x:v>47515</x:v>
      </x:c>
      <x:c r="E205" s="26" t="n">
        <x:f>IF('Inputs'!$D$9&lt;&gt;"Ready","n.a.",IF(ISNUMBER('Inputs'!E58),IF('Inputs'!E58&gt;=0,'Inputs'!E58,"n.a."),IF('Inputs'!E58="",'Inputs'!$D$6,"n.a.")))</x:f>
        <x:v>500</x:v>
      </x:c>
      <x:c r="F205" s="22" t="n">
        <x:f>IF(COUNT($N$202:$N$206)=5,SUM($N$202:$N$206),"n.a.")</x:f>
        <x:v>0</x:v>
      </x:c>
      <x:c r="G205" s="22" t="n">
        <x:f>IF(COUNT(E205:F205)=2,MAX(0,E205-F205),"n.a.")</x:f>
        <x:v>500</x:v>
      </x:c>
      <x:c r="H205" s="26" t="str">
        <x:f>'Inputs'!C14</x:f>
        <x:v>Unused 4</x:v>
      </x:c>
      <x:c r="I205" s="26" t="n">
        <x:f>S200</x:f>
        <x:v>0</x:v>
      </x:c>
      <x:c r="J205" s="29" t="n">
        <x:f>IF('Inputs'!$D$9="Ready",'Inputs'!E14,"n.a.")</x:f>
        <x:v>0</x:v>
      </x:c>
      <x:c r="K205" s="26" t="n">
        <x:f>IF('Inputs'!$D$9="Ready",'Inputs'!F14,"n.a.")</x:f>
        <x:v>0</x:v>
      </x:c>
      <x:c r="L205" s="29" t="n">
        <x:f>IF('Inputs'!$D$9="Ready",'Inputs'!G14,"n.a.")</x:f>
        <x:v>0</x:v>
      </x:c>
      <x:c r="M205" s="22" t="n">
        <x:f>IF(COUNT(I205:L205)=4,ROUND(I205*J205/12,2),"n.a.")</x:f>
        <x:v>0</x:v>
      </x:c>
      <x:c r="N205" s="22" t="n">
        <x:f>IF(COUNT(I205:M205)=5,MIN(I205+M205,ROUND(MAX(K205,I205*L205+M205),2)),"n.a.")</x:f>
        <x:v>0</x:v>
      </x:c>
      <x:c r="O205" s="30" t="n">
        <x:f>IF(COUNT($I$202:$I$206)&lt;&gt;5,"n.a.",IF(I205=0,6,IF('Inputs'!$D$5=1,COUNTIFS($I$202:$I$206,"&gt;0",$I$202:$I$206,"&lt;"&amp;I205)+COUNTIFS($I$202:I205,I205),COUNTIFS($I$202:$I$206,"&gt;0",$J$202:$J$206,"&gt;"&amp;J205)+COUNTIFS($I$202:I205,"&gt;0",$J$202:J205,J205))))</x:f>
        <x:v>6</x:v>
      </x:c>
      <x:c r="P205" s="22" t="n">
        <x:f>IF(T205="Ready",MIN(U205,MAX(0,G205-SUMIFS($U$202:$U$206,$O$202:$O$206,"&lt;"&amp;O205))),"n.a.")</x:f>
        <x:v>0</x:v>
      </x:c>
      <x:c r="Q205" s="22" t="n">
        <x:f>IF(T205="Ready",ROUND(N205+P205,2),"n.a.")</x:f>
        <x:v>0</x:v>
      </x:c>
      <x:c r="R205" s="22" t="n">
        <x:f>IF(T205="Ready",ROUND(Q205-M205,2),"n.a.")</x:f>
        <x:v>0</x:v>
      </x:c>
      <x:c r="S205" s="22" t="n">
        <x:f>IF(T205="Ready",MAX(0,ROUND(I205+M205-Q205,2)),"n.a.")</x:f>
        <x:v>0</x:v>
      </x:c>
      <x:c r="T205" s="22" t="str">
        <x:f>IF(AND(COUNT($I$202:$I$206)=5,COUNT(E205:F205)=2),IF(E205&gt;=F205,"Ready","Budget below minima"),"Check inputs")</x:f>
        <x:v>Ready</x:v>
      </x:c>
      <x:c r="U205" s="22" t="n">
        <x:f>IF(COUNT(I205,M205,N205)=3,MAX(0,ROUND(I205+M205-N205,2)),"n.a.")</x:f>
        <x:v>0</x:v>
      </x:c>
    </x:row>
    <x:row r="206" ht="22" customHeight="1">
      <x:c r="A206" s="2"/>
      <x:c r="B206" s="2"/>
      <x:c r="C206" s="27" t="n">
        <x:f>40</x:f>
        <x:v>40</x:v>
      </x:c>
      <x:c r="D206" s="28" t="n">
        <x:f>IF(ISNUMBER('Inputs'!$D$7),EDATE('Inputs'!$D$7,39),"n.a.")</x:f>
        <x:v>47515</x:v>
      </x:c>
      <x:c r="E206" s="26" t="n">
        <x:f>IF('Inputs'!$D$9&lt;&gt;"Ready","n.a.",IF(ISNUMBER('Inputs'!E58),IF('Inputs'!E58&gt;=0,'Inputs'!E58,"n.a."),IF('Inputs'!E58="",'Inputs'!$D$6,"n.a.")))</x:f>
        <x:v>500</x:v>
      </x:c>
      <x:c r="F206" s="22" t="n">
        <x:f>IF(COUNT($N$202:$N$206)=5,SUM($N$202:$N$206),"n.a.")</x:f>
        <x:v>0</x:v>
      </x:c>
      <x:c r="G206" s="22" t="n">
        <x:f>IF(COUNT(E206:F206)=2,MAX(0,E206-F206),"n.a.")</x:f>
        <x:v>500</x:v>
      </x:c>
      <x:c r="H206" s="26" t="str">
        <x:f>'Inputs'!C15</x:f>
        <x:v>Unused 5</x:v>
      </x:c>
      <x:c r="I206" s="26" t="n">
        <x:f>S201</x:f>
        <x:v>0</x:v>
      </x:c>
      <x:c r="J206" s="29" t="n">
        <x:f>IF('Inputs'!$D$9="Ready",'Inputs'!E15,"n.a.")</x:f>
        <x:v>0</x:v>
      </x:c>
      <x:c r="K206" s="26" t="n">
        <x:f>IF('Inputs'!$D$9="Ready",'Inputs'!F15,"n.a.")</x:f>
        <x:v>0</x:v>
      </x:c>
      <x:c r="L206" s="29" t="n">
        <x:f>IF('Inputs'!$D$9="Ready",'Inputs'!G15,"n.a.")</x:f>
        <x:v>0</x:v>
      </x:c>
      <x:c r="M206" s="22" t="n">
        <x:f>IF(COUNT(I206:L206)=4,ROUND(I206*J206/12,2),"n.a.")</x:f>
        <x:v>0</x:v>
      </x:c>
      <x:c r="N206" s="22" t="n">
        <x:f>IF(COUNT(I206:M206)=5,MIN(I206+M206,ROUND(MAX(K206,I206*L206+M206),2)),"n.a.")</x:f>
        <x:v>0</x:v>
      </x:c>
      <x:c r="O206" s="30" t="n">
        <x:f>IF(COUNT($I$202:$I$206)&lt;&gt;5,"n.a.",IF(I206=0,6,IF('Inputs'!$D$5=1,COUNTIFS($I$202:$I$206,"&gt;0",$I$202:$I$206,"&lt;"&amp;I206)+COUNTIFS($I$202:I206,I206),COUNTIFS($I$202:$I$206,"&gt;0",$J$202:$J$206,"&gt;"&amp;J206)+COUNTIFS($I$202:I206,"&gt;0",$J$202:J206,J206))))</x:f>
        <x:v>6</x:v>
      </x:c>
      <x:c r="P206" s="22" t="n">
        <x:f>IF(T206="Ready",MIN(U206,MAX(0,G206-SUMIFS($U$202:$U$206,$O$202:$O$206,"&lt;"&amp;O206))),"n.a.")</x:f>
        <x:v>0</x:v>
      </x:c>
      <x:c r="Q206" s="22" t="n">
        <x:f>IF(T206="Ready",ROUND(N206+P206,2),"n.a.")</x:f>
        <x:v>0</x:v>
      </x:c>
      <x:c r="R206" s="22" t="n">
        <x:f>IF(T206="Ready",ROUND(Q206-M206,2),"n.a.")</x:f>
        <x:v>0</x:v>
      </x:c>
      <x:c r="S206" s="22" t="n">
        <x:f>IF(T206="Ready",MAX(0,ROUND(I206+M206-Q206,2)),"n.a.")</x:f>
        <x:v>0</x:v>
      </x:c>
      <x:c r="T206" s="22" t="str">
        <x:f>IF(AND(COUNT($I$202:$I$206)=5,COUNT(E206:F206)=2),IF(E206&gt;=F206,"Ready","Budget below minima"),"Check inputs")</x:f>
        <x:v>Ready</x:v>
      </x:c>
      <x:c r="U206" s="22" t="n">
        <x:f>IF(COUNT(I206,M206,N206)=3,MAX(0,ROUND(I206+M206-N206,2)),"n.a.")</x:f>
        <x:v>0</x:v>
      </x:c>
    </x:row>
    <x:row r="207" ht="22" customHeight="1">
      <x:c r="A207" s="2"/>
      <x:c r="B207" s="2"/>
      <x:c r="C207" s="27" t="n">
        <x:f>41</x:f>
        <x:v>41</x:v>
      </x:c>
      <x:c r="D207" s="28" t="n">
        <x:f>IF(ISNUMBER('Inputs'!$D$7),EDATE('Inputs'!$D$7,40),"n.a.")</x:f>
        <x:v>47543</x:v>
      </x:c>
      <x:c r="E207" s="26" t="n">
        <x:f>IF('Inputs'!$D$9&lt;&gt;"Ready","n.a.",IF(ISNUMBER('Inputs'!E59),IF('Inputs'!E59&gt;=0,'Inputs'!E59,"n.a."),IF('Inputs'!E59="",'Inputs'!$D$6,"n.a.")))</x:f>
        <x:v>500</x:v>
      </x:c>
      <x:c r="F207" s="22" t="n">
        <x:f>IF(COUNT($N$207:$N$211)=5,SUM($N$207:$N$211),"n.a.")</x:f>
        <x:v>0</x:v>
      </x:c>
      <x:c r="G207" s="22" t="n">
        <x:f>IF(COUNT(E207:F207)=2,MAX(0,E207-F207),"n.a.")</x:f>
        <x:v>500</x:v>
      </x:c>
      <x:c r="H207" s="26" t="str">
        <x:f>'Inputs'!C11</x:f>
        <x:v>Card A</x:v>
      </x:c>
      <x:c r="I207" s="26" t="n">
        <x:f>S202</x:f>
        <x:v>0</x:v>
      </x:c>
      <x:c r="J207" s="29" t="n">
        <x:f>IF('Inputs'!$D$9="Ready",'Inputs'!E11,"n.a.")</x:f>
        <x:v>0.24</x:v>
      </x:c>
      <x:c r="K207" s="26" t="n">
        <x:f>IF('Inputs'!$D$9="Ready",'Inputs'!F11,"n.a.")</x:f>
        <x:v>35</x:v>
      </x:c>
      <x:c r="L207" s="29" t="n">
        <x:f>IF('Inputs'!$D$9="Ready",'Inputs'!G11,"n.a.")</x:f>
        <x:v>0.02</x:v>
      </x:c>
      <x:c r="M207" s="22" t="n">
        <x:f>IF(COUNT(I207:L207)=4,ROUND(I207*J207/12,2),"n.a.")</x:f>
        <x:v>0</x:v>
      </x:c>
      <x:c r="N207" s="22" t="n">
        <x:f>IF(COUNT(I207:M207)=5,MIN(I207+M207,ROUND(MAX(K207,I207*L207+M207),2)),"n.a.")</x:f>
        <x:v>0</x:v>
      </x:c>
      <x:c r="O207" s="30" t="n">
        <x:f>IF(COUNT($I$207:$I$211)&lt;&gt;5,"n.a.",IF(I207=0,6,IF('Inputs'!$D$5=1,COUNTIFS($I$207:$I$211,"&gt;0",$I$207:$I$211,"&lt;"&amp;I207)+COUNTIFS($I$207:I207,I207),COUNTIFS($I$207:$I$211,"&gt;0",$J$207:$J$211,"&gt;"&amp;J207)+COUNTIFS($I$207:I207,"&gt;0",$J$207:J207,J207))))</x:f>
        <x:v>6</x:v>
      </x:c>
      <x:c r="P207" s="22" t="n">
        <x:f>IF(T207="Ready",MIN(U207,MAX(0,G207-SUMIFS($U$207:$U$211,$O$207:$O$211,"&lt;"&amp;O207))),"n.a.")</x:f>
        <x:v>0</x:v>
      </x:c>
      <x:c r="Q207" s="22" t="n">
        <x:f>IF(T207="Ready",ROUND(N207+P207,2),"n.a.")</x:f>
        <x:v>0</x:v>
      </x:c>
      <x:c r="R207" s="22" t="n">
        <x:f>IF(T207="Ready",ROUND(Q207-M207,2),"n.a.")</x:f>
        <x:v>0</x:v>
      </x:c>
      <x:c r="S207" s="22" t="n">
        <x:f>IF(T207="Ready",MAX(0,ROUND(I207+M207-Q207,2)),"n.a.")</x:f>
        <x:v>0</x:v>
      </x:c>
      <x:c r="T207" s="22" t="str">
        <x:f>IF(AND(COUNT($I$207:$I$211)=5,COUNT(E207:F207)=2),IF(E207&gt;=F207,"Ready","Budget below minima"),"Check inputs")</x:f>
        <x:v>Ready</x:v>
      </x:c>
      <x:c r="U207" s="22" t="n">
        <x:f>IF(COUNT(I207,M207,N207)=3,MAX(0,ROUND(I207+M207-N207,2)),"n.a.")</x:f>
        <x:v>0</x:v>
      </x:c>
    </x:row>
    <x:row r="208" ht="22" customHeight="1">
      <x:c r="A208" s="2"/>
      <x:c r="B208" s="2"/>
      <x:c r="C208" s="27" t="n">
        <x:f>41</x:f>
        <x:v>41</x:v>
      </x:c>
      <x:c r="D208" s="28" t="n">
        <x:f>IF(ISNUMBER('Inputs'!$D$7),EDATE('Inputs'!$D$7,40),"n.a.")</x:f>
        <x:v>47543</x:v>
      </x:c>
      <x:c r="E208" s="26" t="n">
        <x:f>IF('Inputs'!$D$9&lt;&gt;"Ready","n.a.",IF(ISNUMBER('Inputs'!E59),IF('Inputs'!E59&gt;=0,'Inputs'!E59,"n.a."),IF('Inputs'!E59="",'Inputs'!$D$6,"n.a.")))</x:f>
        <x:v>500</x:v>
      </x:c>
      <x:c r="F208" s="22" t="n">
        <x:f>IF(COUNT($N$207:$N$211)=5,SUM($N$207:$N$211),"n.a.")</x:f>
        <x:v>0</x:v>
      </x:c>
      <x:c r="G208" s="22" t="n">
        <x:f>IF(COUNT(E208:F208)=2,MAX(0,E208-F208),"n.a.")</x:f>
        <x:v>500</x:v>
      </x:c>
      <x:c r="H208" s="26" t="str">
        <x:f>'Inputs'!C12</x:f>
        <x:v>Card B</x:v>
      </x:c>
      <x:c r="I208" s="26" t="n">
        <x:f>S203</x:f>
        <x:v>0</x:v>
      </x:c>
      <x:c r="J208" s="29" t="n">
        <x:f>IF('Inputs'!$D$9="Ready",'Inputs'!E12,"n.a.")</x:f>
        <x:v>0.18</x:v>
      </x:c>
      <x:c r="K208" s="26" t="n">
        <x:f>IF('Inputs'!$D$9="Ready",'Inputs'!F12,"n.a.")</x:f>
        <x:v>60</x:v>
      </x:c>
      <x:c r="L208" s="29" t="n">
        <x:f>IF('Inputs'!$D$9="Ready",'Inputs'!G12,"n.a.")</x:f>
        <x:v>0.02</x:v>
      </x:c>
      <x:c r="M208" s="22" t="n">
        <x:f>IF(COUNT(I208:L208)=4,ROUND(I208*J208/12,2),"n.a.")</x:f>
        <x:v>0</x:v>
      </x:c>
      <x:c r="N208" s="22" t="n">
        <x:f>IF(COUNT(I208:M208)=5,MIN(I208+M208,ROUND(MAX(K208,I208*L208+M208),2)),"n.a.")</x:f>
        <x:v>0</x:v>
      </x:c>
      <x:c r="O208" s="30" t="n">
        <x:f>IF(COUNT($I$207:$I$211)&lt;&gt;5,"n.a.",IF(I208=0,6,IF('Inputs'!$D$5=1,COUNTIFS($I$207:$I$211,"&gt;0",$I$207:$I$211,"&lt;"&amp;I208)+COUNTIFS($I$207:I208,I208),COUNTIFS($I$207:$I$211,"&gt;0",$J$207:$J$211,"&gt;"&amp;J208)+COUNTIFS($I$207:I208,"&gt;0",$J$207:J208,J208))))</x:f>
        <x:v>6</x:v>
      </x:c>
      <x:c r="P208" s="22" t="n">
        <x:f>IF(T208="Ready",MIN(U208,MAX(0,G208-SUMIFS($U$207:$U$211,$O$207:$O$211,"&lt;"&amp;O208))),"n.a.")</x:f>
        <x:v>0</x:v>
      </x:c>
      <x:c r="Q208" s="22" t="n">
        <x:f>IF(T208="Ready",ROUND(N208+P208,2),"n.a.")</x:f>
        <x:v>0</x:v>
      </x:c>
      <x:c r="R208" s="22" t="n">
        <x:f>IF(T208="Ready",ROUND(Q208-M208,2),"n.a.")</x:f>
        <x:v>0</x:v>
      </x:c>
      <x:c r="S208" s="22" t="n">
        <x:f>IF(T208="Ready",MAX(0,ROUND(I208+M208-Q208,2)),"n.a.")</x:f>
        <x:v>0</x:v>
      </x:c>
      <x:c r="T208" s="22" t="str">
        <x:f>IF(AND(COUNT($I$207:$I$211)=5,COUNT(E208:F208)=2),IF(E208&gt;=F208,"Ready","Budget below minima"),"Check inputs")</x:f>
        <x:v>Ready</x:v>
      </x:c>
      <x:c r="U208" s="22" t="n">
        <x:f>IF(COUNT(I208,M208,N208)=3,MAX(0,ROUND(I208+M208-N208,2)),"n.a.")</x:f>
        <x:v>0</x:v>
      </x:c>
    </x:row>
    <x:row r="209" ht="22" customHeight="1">
      <x:c r="A209" s="2"/>
      <x:c r="B209" s="2"/>
      <x:c r="C209" s="27" t="n">
        <x:f>41</x:f>
        <x:v>41</x:v>
      </x:c>
      <x:c r="D209" s="28" t="n">
        <x:f>IF(ISNUMBER('Inputs'!$D$7),EDATE('Inputs'!$D$7,40),"n.a.")</x:f>
        <x:v>47543</x:v>
      </x:c>
      <x:c r="E209" s="26" t="n">
        <x:f>IF('Inputs'!$D$9&lt;&gt;"Ready","n.a.",IF(ISNUMBER('Inputs'!E59),IF('Inputs'!E59&gt;=0,'Inputs'!E59,"n.a."),IF('Inputs'!E59="",'Inputs'!$D$6,"n.a.")))</x:f>
        <x:v>500</x:v>
      </x:c>
      <x:c r="F209" s="22" t="n">
        <x:f>IF(COUNT($N$207:$N$211)=5,SUM($N$207:$N$211),"n.a.")</x:f>
        <x:v>0</x:v>
      </x:c>
      <x:c r="G209" s="22" t="n">
        <x:f>IF(COUNT(E209:F209)=2,MAX(0,E209-F209),"n.a.")</x:f>
        <x:v>500</x:v>
      </x:c>
      <x:c r="H209" s="26" t="str">
        <x:f>'Inputs'!C13</x:f>
        <x:v>Loan C</x:v>
      </x:c>
      <x:c r="I209" s="26" t="n">
        <x:f>S204</x:f>
        <x:v>0</x:v>
      </x:c>
      <x:c r="J209" s="29" t="n">
        <x:f>IF('Inputs'!$D$9="Ready",'Inputs'!E13,"n.a.")</x:f>
        <x:v>0.08</x:v>
      </x:c>
      <x:c r="K209" s="26" t="n">
        <x:f>IF('Inputs'!$D$9="Ready",'Inputs'!F13,"n.a.")</x:f>
        <x:v>150</x:v>
      </x:c>
      <x:c r="L209" s="29" t="n">
        <x:f>IF('Inputs'!$D$9="Ready",'Inputs'!G13,"n.a.")</x:f>
        <x:v>0</x:v>
      </x:c>
      <x:c r="M209" s="22" t="n">
        <x:f>IF(COUNT(I209:L209)=4,ROUND(I209*J209/12,2),"n.a.")</x:f>
        <x:v>0</x:v>
      </x:c>
      <x:c r="N209" s="22" t="n">
        <x:f>IF(COUNT(I209:M209)=5,MIN(I209+M209,ROUND(MAX(K209,I209*L209+M209),2)),"n.a.")</x:f>
        <x:v>0</x:v>
      </x:c>
      <x:c r="O209" s="30" t="n">
        <x:f>IF(COUNT($I$207:$I$211)&lt;&gt;5,"n.a.",IF(I209=0,6,IF('Inputs'!$D$5=1,COUNTIFS($I$207:$I$211,"&gt;0",$I$207:$I$211,"&lt;"&amp;I209)+COUNTIFS($I$207:I209,I209),COUNTIFS($I$207:$I$211,"&gt;0",$J$207:$J$211,"&gt;"&amp;J209)+COUNTIFS($I$207:I209,"&gt;0",$J$207:J209,J209))))</x:f>
        <x:v>6</x:v>
      </x:c>
      <x:c r="P209" s="22" t="n">
        <x:f>IF(T209="Ready",MIN(U209,MAX(0,G209-SUMIFS($U$207:$U$211,$O$207:$O$211,"&lt;"&amp;O209))),"n.a.")</x:f>
        <x:v>0</x:v>
      </x:c>
      <x:c r="Q209" s="22" t="n">
        <x:f>IF(T209="Ready",ROUND(N209+P209,2),"n.a.")</x:f>
        <x:v>0</x:v>
      </x:c>
      <x:c r="R209" s="22" t="n">
        <x:f>IF(T209="Ready",ROUND(Q209-M209,2),"n.a.")</x:f>
        <x:v>0</x:v>
      </x:c>
      <x:c r="S209" s="22" t="n">
        <x:f>IF(T209="Ready",MAX(0,ROUND(I209+M209-Q209,2)),"n.a.")</x:f>
        <x:v>0</x:v>
      </x:c>
      <x:c r="T209" s="22" t="str">
        <x:f>IF(AND(COUNT($I$207:$I$211)=5,COUNT(E209:F209)=2),IF(E209&gt;=F209,"Ready","Budget below minima"),"Check inputs")</x:f>
        <x:v>Ready</x:v>
      </x:c>
      <x:c r="U209" s="22" t="n">
        <x:f>IF(COUNT(I209,M209,N209)=3,MAX(0,ROUND(I209+M209-N209,2)),"n.a.")</x:f>
        <x:v>0</x:v>
      </x:c>
    </x:row>
    <x:row r="210" ht="22" customHeight="1">
      <x:c r="A210" s="2"/>
      <x:c r="B210" s="2"/>
      <x:c r="C210" s="27" t="n">
        <x:f>41</x:f>
        <x:v>41</x:v>
      </x:c>
      <x:c r="D210" s="28" t="n">
        <x:f>IF(ISNUMBER('Inputs'!$D$7),EDATE('Inputs'!$D$7,40),"n.a.")</x:f>
        <x:v>47543</x:v>
      </x:c>
      <x:c r="E210" s="26" t="n">
        <x:f>IF('Inputs'!$D$9&lt;&gt;"Ready","n.a.",IF(ISNUMBER('Inputs'!E59),IF('Inputs'!E59&gt;=0,'Inputs'!E59,"n.a."),IF('Inputs'!E59="",'Inputs'!$D$6,"n.a.")))</x:f>
        <x:v>500</x:v>
      </x:c>
      <x:c r="F210" s="22" t="n">
        <x:f>IF(COUNT($N$207:$N$211)=5,SUM($N$207:$N$211),"n.a.")</x:f>
        <x:v>0</x:v>
      </x:c>
      <x:c r="G210" s="22" t="n">
        <x:f>IF(COUNT(E210:F210)=2,MAX(0,E210-F210),"n.a.")</x:f>
        <x:v>500</x:v>
      </x:c>
      <x:c r="H210" s="26" t="str">
        <x:f>'Inputs'!C14</x:f>
        <x:v>Unused 4</x:v>
      </x:c>
      <x:c r="I210" s="26" t="n">
        <x:f>S205</x:f>
        <x:v>0</x:v>
      </x:c>
      <x:c r="J210" s="29" t="n">
        <x:f>IF('Inputs'!$D$9="Ready",'Inputs'!E14,"n.a.")</x:f>
        <x:v>0</x:v>
      </x:c>
      <x:c r="K210" s="26" t="n">
        <x:f>IF('Inputs'!$D$9="Ready",'Inputs'!F14,"n.a.")</x:f>
        <x:v>0</x:v>
      </x:c>
      <x:c r="L210" s="29" t="n">
        <x:f>IF('Inputs'!$D$9="Ready",'Inputs'!G14,"n.a.")</x:f>
        <x:v>0</x:v>
      </x:c>
      <x:c r="M210" s="22" t="n">
        <x:f>IF(COUNT(I210:L210)=4,ROUND(I210*J210/12,2),"n.a.")</x:f>
        <x:v>0</x:v>
      </x:c>
      <x:c r="N210" s="22" t="n">
        <x:f>IF(COUNT(I210:M210)=5,MIN(I210+M210,ROUND(MAX(K210,I210*L210+M210),2)),"n.a.")</x:f>
        <x:v>0</x:v>
      </x:c>
      <x:c r="O210" s="30" t="n">
        <x:f>IF(COUNT($I$207:$I$211)&lt;&gt;5,"n.a.",IF(I210=0,6,IF('Inputs'!$D$5=1,COUNTIFS($I$207:$I$211,"&gt;0",$I$207:$I$211,"&lt;"&amp;I210)+COUNTIFS($I$207:I210,I210),COUNTIFS($I$207:$I$211,"&gt;0",$J$207:$J$211,"&gt;"&amp;J210)+COUNTIFS($I$207:I210,"&gt;0",$J$207:J210,J210))))</x:f>
        <x:v>6</x:v>
      </x:c>
      <x:c r="P210" s="22" t="n">
        <x:f>IF(T210="Ready",MIN(U210,MAX(0,G210-SUMIFS($U$207:$U$211,$O$207:$O$211,"&lt;"&amp;O210))),"n.a.")</x:f>
        <x:v>0</x:v>
      </x:c>
      <x:c r="Q210" s="22" t="n">
        <x:f>IF(T210="Ready",ROUND(N210+P210,2),"n.a.")</x:f>
        <x:v>0</x:v>
      </x:c>
      <x:c r="R210" s="22" t="n">
        <x:f>IF(T210="Ready",ROUND(Q210-M210,2),"n.a.")</x:f>
        <x:v>0</x:v>
      </x:c>
      <x:c r="S210" s="22" t="n">
        <x:f>IF(T210="Ready",MAX(0,ROUND(I210+M210-Q210,2)),"n.a.")</x:f>
        <x:v>0</x:v>
      </x:c>
      <x:c r="T210" s="22" t="str">
        <x:f>IF(AND(COUNT($I$207:$I$211)=5,COUNT(E210:F210)=2),IF(E210&gt;=F210,"Ready","Budget below minima"),"Check inputs")</x:f>
        <x:v>Ready</x:v>
      </x:c>
      <x:c r="U210" s="22" t="n">
        <x:f>IF(COUNT(I210,M210,N210)=3,MAX(0,ROUND(I210+M210-N210,2)),"n.a.")</x:f>
        <x:v>0</x:v>
      </x:c>
    </x:row>
    <x:row r="211" ht="22" customHeight="1">
      <x:c r="A211" s="2"/>
      <x:c r="B211" s="2"/>
      <x:c r="C211" s="27" t="n">
        <x:f>41</x:f>
        <x:v>41</x:v>
      </x:c>
      <x:c r="D211" s="28" t="n">
        <x:f>IF(ISNUMBER('Inputs'!$D$7),EDATE('Inputs'!$D$7,40),"n.a.")</x:f>
        <x:v>47543</x:v>
      </x:c>
      <x:c r="E211" s="26" t="n">
        <x:f>IF('Inputs'!$D$9&lt;&gt;"Ready","n.a.",IF(ISNUMBER('Inputs'!E59),IF('Inputs'!E59&gt;=0,'Inputs'!E59,"n.a."),IF('Inputs'!E59="",'Inputs'!$D$6,"n.a.")))</x:f>
        <x:v>500</x:v>
      </x:c>
      <x:c r="F211" s="22" t="n">
        <x:f>IF(COUNT($N$207:$N$211)=5,SUM($N$207:$N$211),"n.a.")</x:f>
        <x:v>0</x:v>
      </x:c>
      <x:c r="G211" s="22" t="n">
        <x:f>IF(COUNT(E211:F211)=2,MAX(0,E211-F211),"n.a.")</x:f>
        <x:v>500</x:v>
      </x:c>
      <x:c r="H211" s="26" t="str">
        <x:f>'Inputs'!C15</x:f>
        <x:v>Unused 5</x:v>
      </x:c>
      <x:c r="I211" s="26" t="n">
        <x:f>S206</x:f>
        <x:v>0</x:v>
      </x:c>
      <x:c r="J211" s="29" t="n">
        <x:f>IF('Inputs'!$D$9="Ready",'Inputs'!E15,"n.a.")</x:f>
        <x:v>0</x:v>
      </x:c>
      <x:c r="K211" s="26" t="n">
        <x:f>IF('Inputs'!$D$9="Ready",'Inputs'!F15,"n.a.")</x:f>
        <x:v>0</x:v>
      </x:c>
      <x:c r="L211" s="29" t="n">
        <x:f>IF('Inputs'!$D$9="Ready",'Inputs'!G15,"n.a.")</x:f>
        <x:v>0</x:v>
      </x:c>
      <x:c r="M211" s="22" t="n">
        <x:f>IF(COUNT(I211:L211)=4,ROUND(I211*J211/12,2),"n.a.")</x:f>
        <x:v>0</x:v>
      </x:c>
      <x:c r="N211" s="22" t="n">
        <x:f>IF(COUNT(I211:M211)=5,MIN(I211+M211,ROUND(MAX(K211,I211*L211+M211),2)),"n.a.")</x:f>
        <x:v>0</x:v>
      </x:c>
      <x:c r="O211" s="30" t="n">
        <x:f>IF(COUNT($I$207:$I$211)&lt;&gt;5,"n.a.",IF(I211=0,6,IF('Inputs'!$D$5=1,COUNTIFS($I$207:$I$211,"&gt;0",$I$207:$I$211,"&lt;"&amp;I211)+COUNTIFS($I$207:I211,I211),COUNTIFS($I$207:$I$211,"&gt;0",$J$207:$J$211,"&gt;"&amp;J211)+COUNTIFS($I$207:I211,"&gt;0",$J$207:J211,J211))))</x:f>
        <x:v>6</x:v>
      </x:c>
      <x:c r="P211" s="22" t="n">
        <x:f>IF(T211="Ready",MIN(U211,MAX(0,G211-SUMIFS($U$207:$U$211,$O$207:$O$211,"&lt;"&amp;O211))),"n.a.")</x:f>
        <x:v>0</x:v>
      </x:c>
      <x:c r="Q211" s="22" t="n">
        <x:f>IF(T211="Ready",ROUND(N211+P211,2),"n.a.")</x:f>
        <x:v>0</x:v>
      </x:c>
      <x:c r="R211" s="22" t="n">
        <x:f>IF(T211="Ready",ROUND(Q211-M211,2),"n.a.")</x:f>
        <x:v>0</x:v>
      </x:c>
      <x:c r="S211" s="22" t="n">
        <x:f>IF(T211="Ready",MAX(0,ROUND(I211+M211-Q211,2)),"n.a.")</x:f>
        <x:v>0</x:v>
      </x:c>
      <x:c r="T211" s="22" t="str">
        <x:f>IF(AND(COUNT($I$207:$I$211)=5,COUNT(E211:F211)=2),IF(E211&gt;=F211,"Ready","Budget below minima"),"Check inputs")</x:f>
        <x:v>Ready</x:v>
      </x:c>
      <x:c r="U211" s="22" t="n">
        <x:f>IF(COUNT(I211,M211,N211)=3,MAX(0,ROUND(I211+M211-N211,2)),"n.a.")</x:f>
        <x:v>0</x:v>
      </x:c>
    </x:row>
    <x:row r="212" ht="22" customHeight="1">
      <x:c r="A212" s="2"/>
      <x:c r="B212" s="2"/>
      <x:c r="C212" s="27" t="n">
        <x:f>42</x:f>
        <x:v>42</x:v>
      </x:c>
      <x:c r="D212" s="28" t="n">
        <x:f>IF(ISNUMBER('Inputs'!$D$7),EDATE('Inputs'!$D$7,41),"n.a.")</x:f>
        <x:v>47574</x:v>
      </x:c>
      <x:c r="E212" s="26" t="n">
        <x:f>IF('Inputs'!$D$9&lt;&gt;"Ready","n.a.",IF(ISNUMBER('Inputs'!E60),IF('Inputs'!E60&gt;=0,'Inputs'!E60,"n.a."),IF('Inputs'!E60="",'Inputs'!$D$6,"n.a.")))</x:f>
        <x:v>500</x:v>
      </x:c>
      <x:c r="F212" s="22" t="n">
        <x:f>IF(COUNT($N$212:$N$216)=5,SUM($N$212:$N$216),"n.a.")</x:f>
        <x:v>0</x:v>
      </x:c>
      <x:c r="G212" s="22" t="n">
        <x:f>IF(COUNT(E212:F212)=2,MAX(0,E212-F212),"n.a.")</x:f>
        <x:v>500</x:v>
      </x:c>
      <x:c r="H212" s="26" t="str">
        <x:f>'Inputs'!C11</x:f>
        <x:v>Card A</x:v>
      </x:c>
      <x:c r="I212" s="26" t="n">
        <x:f>S207</x:f>
        <x:v>0</x:v>
      </x:c>
      <x:c r="J212" s="29" t="n">
        <x:f>IF('Inputs'!$D$9="Ready",'Inputs'!E11,"n.a.")</x:f>
        <x:v>0.24</x:v>
      </x:c>
      <x:c r="K212" s="26" t="n">
        <x:f>IF('Inputs'!$D$9="Ready",'Inputs'!F11,"n.a.")</x:f>
        <x:v>35</x:v>
      </x:c>
      <x:c r="L212" s="29" t="n">
        <x:f>IF('Inputs'!$D$9="Ready",'Inputs'!G11,"n.a.")</x:f>
        <x:v>0.02</x:v>
      </x:c>
      <x:c r="M212" s="22" t="n">
        <x:f>IF(COUNT(I212:L212)=4,ROUND(I212*J212/12,2),"n.a.")</x:f>
        <x:v>0</x:v>
      </x:c>
      <x:c r="N212" s="22" t="n">
        <x:f>IF(COUNT(I212:M212)=5,MIN(I212+M212,ROUND(MAX(K212,I212*L212+M212),2)),"n.a.")</x:f>
        <x:v>0</x:v>
      </x:c>
      <x:c r="O212" s="30" t="n">
        <x:f>IF(COUNT($I$212:$I$216)&lt;&gt;5,"n.a.",IF(I212=0,6,IF('Inputs'!$D$5=1,COUNTIFS($I$212:$I$216,"&gt;0",$I$212:$I$216,"&lt;"&amp;I212)+COUNTIFS($I$212:I212,I212),COUNTIFS($I$212:$I$216,"&gt;0",$J$212:$J$216,"&gt;"&amp;J212)+COUNTIFS($I$212:I212,"&gt;0",$J$212:J212,J212))))</x:f>
        <x:v>6</x:v>
      </x:c>
      <x:c r="P212" s="22" t="n">
        <x:f>IF(T212="Ready",MIN(U212,MAX(0,G212-SUMIFS($U$212:$U$216,$O$212:$O$216,"&lt;"&amp;O212))),"n.a.")</x:f>
        <x:v>0</x:v>
      </x:c>
      <x:c r="Q212" s="22" t="n">
        <x:f>IF(T212="Ready",ROUND(N212+P212,2),"n.a.")</x:f>
        <x:v>0</x:v>
      </x:c>
      <x:c r="R212" s="22" t="n">
        <x:f>IF(T212="Ready",ROUND(Q212-M212,2),"n.a.")</x:f>
        <x:v>0</x:v>
      </x:c>
      <x:c r="S212" s="22" t="n">
        <x:f>IF(T212="Ready",MAX(0,ROUND(I212+M212-Q212,2)),"n.a.")</x:f>
        <x:v>0</x:v>
      </x:c>
      <x:c r="T212" s="22" t="str">
        <x:f>IF(AND(COUNT($I$212:$I$216)=5,COUNT(E212:F212)=2),IF(E212&gt;=F212,"Ready","Budget below minima"),"Check inputs")</x:f>
        <x:v>Ready</x:v>
      </x:c>
      <x:c r="U212" s="22" t="n">
        <x:f>IF(COUNT(I212,M212,N212)=3,MAX(0,ROUND(I212+M212-N212,2)),"n.a.")</x:f>
        <x:v>0</x:v>
      </x:c>
    </x:row>
    <x:row r="213" ht="22" customHeight="1">
      <x:c r="A213" s="2"/>
      <x:c r="B213" s="2"/>
      <x:c r="C213" s="27" t="n">
        <x:f>42</x:f>
        <x:v>42</x:v>
      </x:c>
      <x:c r="D213" s="28" t="n">
        <x:f>IF(ISNUMBER('Inputs'!$D$7),EDATE('Inputs'!$D$7,41),"n.a.")</x:f>
        <x:v>47574</x:v>
      </x:c>
      <x:c r="E213" s="26" t="n">
        <x:f>IF('Inputs'!$D$9&lt;&gt;"Ready","n.a.",IF(ISNUMBER('Inputs'!E60),IF('Inputs'!E60&gt;=0,'Inputs'!E60,"n.a."),IF('Inputs'!E60="",'Inputs'!$D$6,"n.a.")))</x:f>
        <x:v>500</x:v>
      </x:c>
      <x:c r="F213" s="22" t="n">
        <x:f>IF(COUNT($N$212:$N$216)=5,SUM($N$212:$N$216),"n.a.")</x:f>
        <x:v>0</x:v>
      </x:c>
      <x:c r="G213" s="22" t="n">
        <x:f>IF(COUNT(E213:F213)=2,MAX(0,E213-F213),"n.a.")</x:f>
        <x:v>500</x:v>
      </x:c>
      <x:c r="H213" s="26" t="str">
        <x:f>'Inputs'!C12</x:f>
        <x:v>Card B</x:v>
      </x:c>
      <x:c r="I213" s="26" t="n">
        <x:f>S208</x:f>
        <x:v>0</x:v>
      </x:c>
      <x:c r="J213" s="29" t="n">
        <x:f>IF('Inputs'!$D$9="Ready",'Inputs'!E12,"n.a.")</x:f>
        <x:v>0.18</x:v>
      </x:c>
      <x:c r="K213" s="26" t="n">
        <x:f>IF('Inputs'!$D$9="Ready",'Inputs'!F12,"n.a.")</x:f>
        <x:v>60</x:v>
      </x:c>
      <x:c r="L213" s="29" t="n">
        <x:f>IF('Inputs'!$D$9="Ready",'Inputs'!G12,"n.a.")</x:f>
        <x:v>0.02</x:v>
      </x:c>
      <x:c r="M213" s="22" t="n">
        <x:f>IF(COUNT(I213:L213)=4,ROUND(I213*J213/12,2),"n.a.")</x:f>
        <x:v>0</x:v>
      </x:c>
      <x:c r="N213" s="22" t="n">
        <x:f>IF(COUNT(I213:M213)=5,MIN(I213+M213,ROUND(MAX(K213,I213*L213+M213),2)),"n.a.")</x:f>
        <x:v>0</x:v>
      </x:c>
      <x:c r="O213" s="30" t="n">
        <x:f>IF(COUNT($I$212:$I$216)&lt;&gt;5,"n.a.",IF(I213=0,6,IF('Inputs'!$D$5=1,COUNTIFS($I$212:$I$216,"&gt;0",$I$212:$I$216,"&lt;"&amp;I213)+COUNTIFS($I$212:I213,I213),COUNTIFS($I$212:$I$216,"&gt;0",$J$212:$J$216,"&gt;"&amp;J213)+COUNTIFS($I$212:I213,"&gt;0",$J$212:J213,J213))))</x:f>
        <x:v>6</x:v>
      </x:c>
      <x:c r="P213" s="22" t="n">
        <x:f>IF(T213="Ready",MIN(U213,MAX(0,G213-SUMIFS($U$212:$U$216,$O$212:$O$216,"&lt;"&amp;O213))),"n.a.")</x:f>
        <x:v>0</x:v>
      </x:c>
      <x:c r="Q213" s="22" t="n">
        <x:f>IF(T213="Ready",ROUND(N213+P213,2),"n.a.")</x:f>
        <x:v>0</x:v>
      </x:c>
      <x:c r="R213" s="22" t="n">
        <x:f>IF(T213="Ready",ROUND(Q213-M213,2),"n.a.")</x:f>
        <x:v>0</x:v>
      </x:c>
      <x:c r="S213" s="22" t="n">
        <x:f>IF(T213="Ready",MAX(0,ROUND(I213+M213-Q213,2)),"n.a.")</x:f>
        <x:v>0</x:v>
      </x:c>
      <x:c r="T213" s="22" t="str">
        <x:f>IF(AND(COUNT($I$212:$I$216)=5,COUNT(E213:F213)=2),IF(E213&gt;=F213,"Ready","Budget below minima"),"Check inputs")</x:f>
        <x:v>Ready</x:v>
      </x:c>
      <x:c r="U213" s="22" t="n">
        <x:f>IF(COUNT(I213,M213,N213)=3,MAX(0,ROUND(I213+M213-N213,2)),"n.a.")</x:f>
        <x:v>0</x:v>
      </x:c>
    </x:row>
    <x:row r="214" ht="22" customHeight="1">
      <x:c r="A214" s="2"/>
      <x:c r="B214" s="2"/>
      <x:c r="C214" s="27" t="n">
        <x:f>42</x:f>
        <x:v>42</x:v>
      </x:c>
      <x:c r="D214" s="28" t="n">
        <x:f>IF(ISNUMBER('Inputs'!$D$7),EDATE('Inputs'!$D$7,41),"n.a.")</x:f>
        <x:v>47574</x:v>
      </x:c>
      <x:c r="E214" s="26" t="n">
        <x:f>IF('Inputs'!$D$9&lt;&gt;"Ready","n.a.",IF(ISNUMBER('Inputs'!E60),IF('Inputs'!E60&gt;=0,'Inputs'!E60,"n.a."),IF('Inputs'!E60="",'Inputs'!$D$6,"n.a.")))</x:f>
        <x:v>500</x:v>
      </x:c>
      <x:c r="F214" s="22" t="n">
        <x:f>IF(COUNT($N$212:$N$216)=5,SUM($N$212:$N$216),"n.a.")</x:f>
        <x:v>0</x:v>
      </x:c>
      <x:c r="G214" s="22" t="n">
        <x:f>IF(COUNT(E214:F214)=2,MAX(0,E214-F214),"n.a.")</x:f>
        <x:v>500</x:v>
      </x:c>
      <x:c r="H214" s="26" t="str">
        <x:f>'Inputs'!C13</x:f>
        <x:v>Loan C</x:v>
      </x:c>
      <x:c r="I214" s="26" t="n">
        <x:f>S209</x:f>
        <x:v>0</x:v>
      </x:c>
      <x:c r="J214" s="29" t="n">
        <x:f>IF('Inputs'!$D$9="Ready",'Inputs'!E13,"n.a.")</x:f>
        <x:v>0.08</x:v>
      </x:c>
      <x:c r="K214" s="26" t="n">
        <x:f>IF('Inputs'!$D$9="Ready",'Inputs'!F13,"n.a.")</x:f>
        <x:v>150</x:v>
      </x:c>
      <x:c r="L214" s="29" t="n">
        <x:f>IF('Inputs'!$D$9="Ready",'Inputs'!G13,"n.a.")</x:f>
        <x:v>0</x:v>
      </x:c>
      <x:c r="M214" s="22" t="n">
        <x:f>IF(COUNT(I214:L214)=4,ROUND(I214*J214/12,2),"n.a.")</x:f>
        <x:v>0</x:v>
      </x:c>
      <x:c r="N214" s="22" t="n">
        <x:f>IF(COUNT(I214:M214)=5,MIN(I214+M214,ROUND(MAX(K214,I214*L214+M214),2)),"n.a.")</x:f>
        <x:v>0</x:v>
      </x:c>
      <x:c r="O214" s="30" t="n">
        <x:f>IF(COUNT($I$212:$I$216)&lt;&gt;5,"n.a.",IF(I214=0,6,IF('Inputs'!$D$5=1,COUNTIFS($I$212:$I$216,"&gt;0",$I$212:$I$216,"&lt;"&amp;I214)+COUNTIFS($I$212:I214,I214),COUNTIFS($I$212:$I$216,"&gt;0",$J$212:$J$216,"&gt;"&amp;J214)+COUNTIFS($I$212:I214,"&gt;0",$J$212:J214,J214))))</x:f>
        <x:v>6</x:v>
      </x:c>
      <x:c r="P214" s="22" t="n">
        <x:f>IF(T214="Ready",MIN(U214,MAX(0,G214-SUMIFS($U$212:$U$216,$O$212:$O$216,"&lt;"&amp;O214))),"n.a.")</x:f>
        <x:v>0</x:v>
      </x:c>
      <x:c r="Q214" s="22" t="n">
        <x:f>IF(T214="Ready",ROUND(N214+P214,2),"n.a.")</x:f>
        <x:v>0</x:v>
      </x:c>
      <x:c r="R214" s="22" t="n">
        <x:f>IF(T214="Ready",ROUND(Q214-M214,2),"n.a.")</x:f>
        <x:v>0</x:v>
      </x:c>
      <x:c r="S214" s="22" t="n">
        <x:f>IF(T214="Ready",MAX(0,ROUND(I214+M214-Q214,2)),"n.a.")</x:f>
        <x:v>0</x:v>
      </x:c>
      <x:c r="T214" s="22" t="str">
        <x:f>IF(AND(COUNT($I$212:$I$216)=5,COUNT(E214:F214)=2),IF(E214&gt;=F214,"Ready","Budget below minima"),"Check inputs")</x:f>
        <x:v>Ready</x:v>
      </x:c>
      <x:c r="U214" s="22" t="n">
        <x:f>IF(COUNT(I214,M214,N214)=3,MAX(0,ROUND(I214+M214-N214,2)),"n.a.")</x:f>
        <x:v>0</x:v>
      </x:c>
    </x:row>
    <x:row r="215" ht="22" customHeight="1">
      <x:c r="A215" s="2"/>
      <x:c r="B215" s="2"/>
      <x:c r="C215" s="27" t="n">
        <x:f>42</x:f>
        <x:v>42</x:v>
      </x:c>
      <x:c r="D215" s="28" t="n">
        <x:f>IF(ISNUMBER('Inputs'!$D$7),EDATE('Inputs'!$D$7,41),"n.a.")</x:f>
        <x:v>47574</x:v>
      </x:c>
      <x:c r="E215" s="26" t="n">
        <x:f>IF('Inputs'!$D$9&lt;&gt;"Ready","n.a.",IF(ISNUMBER('Inputs'!E60),IF('Inputs'!E60&gt;=0,'Inputs'!E60,"n.a."),IF('Inputs'!E60="",'Inputs'!$D$6,"n.a.")))</x:f>
        <x:v>500</x:v>
      </x:c>
      <x:c r="F215" s="22" t="n">
        <x:f>IF(COUNT($N$212:$N$216)=5,SUM($N$212:$N$216),"n.a.")</x:f>
        <x:v>0</x:v>
      </x:c>
      <x:c r="G215" s="22" t="n">
        <x:f>IF(COUNT(E215:F215)=2,MAX(0,E215-F215),"n.a.")</x:f>
        <x:v>500</x:v>
      </x:c>
      <x:c r="H215" s="26" t="str">
        <x:f>'Inputs'!C14</x:f>
        <x:v>Unused 4</x:v>
      </x:c>
      <x:c r="I215" s="26" t="n">
        <x:f>S210</x:f>
        <x:v>0</x:v>
      </x:c>
      <x:c r="J215" s="29" t="n">
        <x:f>IF('Inputs'!$D$9="Ready",'Inputs'!E14,"n.a.")</x:f>
        <x:v>0</x:v>
      </x:c>
      <x:c r="K215" s="26" t="n">
        <x:f>IF('Inputs'!$D$9="Ready",'Inputs'!F14,"n.a.")</x:f>
        <x:v>0</x:v>
      </x:c>
      <x:c r="L215" s="29" t="n">
        <x:f>IF('Inputs'!$D$9="Ready",'Inputs'!G14,"n.a.")</x:f>
        <x:v>0</x:v>
      </x:c>
      <x:c r="M215" s="22" t="n">
        <x:f>IF(COUNT(I215:L215)=4,ROUND(I215*J215/12,2),"n.a.")</x:f>
        <x:v>0</x:v>
      </x:c>
      <x:c r="N215" s="22" t="n">
        <x:f>IF(COUNT(I215:M215)=5,MIN(I215+M215,ROUND(MAX(K215,I215*L215+M215),2)),"n.a.")</x:f>
        <x:v>0</x:v>
      </x:c>
      <x:c r="O215" s="30" t="n">
        <x:f>IF(COUNT($I$212:$I$216)&lt;&gt;5,"n.a.",IF(I215=0,6,IF('Inputs'!$D$5=1,COUNTIFS($I$212:$I$216,"&gt;0",$I$212:$I$216,"&lt;"&amp;I215)+COUNTIFS($I$212:I215,I215),COUNTIFS($I$212:$I$216,"&gt;0",$J$212:$J$216,"&gt;"&amp;J215)+COUNTIFS($I$212:I215,"&gt;0",$J$212:J215,J215))))</x:f>
        <x:v>6</x:v>
      </x:c>
      <x:c r="P215" s="22" t="n">
        <x:f>IF(T215="Ready",MIN(U215,MAX(0,G215-SUMIFS($U$212:$U$216,$O$212:$O$216,"&lt;"&amp;O215))),"n.a.")</x:f>
        <x:v>0</x:v>
      </x:c>
      <x:c r="Q215" s="22" t="n">
        <x:f>IF(T215="Ready",ROUND(N215+P215,2),"n.a.")</x:f>
        <x:v>0</x:v>
      </x:c>
      <x:c r="R215" s="22" t="n">
        <x:f>IF(T215="Ready",ROUND(Q215-M215,2),"n.a.")</x:f>
        <x:v>0</x:v>
      </x:c>
      <x:c r="S215" s="22" t="n">
        <x:f>IF(T215="Ready",MAX(0,ROUND(I215+M215-Q215,2)),"n.a.")</x:f>
        <x:v>0</x:v>
      </x:c>
      <x:c r="T215" s="22" t="str">
        <x:f>IF(AND(COUNT($I$212:$I$216)=5,COUNT(E215:F215)=2),IF(E215&gt;=F215,"Ready","Budget below minima"),"Check inputs")</x:f>
        <x:v>Ready</x:v>
      </x:c>
      <x:c r="U215" s="22" t="n">
        <x:f>IF(COUNT(I215,M215,N215)=3,MAX(0,ROUND(I215+M215-N215,2)),"n.a.")</x:f>
        <x:v>0</x:v>
      </x:c>
    </x:row>
    <x:row r="216" ht="22" customHeight="1">
      <x:c r="A216" s="2"/>
      <x:c r="B216" s="2"/>
      <x:c r="C216" s="27" t="n">
        <x:f>42</x:f>
        <x:v>42</x:v>
      </x:c>
      <x:c r="D216" s="28" t="n">
        <x:f>IF(ISNUMBER('Inputs'!$D$7),EDATE('Inputs'!$D$7,41),"n.a.")</x:f>
        <x:v>47574</x:v>
      </x:c>
      <x:c r="E216" s="26" t="n">
        <x:f>IF('Inputs'!$D$9&lt;&gt;"Ready","n.a.",IF(ISNUMBER('Inputs'!E60),IF('Inputs'!E60&gt;=0,'Inputs'!E60,"n.a."),IF('Inputs'!E60="",'Inputs'!$D$6,"n.a.")))</x:f>
        <x:v>500</x:v>
      </x:c>
      <x:c r="F216" s="22" t="n">
        <x:f>IF(COUNT($N$212:$N$216)=5,SUM($N$212:$N$216),"n.a.")</x:f>
        <x:v>0</x:v>
      </x:c>
      <x:c r="G216" s="22" t="n">
        <x:f>IF(COUNT(E216:F216)=2,MAX(0,E216-F216),"n.a.")</x:f>
        <x:v>500</x:v>
      </x:c>
      <x:c r="H216" s="26" t="str">
        <x:f>'Inputs'!C15</x:f>
        <x:v>Unused 5</x:v>
      </x:c>
      <x:c r="I216" s="26" t="n">
        <x:f>S211</x:f>
        <x:v>0</x:v>
      </x:c>
      <x:c r="J216" s="29" t="n">
        <x:f>IF('Inputs'!$D$9="Ready",'Inputs'!E15,"n.a.")</x:f>
        <x:v>0</x:v>
      </x:c>
      <x:c r="K216" s="26" t="n">
        <x:f>IF('Inputs'!$D$9="Ready",'Inputs'!F15,"n.a.")</x:f>
        <x:v>0</x:v>
      </x:c>
      <x:c r="L216" s="29" t="n">
        <x:f>IF('Inputs'!$D$9="Ready",'Inputs'!G15,"n.a.")</x:f>
        <x:v>0</x:v>
      </x:c>
      <x:c r="M216" s="22" t="n">
        <x:f>IF(COUNT(I216:L216)=4,ROUND(I216*J216/12,2),"n.a.")</x:f>
        <x:v>0</x:v>
      </x:c>
      <x:c r="N216" s="22" t="n">
        <x:f>IF(COUNT(I216:M216)=5,MIN(I216+M216,ROUND(MAX(K216,I216*L216+M216),2)),"n.a.")</x:f>
        <x:v>0</x:v>
      </x:c>
      <x:c r="O216" s="30" t="n">
        <x:f>IF(COUNT($I$212:$I$216)&lt;&gt;5,"n.a.",IF(I216=0,6,IF('Inputs'!$D$5=1,COUNTIFS($I$212:$I$216,"&gt;0",$I$212:$I$216,"&lt;"&amp;I216)+COUNTIFS($I$212:I216,I216),COUNTIFS($I$212:$I$216,"&gt;0",$J$212:$J$216,"&gt;"&amp;J216)+COUNTIFS($I$212:I216,"&gt;0",$J$212:J216,J216))))</x:f>
        <x:v>6</x:v>
      </x:c>
      <x:c r="P216" s="22" t="n">
        <x:f>IF(T216="Ready",MIN(U216,MAX(0,G216-SUMIFS($U$212:$U$216,$O$212:$O$216,"&lt;"&amp;O216))),"n.a.")</x:f>
        <x:v>0</x:v>
      </x:c>
      <x:c r="Q216" s="22" t="n">
        <x:f>IF(T216="Ready",ROUND(N216+P216,2),"n.a.")</x:f>
        <x:v>0</x:v>
      </x:c>
      <x:c r="R216" s="22" t="n">
        <x:f>IF(T216="Ready",ROUND(Q216-M216,2),"n.a.")</x:f>
        <x:v>0</x:v>
      </x:c>
      <x:c r="S216" s="22" t="n">
        <x:f>IF(T216="Ready",MAX(0,ROUND(I216+M216-Q216,2)),"n.a.")</x:f>
        <x:v>0</x:v>
      </x:c>
      <x:c r="T216" s="22" t="str">
        <x:f>IF(AND(COUNT($I$212:$I$216)=5,COUNT(E216:F216)=2),IF(E216&gt;=F216,"Ready","Budget below minima"),"Check inputs")</x:f>
        <x:v>Ready</x:v>
      </x:c>
      <x:c r="U216" s="22" t="n">
        <x:f>IF(COUNT(I216,M216,N216)=3,MAX(0,ROUND(I216+M216-N216,2)),"n.a.")</x:f>
        <x:v>0</x:v>
      </x:c>
    </x:row>
    <x:row r="217" ht="22" customHeight="1">
      <x:c r="A217" s="2"/>
      <x:c r="B217" s="2"/>
      <x:c r="C217" s="27" t="n">
        <x:f>43</x:f>
        <x:v>43</x:v>
      </x:c>
      <x:c r="D217" s="28" t="n">
        <x:f>IF(ISNUMBER('Inputs'!$D$7),EDATE('Inputs'!$D$7,42),"n.a.")</x:f>
        <x:v>47604</x:v>
      </x:c>
      <x:c r="E217" s="26" t="n">
        <x:f>IF('Inputs'!$D$9&lt;&gt;"Ready","n.a.",IF(ISNUMBER('Inputs'!E61),IF('Inputs'!E61&gt;=0,'Inputs'!E61,"n.a."),IF('Inputs'!E61="",'Inputs'!$D$6,"n.a.")))</x:f>
        <x:v>500</x:v>
      </x:c>
      <x:c r="F217" s="22" t="n">
        <x:f>IF(COUNT($N$217:$N$221)=5,SUM($N$217:$N$221),"n.a.")</x:f>
        <x:v>0</x:v>
      </x:c>
      <x:c r="G217" s="22" t="n">
        <x:f>IF(COUNT(E217:F217)=2,MAX(0,E217-F217),"n.a.")</x:f>
        <x:v>500</x:v>
      </x:c>
      <x:c r="H217" s="26" t="str">
        <x:f>'Inputs'!C11</x:f>
        <x:v>Card A</x:v>
      </x:c>
      <x:c r="I217" s="26" t="n">
        <x:f>S212</x:f>
        <x:v>0</x:v>
      </x:c>
      <x:c r="J217" s="29" t="n">
        <x:f>IF('Inputs'!$D$9="Ready",'Inputs'!E11,"n.a.")</x:f>
        <x:v>0.24</x:v>
      </x:c>
      <x:c r="K217" s="26" t="n">
        <x:f>IF('Inputs'!$D$9="Ready",'Inputs'!F11,"n.a.")</x:f>
        <x:v>35</x:v>
      </x:c>
      <x:c r="L217" s="29" t="n">
        <x:f>IF('Inputs'!$D$9="Ready",'Inputs'!G11,"n.a.")</x:f>
        <x:v>0.02</x:v>
      </x:c>
      <x:c r="M217" s="22" t="n">
        <x:f>IF(COUNT(I217:L217)=4,ROUND(I217*J217/12,2),"n.a.")</x:f>
        <x:v>0</x:v>
      </x:c>
      <x:c r="N217" s="22" t="n">
        <x:f>IF(COUNT(I217:M217)=5,MIN(I217+M217,ROUND(MAX(K217,I217*L217+M217),2)),"n.a.")</x:f>
        <x:v>0</x:v>
      </x:c>
      <x:c r="O217" s="30" t="n">
        <x:f>IF(COUNT($I$217:$I$221)&lt;&gt;5,"n.a.",IF(I217=0,6,IF('Inputs'!$D$5=1,COUNTIFS($I$217:$I$221,"&gt;0",$I$217:$I$221,"&lt;"&amp;I217)+COUNTIFS($I$217:I217,I217),COUNTIFS($I$217:$I$221,"&gt;0",$J$217:$J$221,"&gt;"&amp;J217)+COUNTIFS($I$217:I217,"&gt;0",$J$217:J217,J217))))</x:f>
        <x:v>6</x:v>
      </x:c>
      <x:c r="P217" s="22" t="n">
        <x:f>IF(T217="Ready",MIN(U217,MAX(0,G217-SUMIFS($U$217:$U$221,$O$217:$O$221,"&lt;"&amp;O217))),"n.a.")</x:f>
        <x:v>0</x:v>
      </x:c>
      <x:c r="Q217" s="22" t="n">
        <x:f>IF(T217="Ready",ROUND(N217+P217,2),"n.a.")</x:f>
        <x:v>0</x:v>
      </x:c>
      <x:c r="R217" s="22" t="n">
        <x:f>IF(T217="Ready",ROUND(Q217-M217,2),"n.a.")</x:f>
        <x:v>0</x:v>
      </x:c>
      <x:c r="S217" s="22" t="n">
        <x:f>IF(T217="Ready",MAX(0,ROUND(I217+M217-Q217,2)),"n.a.")</x:f>
        <x:v>0</x:v>
      </x:c>
      <x:c r="T217" s="22" t="str">
        <x:f>IF(AND(COUNT($I$217:$I$221)=5,COUNT(E217:F217)=2),IF(E217&gt;=F217,"Ready","Budget below minima"),"Check inputs")</x:f>
        <x:v>Ready</x:v>
      </x:c>
      <x:c r="U217" s="22" t="n">
        <x:f>IF(COUNT(I217,M217,N217)=3,MAX(0,ROUND(I217+M217-N217,2)),"n.a.")</x:f>
        <x:v>0</x:v>
      </x:c>
    </x:row>
    <x:row r="218" ht="22" customHeight="1">
      <x:c r="A218" s="2"/>
      <x:c r="B218" s="2"/>
      <x:c r="C218" s="27" t="n">
        <x:f>43</x:f>
        <x:v>43</x:v>
      </x:c>
      <x:c r="D218" s="28" t="n">
        <x:f>IF(ISNUMBER('Inputs'!$D$7),EDATE('Inputs'!$D$7,42),"n.a.")</x:f>
        <x:v>47604</x:v>
      </x:c>
      <x:c r="E218" s="26" t="n">
        <x:f>IF('Inputs'!$D$9&lt;&gt;"Ready","n.a.",IF(ISNUMBER('Inputs'!E61),IF('Inputs'!E61&gt;=0,'Inputs'!E61,"n.a."),IF('Inputs'!E61="",'Inputs'!$D$6,"n.a.")))</x:f>
        <x:v>500</x:v>
      </x:c>
      <x:c r="F218" s="22" t="n">
        <x:f>IF(COUNT($N$217:$N$221)=5,SUM($N$217:$N$221),"n.a.")</x:f>
        <x:v>0</x:v>
      </x:c>
      <x:c r="G218" s="22" t="n">
        <x:f>IF(COUNT(E218:F218)=2,MAX(0,E218-F218),"n.a.")</x:f>
        <x:v>500</x:v>
      </x:c>
      <x:c r="H218" s="26" t="str">
        <x:f>'Inputs'!C12</x:f>
        <x:v>Card B</x:v>
      </x:c>
      <x:c r="I218" s="26" t="n">
        <x:f>S213</x:f>
        <x:v>0</x:v>
      </x:c>
      <x:c r="J218" s="29" t="n">
        <x:f>IF('Inputs'!$D$9="Ready",'Inputs'!E12,"n.a.")</x:f>
        <x:v>0.18</x:v>
      </x:c>
      <x:c r="K218" s="26" t="n">
        <x:f>IF('Inputs'!$D$9="Ready",'Inputs'!F12,"n.a.")</x:f>
        <x:v>60</x:v>
      </x:c>
      <x:c r="L218" s="29" t="n">
        <x:f>IF('Inputs'!$D$9="Ready",'Inputs'!G12,"n.a.")</x:f>
        <x:v>0.02</x:v>
      </x:c>
      <x:c r="M218" s="22" t="n">
        <x:f>IF(COUNT(I218:L218)=4,ROUND(I218*J218/12,2),"n.a.")</x:f>
        <x:v>0</x:v>
      </x:c>
      <x:c r="N218" s="22" t="n">
        <x:f>IF(COUNT(I218:M218)=5,MIN(I218+M218,ROUND(MAX(K218,I218*L218+M218),2)),"n.a.")</x:f>
        <x:v>0</x:v>
      </x:c>
      <x:c r="O218" s="30" t="n">
        <x:f>IF(COUNT($I$217:$I$221)&lt;&gt;5,"n.a.",IF(I218=0,6,IF('Inputs'!$D$5=1,COUNTIFS($I$217:$I$221,"&gt;0",$I$217:$I$221,"&lt;"&amp;I218)+COUNTIFS($I$217:I218,I218),COUNTIFS($I$217:$I$221,"&gt;0",$J$217:$J$221,"&gt;"&amp;J218)+COUNTIFS($I$217:I218,"&gt;0",$J$217:J218,J218))))</x:f>
        <x:v>6</x:v>
      </x:c>
      <x:c r="P218" s="22" t="n">
        <x:f>IF(T218="Ready",MIN(U218,MAX(0,G218-SUMIFS($U$217:$U$221,$O$217:$O$221,"&lt;"&amp;O218))),"n.a.")</x:f>
        <x:v>0</x:v>
      </x:c>
      <x:c r="Q218" s="22" t="n">
        <x:f>IF(T218="Ready",ROUND(N218+P218,2),"n.a.")</x:f>
        <x:v>0</x:v>
      </x:c>
      <x:c r="R218" s="22" t="n">
        <x:f>IF(T218="Ready",ROUND(Q218-M218,2),"n.a.")</x:f>
        <x:v>0</x:v>
      </x:c>
      <x:c r="S218" s="22" t="n">
        <x:f>IF(T218="Ready",MAX(0,ROUND(I218+M218-Q218,2)),"n.a.")</x:f>
        <x:v>0</x:v>
      </x:c>
      <x:c r="T218" s="22" t="str">
        <x:f>IF(AND(COUNT($I$217:$I$221)=5,COUNT(E218:F218)=2),IF(E218&gt;=F218,"Ready","Budget below minima"),"Check inputs")</x:f>
        <x:v>Ready</x:v>
      </x:c>
      <x:c r="U218" s="22" t="n">
        <x:f>IF(COUNT(I218,M218,N218)=3,MAX(0,ROUND(I218+M218-N218,2)),"n.a.")</x:f>
        <x:v>0</x:v>
      </x:c>
    </x:row>
    <x:row r="219" ht="22" customHeight="1">
      <x:c r="A219" s="2"/>
      <x:c r="B219" s="2"/>
      <x:c r="C219" s="27" t="n">
        <x:f>43</x:f>
        <x:v>43</x:v>
      </x:c>
      <x:c r="D219" s="28" t="n">
        <x:f>IF(ISNUMBER('Inputs'!$D$7),EDATE('Inputs'!$D$7,42),"n.a.")</x:f>
        <x:v>47604</x:v>
      </x:c>
      <x:c r="E219" s="26" t="n">
        <x:f>IF('Inputs'!$D$9&lt;&gt;"Ready","n.a.",IF(ISNUMBER('Inputs'!E61),IF('Inputs'!E61&gt;=0,'Inputs'!E61,"n.a."),IF('Inputs'!E61="",'Inputs'!$D$6,"n.a.")))</x:f>
        <x:v>500</x:v>
      </x:c>
      <x:c r="F219" s="22" t="n">
        <x:f>IF(COUNT($N$217:$N$221)=5,SUM($N$217:$N$221),"n.a.")</x:f>
        <x:v>0</x:v>
      </x:c>
      <x:c r="G219" s="22" t="n">
        <x:f>IF(COUNT(E219:F219)=2,MAX(0,E219-F219),"n.a.")</x:f>
        <x:v>500</x:v>
      </x:c>
      <x:c r="H219" s="26" t="str">
        <x:f>'Inputs'!C13</x:f>
        <x:v>Loan C</x:v>
      </x:c>
      <x:c r="I219" s="26" t="n">
        <x:f>S214</x:f>
        <x:v>0</x:v>
      </x:c>
      <x:c r="J219" s="29" t="n">
        <x:f>IF('Inputs'!$D$9="Ready",'Inputs'!E13,"n.a.")</x:f>
        <x:v>0.08</x:v>
      </x:c>
      <x:c r="K219" s="26" t="n">
        <x:f>IF('Inputs'!$D$9="Ready",'Inputs'!F13,"n.a.")</x:f>
        <x:v>150</x:v>
      </x:c>
      <x:c r="L219" s="29" t="n">
        <x:f>IF('Inputs'!$D$9="Ready",'Inputs'!G13,"n.a.")</x:f>
        <x:v>0</x:v>
      </x:c>
      <x:c r="M219" s="22" t="n">
        <x:f>IF(COUNT(I219:L219)=4,ROUND(I219*J219/12,2),"n.a.")</x:f>
        <x:v>0</x:v>
      </x:c>
      <x:c r="N219" s="22" t="n">
        <x:f>IF(COUNT(I219:M219)=5,MIN(I219+M219,ROUND(MAX(K219,I219*L219+M219),2)),"n.a.")</x:f>
        <x:v>0</x:v>
      </x:c>
      <x:c r="O219" s="30" t="n">
        <x:f>IF(COUNT($I$217:$I$221)&lt;&gt;5,"n.a.",IF(I219=0,6,IF('Inputs'!$D$5=1,COUNTIFS($I$217:$I$221,"&gt;0",$I$217:$I$221,"&lt;"&amp;I219)+COUNTIFS($I$217:I219,I219),COUNTIFS($I$217:$I$221,"&gt;0",$J$217:$J$221,"&gt;"&amp;J219)+COUNTIFS($I$217:I219,"&gt;0",$J$217:J219,J219))))</x:f>
        <x:v>6</x:v>
      </x:c>
      <x:c r="P219" s="22" t="n">
        <x:f>IF(T219="Ready",MIN(U219,MAX(0,G219-SUMIFS($U$217:$U$221,$O$217:$O$221,"&lt;"&amp;O219))),"n.a.")</x:f>
        <x:v>0</x:v>
      </x:c>
      <x:c r="Q219" s="22" t="n">
        <x:f>IF(T219="Ready",ROUND(N219+P219,2),"n.a.")</x:f>
        <x:v>0</x:v>
      </x:c>
      <x:c r="R219" s="22" t="n">
        <x:f>IF(T219="Ready",ROUND(Q219-M219,2),"n.a.")</x:f>
        <x:v>0</x:v>
      </x:c>
      <x:c r="S219" s="22" t="n">
        <x:f>IF(T219="Ready",MAX(0,ROUND(I219+M219-Q219,2)),"n.a.")</x:f>
        <x:v>0</x:v>
      </x:c>
      <x:c r="T219" s="22" t="str">
        <x:f>IF(AND(COUNT($I$217:$I$221)=5,COUNT(E219:F219)=2),IF(E219&gt;=F219,"Ready","Budget below minima"),"Check inputs")</x:f>
        <x:v>Ready</x:v>
      </x:c>
      <x:c r="U219" s="22" t="n">
        <x:f>IF(COUNT(I219,M219,N219)=3,MAX(0,ROUND(I219+M219-N219,2)),"n.a.")</x:f>
        <x:v>0</x:v>
      </x:c>
    </x:row>
    <x:row r="220" ht="22" customHeight="1">
      <x:c r="A220" s="2"/>
      <x:c r="B220" s="2"/>
      <x:c r="C220" s="27" t="n">
        <x:f>43</x:f>
        <x:v>43</x:v>
      </x:c>
      <x:c r="D220" s="28" t="n">
        <x:f>IF(ISNUMBER('Inputs'!$D$7),EDATE('Inputs'!$D$7,42),"n.a.")</x:f>
        <x:v>47604</x:v>
      </x:c>
      <x:c r="E220" s="26" t="n">
        <x:f>IF('Inputs'!$D$9&lt;&gt;"Ready","n.a.",IF(ISNUMBER('Inputs'!E61),IF('Inputs'!E61&gt;=0,'Inputs'!E61,"n.a."),IF('Inputs'!E61="",'Inputs'!$D$6,"n.a.")))</x:f>
        <x:v>500</x:v>
      </x:c>
      <x:c r="F220" s="22" t="n">
        <x:f>IF(COUNT($N$217:$N$221)=5,SUM($N$217:$N$221),"n.a.")</x:f>
        <x:v>0</x:v>
      </x:c>
      <x:c r="G220" s="22" t="n">
        <x:f>IF(COUNT(E220:F220)=2,MAX(0,E220-F220),"n.a.")</x:f>
        <x:v>500</x:v>
      </x:c>
      <x:c r="H220" s="26" t="str">
        <x:f>'Inputs'!C14</x:f>
        <x:v>Unused 4</x:v>
      </x:c>
      <x:c r="I220" s="26" t="n">
        <x:f>S215</x:f>
        <x:v>0</x:v>
      </x:c>
      <x:c r="J220" s="29" t="n">
        <x:f>IF('Inputs'!$D$9="Ready",'Inputs'!E14,"n.a.")</x:f>
        <x:v>0</x:v>
      </x:c>
      <x:c r="K220" s="26" t="n">
        <x:f>IF('Inputs'!$D$9="Ready",'Inputs'!F14,"n.a.")</x:f>
        <x:v>0</x:v>
      </x:c>
      <x:c r="L220" s="29" t="n">
        <x:f>IF('Inputs'!$D$9="Ready",'Inputs'!G14,"n.a.")</x:f>
        <x:v>0</x:v>
      </x:c>
      <x:c r="M220" s="22" t="n">
        <x:f>IF(COUNT(I220:L220)=4,ROUND(I220*J220/12,2),"n.a.")</x:f>
        <x:v>0</x:v>
      </x:c>
      <x:c r="N220" s="22" t="n">
        <x:f>IF(COUNT(I220:M220)=5,MIN(I220+M220,ROUND(MAX(K220,I220*L220+M220),2)),"n.a.")</x:f>
        <x:v>0</x:v>
      </x:c>
      <x:c r="O220" s="30" t="n">
        <x:f>IF(COUNT($I$217:$I$221)&lt;&gt;5,"n.a.",IF(I220=0,6,IF('Inputs'!$D$5=1,COUNTIFS($I$217:$I$221,"&gt;0",$I$217:$I$221,"&lt;"&amp;I220)+COUNTIFS($I$217:I220,I220),COUNTIFS($I$217:$I$221,"&gt;0",$J$217:$J$221,"&gt;"&amp;J220)+COUNTIFS($I$217:I220,"&gt;0",$J$217:J220,J220))))</x:f>
        <x:v>6</x:v>
      </x:c>
      <x:c r="P220" s="22" t="n">
        <x:f>IF(T220="Ready",MIN(U220,MAX(0,G220-SUMIFS($U$217:$U$221,$O$217:$O$221,"&lt;"&amp;O220))),"n.a.")</x:f>
        <x:v>0</x:v>
      </x:c>
      <x:c r="Q220" s="22" t="n">
        <x:f>IF(T220="Ready",ROUND(N220+P220,2),"n.a.")</x:f>
        <x:v>0</x:v>
      </x:c>
      <x:c r="R220" s="22" t="n">
        <x:f>IF(T220="Ready",ROUND(Q220-M220,2),"n.a.")</x:f>
        <x:v>0</x:v>
      </x:c>
      <x:c r="S220" s="22" t="n">
        <x:f>IF(T220="Ready",MAX(0,ROUND(I220+M220-Q220,2)),"n.a.")</x:f>
        <x:v>0</x:v>
      </x:c>
      <x:c r="T220" s="22" t="str">
        <x:f>IF(AND(COUNT($I$217:$I$221)=5,COUNT(E220:F220)=2),IF(E220&gt;=F220,"Ready","Budget below minima"),"Check inputs")</x:f>
        <x:v>Ready</x:v>
      </x:c>
      <x:c r="U220" s="22" t="n">
        <x:f>IF(COUNT(I220,M220,N220)=3,MAX(0,ROUND(I220+M220-N220,2)),"n.a.")</x:f>
        <x:v>0</x:v>
      </x:c>
    </x:row>
    <x:row r="221" ht="22" customHeight="1">
      <x:c r="A221" s="2"/>
      <x:c r="B221" s="2"/>
      <x:c r="C221" s="27" t="n">
        <x:f>43</x:f>
        <x:v>43</x:v>
      </x:c>
      <x:c r="D221" s="28" t="n">
        <x:f>IF(ISNUMBER('Inputs'!$D$7),EDATE('Inputs'!$D$7,42),"n.a.")</x:f>
        <x:v>47604</x:v>
      </x:c>
      <x:c r="E221" s="26" t="n">
        <x:f>IF('Inputs'!$D$9&lt;&gt;"Ready","n.a.",IF(ISNUMBER('Inputs'!E61),IF('Inputs'!E61&gt;=0,'Inputs'!E61,"n.a."),IF('Inputs'!E61="",'Inputs'!$D$6,"n.a.")))</x:f>
        <x:v>500</x:v>
      </x:c>
      <x:c r="F221" s="22" t="n">
        <x:f>IF(COUNT($N$217:$N$221)=5,SUM($N$217:$N$221),"n.a.")</x:f>
        <x:v>0</x:v>
      </x:c>
      <x:c r="G221" s="22" t="n">
        <x:f>IF(COUNT(E221:F221)=2,MAX(0,E221-F221),"n.a.")</x:f>
        <x:v>500</x:v>
      </x:c>
      <x:c r="H221" s="26" t="str">
        <x:f>'Inputs'!C15</x:f>
        <x:v>Unused 5</x:v>
      </x:c>
      <x:c r="I221" s="26" t="n">
        <x:f>S216</x:f>
        <x:v>0</x:v>
      </x:c>
      <x:c r="J221" s="29" t="n">
        <x:f>IF('Inputs'!$D$9="Ready",'Inputs'!E15,"n.a.")</x:f>
        <x:v>0</x:v>
      </x:c>
      <x:c r="K221" s="26" t="n">
        <x:f>IF('Inputs'!$D$9="Ready",'Inputs'!F15,"n.a.")</x:f>
        <x:v>0</x:v>
      </x:c>
      <x:c r="L221" s="29" t="n">
        <x:f>IF('Inputs'!$D$9="Ready",'Inputs'!G15,"n.a.")</x:f>
        <x:v>0</x:v>
      </x:c>
      <x:c r="M221" s="22" t="n">
        <x:f>IF(COUNT(I221:L221)=4,ROUND(I221*J221/12,2),"n.a.")</x:f>
        <x:v>0</x:v>
      </x:c>
      <x:c r="N221" s="22" t="n">
        <x:f>IF(COUNT(I221:M221)=5,MIN(I221+M221,ROUND(MAX(K221,I221*L221+M221),2)),"n.a.")</x:f>
        <x:v>0</x:v>
      </x:c>
      <x:c r="O221" s="30" t="n">
        <x:f>IF(COUNT($I$217:$I$221)&lt;&gt;5,"n.a.",IF(I221=0,6,IF('Inputs'!$D$5=1,COUNTIFS($I$217:$I$221,"&gt;0",$I$217:$I$221,"&lt;"&amp;I221)+COUNTIFS($I$217:I221,I221),COUNTIFS($I$217:$I$221,"&gt;0",$J$217:$J$221,"&gt;"&amp;J221)+COUNTIFS($I$217:I221,"&gt;0",$J$217:J221,J221))))</x:f>
        <x:v>6</x:v>
      </x:c>
      <x:c r="P221" s="22" t="n">
        <x:f>IF(T221="Ready",MIN(U221,MAX(0,G221-SUMIFS($U$217:$U$221,$O$217:$O$221,"&lt;"&amp;O221))),"n.a.")</x:f>
        <x:v>0</x:v>
      </x:c>
      <x:c r="Q221" s="22" t="n">
        <x:f>IF(T221="Ready",ROUND(N221+P221,2),"n.a.")</x:f>
        <x:v>0</x:v>
      </x:c>
      <x:c r="R221" s="22" t="n">
        <x:f>IF(T221="Ready",ROUND(Q221-M221,2),"n.a.")</x:f>
        <x:v>0</x:v>
      </x:c>
      <x:c r="S221" s="22" t="n">
        <x:f>IF(T221="Ready",MAX(0,ROUND(I221+M221-Q221,2)),"n.a.")</x:f>
        <x:v>0</x:v>
      </x:c>
      <x:c r="T221" s="22" t="str">
        <x:f>IF(AND(COUNT($I$217:$I$221)=5,COUNT(E221:F221)=2),IF(E221&gt;=F221,"Ready","Budget below minima"),"Check inputs")</x:f>
        <x:v>Ready</x:v>
      </x:c>
      <x:c r="U221" s="22" t="n">
        <x:f>IF(COUNT(I221,M221,N221)=3,MAX(0,ROUND(I221+M221-N221,2)),"n.a.")</x:f>
        <x:v>0</x:v>
      </x:c>
    </x:row>
    <x:row r="222" ht="22" customHeight="1">
      <x:c r="A222" s="2"/>
      <x:c r="B222" s="2"/>
      <x:c r="C222" s="27" t="n">
        <x:f>44</x:f>
        <x:v>44</x:v>
      </x:c>
      <x:c r="D222" s="28" t="n">
        <x:f>IF(ISNUMBER('Inputs'!$D$7),EDATE('Inputs'!$D$7,43),"n.a.")</x:f>
        <x:v>47635</x:v>
      </x:c>
      <x:c r="E222" s="26" t="n">
        <x:f>IF('Inputs'!$D$9&lt;&gt;"Ready","n.a.",IF(ISNUMBER('Inputs'!E62),IF('Inputs'!E62&gt;=0,'Inputs'!E62,"n.a."),IF('Inputs'!E62="",'Inputs'!$D$6,"n.a.")))</x:f>
        <x:v>500</x:v>
      </x:c>
      <x:c r="F222" s="22" t="n">
        <x:f>IF(COUNT($N$222:$N$226)=5,SUM($N$222:$N$226),"n.a.")</x:f>
        <x:v>0</x:v>
      </x:c>
      <x:c r="G222" s="22" t="n">
        <x:f>IF(COUNT(E222:F222)=2,MAX(0,E222-F222),"n.a.")</x:f>
        <x:v>500</x:v>
      </x:c>
      <x:c r="H222" s="26" t="str">
        <x:f>'Inputs'!C11</x:f>
        <x:v>Card A</x:v>
      </x:c>
      <x:c r="I222" s="26" t="n">
        <x:f>S217</x:f>
        <x:v>0</x:v>
      </x:c>
      <x:c r="J222" s="29" t="n">
        <x:f>IF('Inputs'!$D$9="Ready",'Inputs'!E11,"n.a.")</x:f>
        <x:v>0.24</x:v>
      </x:c>
      <x:c r="K222" s="26" t="n">
        <x:f>IF('Inputs'!$D$9="Ready",'Inputs'!F11,"n.a.")</x:f>
        <x:v>35</x:v>
      </x:c>
      <x:c r="L222" s="29" t="n">
        <x:f>IF('Inputs'!$D$9="Ready",'Inputs'!G11,"n.a.")</x:f>
        <x:v>0.02</x:v>
      </x:c>
      <x:c r="M222" s="22" t="n">
        <x:f>IF(COUNT(I222:L222)=4,ROUND(I222*J222/12,2),"n.a.")</x:f>
        <x:v>0</x:v>
      </x:c>
      <x:c r="N222" s="22" t="n">
        <x:f>IF(COUNT(I222:M222)=5,MIN(I222+M222,ROUND(MAX(K222,I222*L222+M222),2)),"n.a.")</x:f>
        <x:v>0</x:v>
      </x:c>
      <x:c r="O222" s="30" t="n">
        <x:f>IF(COUNT($I$222:$I$226)&lt;&gt;5,"n.a.",IF(I222=0,6,IF('Inputs'!$D$5=1,COUNTIFS($I$222:$I$226,"&gt;0",$I$222:$I$226,"&lt;"&amp;I222)+COUNTIFS($I$222:I222,I222),COUNTIFS($I$222:$I$226,"&gt;0",$J$222:$J$226,"&gt;"&amp;J222)+COUNTIFS($I$222:I222,"&gt;0",$J$222:J222,J222))))</x:f>
        <x:v>6</x:v>
      </x:c>
      <x:c r="P222" s="22" t="n">
        <x:f>IF(T222="Ready",MIN(U222,MAX(0,G222-SUMIFS($U$222:$U$226,$O$222:$O$226,"&lt;"&amp;O222))),"n.a.")</x:f>
        <x:v>0</x:v>
      </x:c>
      <x:c r="Q222" s="22" t="n">
        <x:f>IF(T222="Ready",ROUND(N222+P222,2),"n.a.")</x:f>
        <x:v>0</x:v>
      </x:c>
      <x:c r="R222" s="22" t="n">
        <x:f>IF(T222="Ready",ROUND(Q222-M222,2),"n.a.")</x:f>
        <x:v>0</x:v>
      </x:c>
      <x:c r="S222" s="22" t="n">
        <x:f>IF(T222="Ready",MAX(0,ROUND(I222+M222-Q222,2)),"n.a.")</x:f>
        <x:v>0</x:v>
      </x:c>
      <x:c r="T222" s="22" t="str">
        <x:f>IF(AND(COUNT($I$222:$I$226)=5,COUNT(E222:F222)=2),IF(E222&gt;=F222,"Ready","Budget below minima"),"Check inputs")</x:f>
        <x:v>Ready</x:v>
      </x:c>
      <x:c r="U222" s="22" t="n">
        <x:f>IF(COUNT(I222,M222,N222)=3,MAX(0,ROUND(I222+M222-N222,2)),"n.a.")</x:f>
        <x:v>0</x:v>
      </x:c>
    </x:row>
    <x:row r="223" ht="22" customHeight="1">
      <x:c r="A223" s="2"/>
      <x:c r="B223" s="2"/>
      <x:c r="C223" s="27" t="n">
        <x:f>44</x:f>
        <x:v>44</x:v>
      </x:c>
      <x:c r="D223" s="28" t="n">
        <x:f>IF(ISNUMBER('Inputs'!$D$7),EDATE('Inputs'!$D$7,43),"n.a.")</x:f>
        <x:v>47635</x:v>
      </x:c>
      <x:c r="E223" s="26" t="n">
        <x:f>IF('Inputs'!$D$9&lt;&gt;"Ready","n.a.",IF(ISNUMBER('Inputs'!E62),IF('Inputs'!E62&gt;=0,'Inputs'!E62,"n.a."),IF('Inputs'!E62="",'Inputs'!$D$6,"n.a.")))</x:f>
        <x:v>500</x:v>
      </x:c>
      <x:c r="F223" s="22" t="n">
        <x:f>IF(COUNT($N$222:$N$226)=5,SUM($N$222:$N$226),"n.a.")</x:f>
        <x:v>0</x:v>
      </x:c>
      <x:c r="G223" s="22" t="n">
        <x:f>IF(COUNT(E223:F223)=2,MAX(0,E223-F223),"n.a.")</x:f>
        <x:v>500</x:v>
      </x:c>
      <x:c r="H223" s="26" t="str">
        <x:f>'Inputs'!C12</x:f>
        <x:v>Card B</x:v>
      </x:c>
      <x:c r="I223" s="26" t="n">
        <x:f>S218</x:f>
        <x:v>0</x:v>
      </x:c>
      <x:c r="J223" s="29" t="n">
        <x:f>IF('Inputs'!$D$9="Ready",'Inputs'!E12,"n.a.")</x:f>
        <x:v>0.18</x:v>
      </x:c>
      <x:c r="K223" s="26" t="n">
        <x:f>IF('Inputs'!$D$9="Ready",'Inputs'!F12,"n.a.")</x:f>
        <x:v>60</x:v>
      </x:c>
      <x:c r="L223" s="29" t="n">
        <x:f>IF('Inputs'!$D$9="Ready",'Inputs'!G12,"n.a.")</x:f>
        <x:v>0.02</x:v>
      </x:c>
      <x:c r="M223" s="22" t="n">
        <x:f>IF(COUNT(I223:L223)=4,ROUND(I223*J223/12,2),"n.a.")</x:f>
        <x:v>0</x:v>
      </x:c>
      <x:c r="N223" s="22" t="n">
        <x:f>IF(COUNT(I223:M223)=5,MIN(I223+M223,ROUND(MAX(K223,I223*L223+M223),2)),"n.a.")</x:f>
        <x:v>0</x:v>
      </x:c>
      <x:c r="O223" s="30" t="n">
        <x:f>IF(COUNT($I$222:$I$226)&lt;&gt;5,"n.a.",IF(I223=0,6,IF('Inputs'!$D$5=1,COUNTIFS($I$222:$I$226,"&gt;0",$I$222:$I$226,"&lt;"&amp;I223)+COUNTIFS($I$222:I223,I223),COUNTIFS($I$222:$I$226,"&gt;0",$J$222:$J$226,"&gt;"&amp;J223)+COUNTIFS($I$222:I223,"&gt;0",$J$222:J223,J223))))</x:f>
        <x:v>6</x:v>
      </x:c>
      <x:c r="P223" s="22" t="n">
        <x:f>IF(T223="Ready",MIN(U223,MAX(0,G223-SUMIFS($U$222:$U$226,$O$222:$O$226,"&lt;"&amp;O223))),"n.a.")</x:f>
        <x:v>0</x:v>
      </x:c>
      <x:c r="Q223" s="22" t="n">
        <x:f>IF(T223="Ready",ROUND(N223+P223,2),"n.a.")</x:f>
        <x:v>0</x:v>
      </x:c>
      <x:c r="R223" s="22" t="n">
        <x:f>IF(T223="Ready",ROUND(Q223-M223,2),"n.a.")</x:f>
        <x:v>0</x:v>
      </x:c>
      <x:c r="S223" s="22" t="n">
        <x:f>IF(T223="Ready",MAX(0,ROUND(I223+M223-Q223,2)),"n.a.")</x:f>
        <x:v>0</x:v>
      </x:c>
      <x:c r="T223" s="22" t="str">
        <x:f>IF(AND(COUNT($I$222:$I$226)=5,COUNT(E223:F223)=2),IF(E223&gt;=F223,"Ready","Budget below minima"),"Check inputs")</x:f>
        <x:v>Ready</x:v>
      </x:c>
      <x:c r="U223" s="22" t="n">
        <x:f>IF(COUNT(I223,M223,N223)=3,MAX(0,ROUND(I223+M223-N223,2)),"n.a.")</x:f>
        <x:v>0</x:v>
      </x:c>
    </x:row>
    <x:row r="224" ht="22" customHeight="1">
      <x:c r="A224" s="2"/>
      <x:c r="B224" s="2"/>
      <x:c r="C224" s="27" t="n">
        <x:f>44</x:f>
        <x:v>44</x:v>
      </x:c>
      <x:c r="D224" s="28" t="n">
        <x:f>IF(ISNUMBER('Inputs'!$D$7),EDATE('Inputs'!$D$7,43),"n.a.")</x:f>
        <x:v>47635</x:v>
      </x:c>
      <x:c r="E224" s="26" t="n">
        <x:f>IF('Inputs'!$D$9&lt;&gt;"Ready","n.a.",IF(ISNUMBER('Inputs'!E62),IF('Inputs'!E62&gt;=0,'Inputs'!E62,"n.a."),IF('Inputs'!E62="",'Inputs'!$D$6,"n.a.")))</x:f>
        <x:v>500</x:v>
      </x:c>
      <x:c r="F224" s="22" t="n">
        <x:f>IF(COUNT($N$222:$N$226)=5,SUM($N$222:$N$226),"n.a.")</x:f>
        <x:v>0</x:v>
      </x:c>
      <x:c r="G224" s="22" t="n">
        <x:f>IF(COUNT(E224:F224)=2,MAX(0,E224-F224),"n.a.")</x:f>
        <x:v>500</x:v>
      </x:c>
      <x:c r="H224" s="26" t="str">
        <x:f>'Inputs'!C13</x:f>
        <x:v>Loan C</x:v>
      </x:c>
      <x:c r="I224" s="26" t="n">
        <x:f>S219</x:f>
        <x:v>0</x:v>
      </x:c>
      <x:c r="J224" s="29" t="n">
        <x:f>IF('Inputs'!$D$9="Ready",'Inputs'!E13,"n.a.")</x:f>
        <x:v>0.08</x:v>
      </x:c>
      <x:c r="K224" s="26" t="n">
        <x:f>IF('Inputs'!$D$9="Ready",'Inputs'!F13,"n.a.")</x:f>
        <x:v>150</x:v>
      </x:c>
      <x:c r="L224" s="29" t="n">
        <x:f>IF('Inputs'!$D$9="Ready",'Inputs'!G13,"n.a.")</x:f>
        <x:v>0</x:v>
      </x:c>
      <x:c r="M224" s="22" t="n">
        <x:f>IF(COUNT(I224:L224)=4,ROUND(I224*J224/12,2),"n.a.")</x:f>
        <x:v>0</x:v>
      </x:c>
      <x:c r="N224" s="22" t="n">
        <x:f>IF(COUNT(I224:M224)=5,MIN(I224+M224,ROUND(MAX(K224,I224*L224+M224),2)),"n.a.")</x:f>
        <x:v>0</x:v>
      </x:c>
      <x:c r="O224" s="30" t="n">
        <x:f>IF(COUNT($I$222:$I$226)&lt;&gt;5,"n.a.",IF(I224=0,6,IF('Inputs'!$D$5=1,COUNTIFS($I$222:$I$226,"&gt;0",$I$222:$I$226,"&lt;"&amp;I224)+COUNTIFS($I$222:I224,I224),COUNTIFS($I$222:$I$226,"&gt;0",$J$222:$J$226,"&gt;"&amp;J224)+COUNTIFS($I$222:I224,"&gt;0",$J$222:J224,J224))))</x:f>
        <x:v>6</x:v>
      </x:c>
      <x:c r="P224" s="22" t="n">
        <x:f>IF(T224="Ready",MIN(U224,MAX(0,G224-SUMIFS($U$222:$U$226,$O$222:$O$226,"&lt;"&amp;O224))),"n.a.")</x:f>
        <x:v>0</x:v>
      </x:c>
      <x:c r="Q224" s="22" t="n">
        <x:f>IF(T224="Ready",ROUND(N224+P224,2),"n.a.")</x:f>
        <x:v>0</x:v>
      </x:c>
      <x:c r="R224" s="22" t="n">
        <x:f>IF(T224="Ready",ROUND(Q224-M224,2),"n.a.")</x:f>
        <x:v>0</x:v>
      </x:c>
      <x:c r="S224" s="22" t="n">
        <x:f>IF(T224="Ready",MAX(0,ROUND(I224+M224-Q224,2)),"n.a.")</x:f>
        <x:v>0</x:v>
      </x:c>
      <x:c r="T224" s="22" t="str">
        <x:f>IF(AND(COUNT($I$222:$I$226)=5,COUNT(E224:F224)=2),IF(E224&gt;=F224,"Ready","Budget below minima"),"Check inputs")</x:f>
        <x:v>Ready</x:v>
      </x:c>
      <x:c r="U224" s="22" t="n">
        <x:f>IF(COUNT(I224,M224,N224)=3,MAX(0,ROUND(I224+M224-N224,2)),"n.a.")</x:f>
        <x:v>0</x:v>
      </x:c>
    </x:row>
    <x:row r="225" ht="22" customHeight="1">
      <x:c r="A225" s="2"/>
      <x:c r="B225" s="2"/>
      <x:c r="C225" s="27" t="n">
        <x:f>44</x:f>
        <x:v>44</x:v>
      </x:c>
      <x:c r="D225" s="28" t="n">
        <x:f>IF(ISNUMBER('Inputs'!$D$7),EDATE('Inputs'!$D$7,43),"n.a.")</x:f>
        <x:v>47635</x:v>
      </x:c>
      <x:c r="E225" s="26" t="n">
        <x:f>IF('Inputs'!$D$9&lt;&gt;"Ready","n.a.",IF(ISNUMBER('Inputs'!E62),IF('Inputs'!E62&gt;=0,'Inputs'!E62,"n.a."),IF('Inputs'!E62="",'Inputs'!$D$6,"n.a.")))</x:f>
        <x:v>500</x:v>
      </x:c>
      <x:c r="F225" s="22" t="n">
        <x:f>IF(COUNT($N$222:$N$226)=5,SUM($N$222:$N$226),"n.a.")</x:f>
        <x:v>0</x:v>
      </x:c>
      <x:c r="G225" s="22" t="n">
        <x:f>IF(COUNT(E225:F225)=2,MAX(0,E225-F225),"n.a.")</x:f>
        <x:v>500</x:v>
      </x:c>
      <x:c r="H225" s="26" t="str">
        <x:f>'Inputs'!C14</x:f>
        <x:v>Unused 4</x:v>
      </x:c>
      <x:c r="I225" s="26" t="n">
        <x:f>S220</x:f>
        <x:v>0</x:v>
      </x:c>
      <x:c r="J225" s="29" t="n">
        <x:f>IF('Inputs'!$D$9="Ready",'Inputs'!E14,"n.a.")</x:f>
        <x:v>0</x:v>
      </x:c>
      <x:c r="K225" s="26" t="n">
        <x:f>IF('Inputs'!$D$9="Ready",'Inputs'!F14,"n.a.")</x:f>
        <x:v>0</x:v>
      </x:c>
      <x:c r="L225" s="29" t="n">
        <x:f>IF('Inputs'!$D$9="Ready",'Inputs'!G14,"n.a.")</x:f>
        <x:v>0</x:v>
      </x:c>
      <x:c r="M225" s="22" t="n">
        <x:f>IF(COUNT(I225:L225)=4,ROUND(I225*J225/12,2),"n.a.")</x:f>
        <x:v>0</x:v>
      </x:c>
      <x:c r="N225" s="22" t="n">
        <x:f>IF(COUNT(I225:M225)=5,MIN(I225+M225,ROUND(MAX(K225,I225*L225+M225),2)),"n.a.")</x:f>
        <x:v>0</x:v>
      </x:c>
      <x:c r="O225" s="30" t="n">
        <x:f>IF(COUNT($I$222:$I$226)&lt;&gt;5,"n.a.",IF(I225=0,6,IF('Inputs'!$D$5=1,COUNTIFS($I$222:$I$226,"&gt;0",$I$222:$I$226,"&lt;"&amp;I225)+COUNTIFS($I$222:I225,I225),COUNTIFS($I$222:$I$226,"&gt;0",$J$222:$J$226,"&gt;"&amp;J225)+COUNTIFS($I$222:I225,"&gt;0",$J$222:J225,J225))))</x:f>
        <x:v>6</x:v>
      </x:c>
      <x:c r="P225" s="22" t="n">
        <x:f>IF(T225="Ready",MIN(U225,MAX(0,G225-SUMIFS($U$222:$U$226,$O$222:$O$226,"&lt;"&amp;O225))),"n.a.")</x:f>
        <x:v>0</x:v>
      </x:c>
      <x:c r="Q225" s="22" t="n">
        <x:f>IF(T225="Ready",ROUND(N225+P225,2),"n.a.")</x:f>
        <x:v>0</x:v>
      </x:c>
      <x:c r="R225" s="22" t="n">
        <x:f>IF(T225="Ready",ROUND(Q225-M225,2),"n.a.")</x:f>
        <x:v>0</x:v>
      </x:c>
      <x:c r="S225" s="22" t="n">
        <x:f>IF(T225="Ready",MAX(0,ROUND(I225+M225-Q225,2)),"n.a.")</x:f>
        <x:v>0</x:v>
      </x:c>
      <x:c r="T225" s="22" t="str">
        <x:f>IF(AND(COUNT($I$222:$I$226)=5,COUNT(E225:F225)=2),IF(E225&gt;=F225,"Ready","Budget below minima"),"Check inputs")</x:f>
        <x:v>Ready</x:v>
      </x:c>
      <x:c r="U225" s="22" t="n">
        <x:f>IF(COUNT(I225,M225,N225)=3,MAX(0,ROUND(I225+M225-N225,2)),"n.a.")</x:f>
        <x:v>0</x:v>
      </x:c>
    </x:row>
    <x:row r="226" ht="22" customHeight="1">
      <x:c r="A226" s="2"/>
      <x:c r="B226" s="2"/>
      <x:c r="C226" s="27" t="n">
        <x:f>44</x:f>
        <x:v>44</x:v>
      </x:c>
      <x:c r="D226" s="28" t="n">
        <x:f>IF(ISNUMBER('Inputs'!$D$7),EDATE('Inputs'!$D$7,43),"n.a.")</x:f>
        <x:v>47635</x:v>
      </x:c>
      <x:c r="E226" s="26" t="n">
        <x:f>IF('Inputs'!$D$9&lt;&gt;"Ready","n.a.",IF(ISNUMBER('Inputs'!E62),IF('Inputs'!E62&gt;=0,'Inputs'!E62,"n.a."),IF('Inputs'!E62="",'Inputs'!$D$6,"n.a.")))</x:f>
        <x:v>500</x:v>
      </x:c>
      <x:c r="F226" s="22" t="n">
        <x:f>IF(COUNT($N$222:$N$226)=5,SUM($N$222:$N$226),"n.a.")</x:f>
        <x:v>0</x:v>
      </x:c>
      <x:c r="G226" s="22" t="n">
        <x:f>IF(COUNT(E226:F226)=2,MAX(0,E226-F226),"n.a.")</x:f>
        <x:v>500</x:v>
      </x:c>
      <x:c r="H226" s="26" t="str">
        <x:f>'Inputs'!C15</x:f>
        <x:v>Unused 5</x:v>
      </x:c>
      <x:c r="I226" s="26" t="n">
        <x:f>S221</x:f>
        <x:v>0</x:v>
      </x:c>
      <x:c r="J226" s="29" t="n">
        <x:f>IF('Inputs'!$D$9="Ready",'Inputs'!E15,"n.a.")</x:f>
        <x:v>0</x:v>
      </x:c>
      <x:c r="K226" s="26" t="n">
        <x:f>IF('Inputs'!$D$9="Ready",'Inputs'!F15,"n.a.")</x:f>
        <x:v>0</x:v>
      </x:c>
      <x:c r="L226" s="29" t="n">
        <x:f>IF('Inputs'!$D$9="Ready",'Inputs'!G15,"n.a.")</x:f>
        <x:v>0</x:v>
      </x:c>
      <x:c r="M226" s="22" t="n">
        <x:f>IF(COUNT(I226:L226)=4,ROUND(I226*J226/12,2),"n.a.")</x:f>
        <x:v>0</x:v>
      </x:c>
      <x:c r="N226" s="22" t="n">
        <x:f>IF(COUNT(I226:M226)=5,MIN(I226+M226,ROUND(MAX(K226,I226*L226+M226),2)),"n.a.")</x:f>
        <x:v>0</x:v>
      </x:c>
      <x:c r="O226" s="30" t="n">
        <x:f>IF(COUNT($I$222:$I$226)&lt;&gt;5,"n.a.",IF(I226=0,6,IF('Inputs'!$D$5=1,COUNTIFS($I$222:$I$226,"&gt;0",$I$222:$I$226,"&lt;"&amp;I226)+COUNTIFS($I$222:I226,I226),COUNTIFS($I$222:$I$226,"&gt;0",$J$222:$J$226,"&gt;"&amp;J226)+COUNTIFS($I$222:I226,"&gt;0",$J$222:J226,J226))))</x:f>
        <x:v>6</x:v>
      </x:c>
      <x:c r="P226" s="22" t="n">
        <x:f>IF(T226="Ready",MIN(U226,MAX(0,G226-SUMIFS($U$222:$U$226,$O$222:$O$226,"&lt;"&amp;O226))),"n.a.")</x:f>
        <x:v>0</x:v>
      </x:c>
      <x:c r="Q226" s="22" t="n">
        <x:f>IF(T226="Ready",ROUND(N226+P226,2),"n.a.")</x:f>
        <x:v>0</x:v>
      </x:c>
      <x:c r="R226" s="22" t="n">
        <x:f>IF(T226="Ready",ROUND(Q226-M226,2),"n.a.")</x:f>
        <x:v>0</x:v>
      </x:c>
      <x:c r="S226" s="22" t="n">
        <x:f>IF(T226="Ready",MAX(0,ROUND(I226+M226-Q226,2)),"n.a.")</x:f>
        <x:v>0</x:v>
      </x:c>
      <x:c r="T226" s="22" t="str">
        <x:f>IF(AND(COUNT($I$222:$I$226)=5,COUNT(E226:F226)=2),IF(E226&gt;=F226,"Ready","Budget below minima"),"Check inputs")</x:f>
        <x:v>Ready</x:v>
      </x:c>
      <x:c r="U226" s="22" t="n">
        <x:f>IF(COUNT(I226,M226,N226)=3,MAX(0,ROUND(I226+M226-N226,2)),"n.a.")</x:f>
        <x:v>0</x:v>
      </x:c>
    </x:row>
    <x:row r="227" ht="22" customHeight="1">
      <x:c r="A227" s="2"/>
      <x:c r="B227" s="2"/>
      <x:c r="C227" s="27" t="n">
        <x:f>45</x:f>
        <x:v>45</x:v>
      </x:c>
      <x:c r="D227" s="28" t="n">
        <x:f>IF(ISNUMBER('Inputs'!$D$7),EDATE('Inputs'!$D$7,44),"n.a.")</x:f>
        <x:v>47665</x:v>
      </x:c>
      <x:c r="E227" s="26" t="n">
        <x:f>IF('Inputs'!$D$9&lt;&gt;"Ready","n.a.",IF(ISNUMBER('Inputs'!E63),IF('Inputs'!E63&gt;=0,'Inputs'!E63,"n.a."),IF('Inputs'!E63="",'Inputs'!$D$6,"n.a.")))</x:f>
        <x:v>500</x:v>
      </x:c>
      <x:c r="F227" s="22" t="n">
        <x:f>IF(COUNT($N$227:$N$231)=5,SUM($N$227:$N$231),"n.a.")</x:f>
        <x:v>0</x:v>
      </x:c>
      <x:c r="G227" s="22" t="n">
        <x:f>IF(COUNT(E227:F227)=2,MAX(0,E227-F227),"n.a.")</x:f>
        <x:v>500</x:v>
      </x:c>
      <x:c r="H227" s="26" t="str">
        <x:f>'Inputs'!C11</x:f>
        <x:v>Card A</x:v>
      </x:c>
      <x:c r="I227" s="26" t="n">
        <x:f>S222</x:f>
        <x:v>0</x:v>
      </x:c>
      <x:c r="J227" s="29" t="n">
        <x:f>IF('Inputs'!$D$9="Ready",'Inputs'!E11,"n.a.")</x:f>
        <x:v>0.24</x:v>
      </x:c>
      <x:c r="K227" s="26" t="n">
        <x:f>IF('Inputs'!$D$9="Ready",'Inputs'!F11,"n.a.")</x:f>
        <x:v>35</x:v>
      </x:c>
      <x:c r="L227" s="29" t="n">
        <x:f>IF('Inputs'!$D$9="Ready",'Inputs'!G11,"n.a.")</x:f>
        <x:v>0.02</x:v>
      </x:c>
      <x:c r="M227" s="22" t="n">
        <x:f>IF(COUNT(I227:L227)=4,ROUND(I227*J227/12,2),"n.a.")</x:f>
        <x:v>0</x:v>
      </x:c>
      <x:c r="N227" s="22" t="n">
        <x:f>IF(COUNT(I227:M227)=5,MIN(I227+M227,ROUND(MAX(K227,I227*L227+M227),2)),"n.a.")</x:f>
        <x:v>0</x:v>
      </x:c>
      <x:c r="O227" s="30" t="n">
        <x:f>IF(COUNT($I$227:$I$231)&lt;&gt;5,"n.a.",IF(I227=0,6,IF('Inputs'!$D$5=1,COUNTIFS($I$227:$I$231,"&gt;0",$I$227:$I$231,"&lt;"&amp;I227)+COUNTIFS($I$227:I227,I227),COUNTIFS($I$227:$I$231,"&gt;0",$J$227:$J$231,"&gt;"&amp;J227)+COUNTIFS($I$227:I227,"&gt;0",$J$227:J227,J227))))</x:f>
        <x:v>6</x:v>
      </x:c>
      <x:c r="P227" s="22" t="n">
        <x:f>IF(T227="Ready",MIN(U227,MAX(0,G227-SUMIFS($U$227:$U$231,$O$227:$O$231,"&lt;"&amp;O227))),"n.a.")</x:f>
        <x:v>0</x:v>
      </x:c>
      <x:c r="Q227" s="22" t="n">
        <x:f>IF(T227="Ready",ROUND(N227+P227,2),"n.a.")</x:f>
        <x:v>0</x:v>
      </x:c>
      <x:c r="R227" s="22" t="n">
        <x:f>IF(T227="Ready",ROUND(Q227-M227,2),"n.a.")</x:f>
        <x:v>0</x:v>
      </x:c>
      <x:c r="S227" s="22" t="n">
        <x:f>IF(T227="Ready",MAX(0,ROUND(I227+M227-Q227,2)),"n.a.")</x:f>
        <x:v>0</x:v>
      </x:c>
      <x:c r="T227" s="22" t="str">
        <x:f>IF(AND(COUNT($I$227:$I$231)=5,COUNT(E227:F227)=2),IF(E227&gt;=F227,"Ready","Budget below minima"),"Check inputs")</x:f>
        <x:v>Ready</x:v>
      </x:c>
      <x:c r="U227" s="22" t="n">
        <x:f>IF(COUNT(I227,M227,N227)=3,MAX(0,ROUND(I227+M227-N227,2)),"n.a.")</x:f>
        <x:v>0</x:v>
      </x:c>
    </x:row>
    <x:row r="228" ht="22" customHeight="1">
      <x:c r="A228" s="2"/>
      <x:c r="B228" s="2"/>
      <x:c r="C228" s="27" t="n">
        <x:f>45</x:f>
        <x:v>45</x:v>
      </x:c>
      <x:c r="D228" s="28" t="n">
        <x:f>IF(ISNUMBER('Inputs'!$D$7),EDATE('Inputs'!$D$7,44),"n.a.")</x:f>
        <x:v>47665</x:v>
      </x:c>
      <x:c r="E228" s="26" t="n">
        <x:f>IF('Inputs'!$D$9&lt;&gt;"Ready","n.a.",IF(ISNUMBER('Inputs'!E63),IF('Inputs'!E63&gt;=0,'Inputs'!E63,"n.a."),IF('Inputs'!E63="",'Inputs'!$D$6,"n.a.")))</x:f>
        <x:v>500</x:v>
      </x:c>
      <x:c r="F228" s="22" t="n">
        <x:f>IF(COUNT($N$227:$N$231)=5,SUM($N$227:$N$231),"n.a.")</x:f>
        <x:v>0</x:v>
      </x:c>
      <x:c r="G228" s="22" t="n">
        <x:f>IF(COUNT(E228:F228)=2,MAX(0,E228-F228),"n.a.")</x:f>
        <x:v>500</x:v>
      </x:c>
      <x:c r="H228" s="26" t="str">
        <x:f>'Inputs'!C12</x:f>
        <x:v>Card B</x:v>
      </x:c>
      <x:c r="I228" s="26" t="n">
        <x:f>S223</x:f>
        <x:v>0</x:v>
      </x:c>
      <x:c r="J228" s="29" t="n">
        <x:f>IF('Inputs'!$D$9="Ready",'Inputs'!E12,"n.a.")</x:f>
        <x:v>0.18</x:v>
      </x:c>
      <x:c r="K228" s="26" t="n">
        <x:f>IF('Inputs'!$D$9="Ready",'Inputs'!F12,"n.a.")</x:f>
        <x:v>60</x:v>
      </x:c>
      <x:c r="L228" s="29" t="n">
        <x:f>IF('Inputs'!$D$9="Ready",'Inputs'!G12,"n.a.")</x:f>
        <x:v>0.02</x:v>
      </x:c>
      <x:c r="M228" s="22" t="n">
        <x:f>IF(COUNT(I228:L228)=4,ROUND(I228*J228/12,2),"n.a.")</x:f>
        <x:v>0</x:v>
      </x:c>
      <x:c r="N228" s="22" t="n">
        <x:f>IF(COUNT(I228:M228)=5,MIN(I228+M228,ROUND(MAX(K228,I228*L228+M228),2)),"n.a.")</x:f>
        <x:v>0</x:v>
      </x:c>
      <x:c r="O228" s="30" t="n">
        <x:f>IF(COUNT($I$227:$I$231)&lt;&gt;5,"n.a.",IF(I228=0,6,IF('Inputs'!$D$5=1,COUNTIFS($I$227:$I$231,"&gt;0",$I$227:$I$231,"&lt;"&amp;I228)+COUNTIFS($I$227:I228,I228),COUNTIFS($I$227:$I$231,"&gt;0",$J$227:$J$231,"&gt;"&amp;J228)+COUNTIFS($I$227:I228,"&gt;0",$J$227:J228,J228))))</x:f>
        <x:v>6</x:v>
      </x:c>
      <x:c r="P228" s="22" t="n">
        <x:f>IF(T228="Ready",MIN(U228,MAX(0,G228-SUMIFS($U$227:$U$231,$O$227:$O$231,"&lt;"&amp;O228))),"n.a.")</x:f>
        <x:v>0</x:v>
      </x:c>
      <x:c r="Q228" s="22" t="n">
        <x:f>IF(T228="Ready",ROUND(N228+P228,2),"n.a.")</x:f>
        <x:v>0</x:v>
      </x:c>
      <x:c r="R228" s="22" t="n">
        <x:f>IF(T228="Ready",ROUND(Q228-M228,2),"n.a.")</x:f>
        <x:v>0</x:v>
      </x:c>
      <x:c r="S228" s="22" t="n">
        <x:f>IF(T228="Ready",MAX(0,ROUND(I228+M228-Q228,2)),"n.a.")</x:f>
        <x:v>0</x:v>
      </x:c>
      <x:c r="T228" s="22" t="str">
        <x:f>IF(AND(COUNT($I$227:$I$231)=5,COUNT(E228:F228)=2),IF(E228&gt;=F228,"Ready","Budget below minima"),"Check inputs")</x:f>
        <x:v>Ready</x:v>
      </x:c>
      <x:c r="U228" s="22" t="n">
        <x:f>IF(COUNT(I228,M228,N228)=3,MAX(0,ROUND(I228+M228-N228,2)),"n.a.")</x:f>
        <x:v>0</x:v>
      </x:c>
    </x:row>
    <x:row r="229" ht="22" customHeight="1">
      <x:c r="A229" s="2"/>
      <x:c r="B229" s="2"/>
      <x:c r="C229" s="27" t="n">
        <x:f>45</x:f>
        <x:v>45</x:v>
      </x:c>
      <x:c r="D229" s="28" t="n">
        <x:f>IF(ISNUMBER('Inputs'!$D$7),EDATE('Inputs'!$D$7,44),"n.a.")</x:f>
        <x:v>47665</x:v>
      </x:c>
      <x:c r="E229" s="26" t="n">
        <x:f>IF('Inputs'!$D$9&lt;&gt;"Ready","n.a.",IF(ISNUMBER('Inputs'!E63),IF('Inputs'!E63&gt;=0,'Inputs'!E63,"n.a."),IF('Inputs'!E63="",'Inputs'!$D$6,"n.a.")))</x:f>
        <x:v>500</x:v>
      </x:c>
      <x:c r="F229" s="22" t="n">
        <x:f>IF(COUNT($N$227:$N$231)=5,SUM($N$227:$N$231),"n.a.")</x:f>
        <x:v>0</x:v>
      </x:c>
      <x:c r="G229" s="22" t="n">
        <x:f>IF(COUNT(E229:F229)=2,MAX(0,E229-F229),"n.a.")</x:f>
        <x:v>500</x:v>
      </x:c>
      <x:c r="H229" s="26" t="str">
        <x:f>'Inputs'!C13</x:f>
        <x:v>Loan C</x:v>
      </x:c>
      <x:c r="I229" s="26" t="n">
        <x:f>S224</x:f>
        <x:v>0</x:v>
      </x:c>
      <x:c r="J229" s="29" t="n">
        <x:f>IF('Inputs'!$D$9="Ready",'Inputs'!E13,"n.a.")</x:f>
        <x:v>0.08</x:v>
      </x:c>
      <x:c r="K229" s="26" t="n">
        <x:f>IF('Inputs'!$D$9="Ready",'Inputs'!F13,"n.a.")</x:f>
        <x:v>150</x:v>
      </x:c>
      <x:c r="L229" s="29" t="n">
        <x:f>IF('Inputs'!$D$9="Ready",'Inputs'!G13,"n.a.")</x:f>
        <x:v>0</x:v>
      </x:c>
      <x:c r="M229" s="22" t="n">
        <x:f>IF(COUNT(I229:L229)=4,ROUND(I229*J229/12,2),"n.a.")</x:f>
        <x:v>0</x:v>
      </x:c>
      <x:c r="N229" s="22" t="n">
        <x:f>IF(COUNT(I229:M229)=5,MIN(I229+M229,ROUND(MAX(K229,I229*L229+M229),2)),"n.a.")</x:f>
        <x:v>0</x:v>
      </x:c>
      <x:c r="O229" s="30" t="n">
        <x:f>IF(COUNT($I$227:$I$231)&lt;&gt;5,"n.a.",IF(I229=0,6,IF('Inputs'!$D$5=1,COUNTIFS($I$227:$I$231,"&gt;0",$I$227:$I$231,"&lt;"&amp;I229)+COUNTIFS($I$227:I229,I229),COUNTIFS($I$227:$I$231,"&gt;0",$J$227:$J$231,"&gt;"&amp;J229)+COUNTIFS($I$227:I229,"&gt;0",$J$227:J229,J229))))</x:f>
        <x:v>6</x:v>
      </x:c>
      <x:c r="P229" s="22" t="n">
        <x:f>IF(T229="Ready",MIN(U229,MAX(0,G229-SUMIFS($U$227:$U$231,$O$227:$O$231,"&lt;"&amp;O229))),"n.a.")</x:f>
        <x:v>0</x:v>
      </x:c>
      <x:c r="Q229" s="22" t="n">
        <x:f>IF(T229="Ready",ROUND(N229+P229,2),"n.a.")</x:f>
        <x:v>0</x:v>
      </x:c>
      <x:c r="R229" s="22" t="n">
        <x:f>IF(T229="Ready",ROUND(Q229-M229,2),"n.a.")</x:f>
        <x:v>0</x:v>
      </x:c>
      <x:c r="S229" s="22" t="n">
        <x:f>IF(T229="Ready",MAX(0,ROUND(I229+M229-Q229,2)),"n.a.")</x:f>
        <x:v>0</x:v>
      </x:c>
      <x:c r="T229" s="22" t="str">
        <x:f>IF(AND(COUNT($I$227:$I$231)=5,COUNT(E229:F229)=2),IF(E229&gt;=F229,"Ready","Budget below minima"),"Check inputs")</x:f>
        <x:v>Ready</x:v>
      </x:c>
      <x:c r="U229" s="22" t="n">
        <x:f>IF(COUNT(I229,M229,N229)=3,MAX(0,ROUND(I229+M229-N229,2)),"n.a.")</x:f>
        <x:v>0</x:v>
      </x:c>
    </x:row>
    <x:row r="230" ht="22" customHeight="1">
      <x:c r="A230" s="2"/>
      <x:c r="B230" s="2"/>
      <x:c r="C230" s="27" t="n">
        <x:f>45</x:f>
        <x:v>45</x:v>
      </x:c>
      <x:c r="D230" s="28" t="n">
        <x:f>IF(ISNUMBER('Inputs'!$D$7),EDATE('Inputs'!$D$7,44),"n.a.")</x:f>
        <x:v>47665</x:v>
      </x:c>
      <x:c r="E230" s="26" t="n">
        <x:f>IF('Inputs'!$D$9&lt;&gt;"Ready","n.a.",IF(ISNUMBER('Inputs'!E63),IF('Inputs'!E63&gt;=0,'Inputs'!E63,"n.a."),IF('Inputs'!E63="",'Inputs'!$D$6,"n.a.")))</x:f>
        <x:v>500</x:v>
      </x:c>
      <x:c r="F230" s="22" t="n">
        <x:f>IF(COUNT($N$227:$N$231)=5,SUM($N$227:$N$231),"n.a.")</x:f>
        <x:v>0</x:v>
      </x:c>
      <x:c r="G230" s="22" t="n">
        <x:f>IF(COUNT(E230:F230)=2,MAX(0,E230-F230),"n.a.")</x:f>
        <x:v>500</x:v>
      </x:c>
      <x:c r="H230" s="26" t="str">
        <x:f>'Inputs'!C14</x:f>
        <x:v>Unused 4</x:v>
      </x:c>
      <x:c r="I230" s="26" t="n">
        <x:f>S225</x:f>
        <x:v>0</x:v>
      </x:c>
      <x:c r="J230" s="29" t="n">
        <x:f>IF('Inputs'!$D$9="Ready",'Inputs'!E14,"n.a.")</x:f>
        <x:v>0</x:v>
      </x:c>
      <x:c r="K230" s="26" t="n">
        <x:f>IF('Inputs'!$D$9="Ready",'Inputs'!F14,"n.a.")</x:f>
        <x:v>0</x:v>
      </x:c>
      <x:c r="L230" s="29" t="n">
        <x:f>IF('Inputs'!$D$9="Ready",'Inputs'!G14,"n.a.")</x:f>
        <x:v>0</x:v>
      </x:c>
      <x:c r="M230" s="22" t="n">
        <x:f>IF(COUNT(I230:L230)=4,ROUND(I230*J230/12,2),"n.a.")</x:f>
        <x:v>0</x:v>
      </x:c>
      <x:c r="N230" s="22" t="n">
        <x:f>IF(COUNT(I230:M230)=5,MIN(I230+M230,ROUND(MAX(K230,I230*L230+M230),2)),"n.a.")</x:f>
        <x:v>0</x:v>
      </x:c>
      <x:c r="O230" s="30" t="n">
        <x:f>IF(COUNT($I$227:$I$231)&lt;&gt;5,"n.a.",IF(I230=0,6,IF('Inputs'!$D$5=1,COUNTIFS($I$227:$I$231,"&gt;0",$I$227:$I$231,"&lt;"&amp;I230)+COUNTIFS($I$227:I230,I230),COUNTIFS($I$227:$I$231,"&gt;0",$J$227:$J$231,"&gt;"&amp;J230)+COUNTIFS($I$227:I230,"&gt;0",$J$227:J230,J230))))</x:f>
        <x:v>6</x:v>
      </x:c>
      <x:c r="P230" s="22" t="n">
        <x:f>IF(T230="Ready",MIN(U230,MAX(0,G230-SUMIFS($U$227:$U$231,$O$227:$O$231,"&lt;"&amp;O230))),"n.a.")</x:f>
        <x:v>0</x:v>
      </x:c>
      <x:c r="Q230" s="22" t="n">
        <x:f>IF(T230="Ready",ROUND(N230+P230,2),"n.a.")</x:f>
        <x:v>0</x:v>
      </x:c>
      <x:c r="R230" s="22" t="n">
        <x:f>IF(T230="Ready",ROUND(Q230-M230,2),"n.a.")</x:f>
        <x:v>0</x:v>
      </x:c>
      <x:c r="S230" s="22" t="n">
        <x:f>IF(T230="Ready",MAX(0,ROUND(I230+M230-Q230,2)),"n.a.")</x:f>
        <x:v>0</x:v>
      </x:c>
      <x:c r="T230" s="22" t="str">
        <x:f>IF(AND(COUNT($I$227:$I$231)=5,COUNT(E230:F230)=2),IF(E230&gt;=F230,"Ready","Budget below minima"),"Check inputs")</x:f>
        <x:v>Ready</x:v>
      </x:c>
      <x:c r="U230" s="22" t="n">
        <x:f>IF(COUNT(I230,M230,N230)=3,MAX(0,ROUND(I230+M230-N230,2)),"n.a.")</x:f>
        <x:v>0</x:v>
      </x:c>
    </x:row>
    <x:row r="231" ht="22" customHeight="1">
      <x:c r="A231" s="2"/>
      <x:c r="B231" s="2"/>
      <x:c r="C231" s="27" t="n">
        <x:f>45</x:f>
        <x:v>45</x:v>
      </x:c>
      <x:c r="D231" s="28" t="n">
        <x:f>IF(ISNUMBER('Inputs'!$D$7),EDATE('Inputs'!$D$7,44),"n.a.")</x:f>
        <x:v>47665</x:v>
      </x:c>
      <x:c r="E231" s="26" t="n">
        <x:f>IF('Inputs'!$D$9&lt;&gt;"Ready","n.a.",IF(ISNUMBER('Inputs'!E63),IF('Inputs'!E63&gt;=0,'Inputs'!E63,"n.a."),IF('Inputs'!E63="",'Inputs'!$D$6,"n.a.")))</x:f>
        <x:v>500</x:v>
      </x:c>
      <x:c r="F231" s="22" t="n">
        <x:f>IF(COUNT($N$227:$N$231)=5,SUM($N$227:$N$231),"n.a.")</x:f>
        <x:v>0</x:v>
      </x:c>
      <x:c r="G231" s="22" t="n">
        <x:f>IF(COUNT(E231:F231)=2,MAX(0,E231-F231),"n.a.")</x:f>
        <x:v>500</x:v>
      </x:c>
      <x:c r="H231" s="26" t="str">
        <x:f>'Inputs'!C15</x:f>
        <x:v>Unused 5</x:v>
      </x:c>
      <x:c r="I231" s="26" t="n">
        <x:f>S226</x:f>
        <x:v>0</x:v>
      </x:c>
      <x:c r="J231" s="29" t="n">
        <x:f>IF('Inputs'!$D$9="Ready",'Inputs'!E15,"n.a.")</x:f>
        <x:v>0</x:v>
      </x:c>
      <x:c r="K231" s="26" t="n">
        <x:f>IF('Inputs'!$D$9="Ready",'Inputs'!F15,"n.a.")</x:f>
        <x:v>0</x:v>
      </x:c>
      <x:c r="L231" s="29" t="n">
        <x:f>IF('Inputs'!$D$9="Ready",'Inputs'!G15,"n.a.")</x:f>
        <x:v>0</x:v>
      </x:c>
      <x:c r="M231" s="22" t="n">
        <x:f>IF(COUNT(I231:L231)=4,ROUND(I231*J231/12,2),"n.a.")</x:f>
        <x:v>0</x:v>
      </x:c>
      <x:c r="N231" s="22" t="n">
        <x:f>IF(COUNT(I231:M231)=5,MIN(I231+M231,ROUND(MAX(K231,I231*L231+M231),2)),"n.a.")</x:f>
        <x:v>0</x:v>
      </x:c>
      <x:c r="O231" s="30" t="n">
        <x:f>IF(COUNT($I$227:$I$231)&lt;&gt;5,"n.a.",IF(I231=0,6,IF('Inputs'!$D$5=1,COUNTIFS($I$227:$I$231,"&gt;0",$I$227:$I$231,"&lt;"&amp;I231)+COUNTIFS($I$227:I231,I231),COUNTIFS($I$227:$I$231,"&gt;0",$J$227:$J$231,"&gt;"&amp;J231)+COUNTIFS($I$227:I231,"&gt;0",$J$227:J231,J231))))</x:f>
        <x:v>6</x:v>
      </x:c>
      <x:c r="P231" s="22" t="n">
        <x:f>IF(T231="Ready",MIN(U231,MAX(0,G231-SUMIFS($U$227:$U$231,$O$227:$O$231,"&lt;"&amp;O231))),"n.a.")</x:f>
        <x:v>0</x:v>
      </x:c>
      <x:c r="Q231" s="22" t="n">
        <x:f>IF(T231="Ready",ROUND(N231+P231,2),"n.a.")</x:f>
        <x:v>0</x:v>
      </x:c>
      <x:c r="R231" s="22" t="n">
        <x:f>IF(T231="Ready",ROUND(Q231-M231,2),"n.a.")</x:f>
        <x:v>0</x:v>
      </x:c>
      <x:c r="S231" s="22" t="n">
        <x:f>IF(T231="Ready",MAX(0,ROUND(I231+M231-Q231,2)),"n.a.")</x:f>
        <x:v>0</x:v>
      </x:c>
      <x:c r="T231" s="22" t="str">
        <x:f>IF(AND(COUNT($I$227:$I$231)=5,COUNT(E231:F231)=2),IF(E231&gt;=F231,"Ready","Budget below minima"),"Check inputs")</x:f>
        <x:v>Ready</x:v>
      </x:c>
      <x:c r="U231" s="22" t="n">
        <x:f>IF(COUNT(I231,M231,N231)=3,MAX(0,ROUND(I231+M231-N231,2)),"n.a.")</x:f>
        <x:v>0</x:v>
      </x:c>
    </x:row>
    <x:row r="232" ht="22" customHeight="1">
      <x:c r="A232" s="2"/>
      <x:c r="B232" s="2"/>
      <x:c r="C232" s="27" t="n">
        <x:f>46</x:f>
        <x:v>46</x:v>
      </x:c>
      <x:c r="D232" s="28" t="n">
        <x:f>IF(ISNUMBER('Inputs'!$D$7),EDATE('Inputs'!$D$7,45),"n.a.")</x:f>
        <x:v>47696</x:v>
      </x:c>
      <x:c r="E232" s="26" t="n">
        <x:f>IF('Inputs'!$D$9&lt;&gt;"Ready","n.a.",IF(ISNUMBER('Inputs'!E64),IF('Inputs'!E64&gt;=0,'Inputs'!E64,"n.a."),IF('Inputs'!E64="",'Inputs'!$D$6,"n.a.")))</x:f>
        <x:v>500</x:v>
      </x:c>
      <x:c r="F232" s="22" t="n">
        <x:f>IF(COUNT($N$232:$N$236)=5,SUM($N$232:$N$236),"n.a.")</x:f>
        <x:v>0</x:v>
      </x:c>
      <x:c r="G232" s="22" t="n">
        <x:f>IF(COUNT(E232:F232)=2,MAX(0,E232-F232),"n.a.")</x:f>
        <x:v>500</x:v>
      </x:c>
      <x:c r="H232" s="26" t="str">
        <x:f>'Inputs'!C11</x:f>
        <x:v>Card A</x:v>
      </x:c>
      <x:c r="I232" s="26" t="n">
        <x:f>S227</x:f>
        <x:v>0</x:v>
      </x:c>
      <x:c r="J232" s="29" t="n">
        <x:f>IF('Inputs'!$D$9="Ready",'Inputs'!E11,"n.a.")</x:f>
        <x:v>0.24</x:v>
      </x:c>
      <x:c r="K232" s="26" t="n">
        <x:f>IF('Inputs'!$D$9="Ready",'Inputs'!F11,"n.a.")</x:f>
        <x:v>35</x:v>
      </x:c>
      <x:c r="L232" s="29" t="n">
        <x:f>IF('Inputs'!$D$9="Ready",'Inputs'!G11,"n.a.")</x:f>
        <x:v>0.02</x:v>
      </x:c>
      <x:c r="M232" s="22" t="n">
        <x:f>IF(COUNT(I232:L232)=4,ROUND(I232*J232/12,2),"n.a.")</x:f>
        <x:v>0</x:v>
      </x:c>
      <x:c r="N232" s="22" t="n">
        <x:f>IF(COUNT(I232:M232)=5,MIN(I232+M232,ROUND(MAX(K232,I232*L232+M232),2)),"n.a.")</x:f>
        <x:v>0</x:v>
      </x:c>
      <x:c r="O232" s="30" t="n">
        <x:f>IF(COUNT($I$232:$I$236)&lt;&gt;5,"n.a.",IF(I232=0,6,IF('Inputs'!$D$5=1,COUNTIFS($I$232:$I$236,"&gt;0",$I$232:$I$236,"&lt;"&amp;I232)+COUNTIFS($I$232:I232,I232),COUNTIFS($I$232:$I$236,"&gt;0",$J$232:$J$236,"&gt;"&amp;J232)+COUNTIFS($I$232:I232,"&gt;0",$J$232:J232,J232))))</x:f>
        <x:v>6</x:v>
      </x:c>
      <x:c r="P232" s="22" t="n">
        <x:f>IF(T232="Ready",MIN(U232,MAX(0,G232-SUMIFS($U$232:$U$236,$O$232:$O$236,"&lt;"&amp;O232))),"n.a.")</x:f>
        <x:v>0</x:v>
      </x:c>
      <x:c r="Q232" s="22" t="n">
        <x:f>IF(T232="Ready",ROUND(N232+P232,2),"n.a.")</x:f>
        <x:v>0</x:v>
      </x:c>
      <x:c r="R232" s="22" t="n">
        <x:f>IF(T232="Ready",ROUND(Q232-M232,2),"n.a.")</x:f>
        <x:v>0</x:v>
      </x:c>
      <x:c r="S232" s="22" t="n">
        <x:f>IF(T232="Ready",MAX(0,ROUND(I232+M232-Q232,2)),"n.a.")</x:f>
        <x:v>0</x:v>
      </x:c>
      <x:c r="T232" s="22" t="str">
        <x:f>IF(AND(COUNT($I$232:$I$236)=5,COUNT(E232:F232)=2),IF(E232&gt;=F232,"Ready","Budget below minima"),"Check inputs")</x:f>
        <x:v>Ready</x:v>
      </x:c>
      <x:c r="U232" s="22" t="n">
        <x:f>IF(COUNT(I232,M232,N232)=3,MAX(0,ROUND(I232+M232-N232,2)),"n.a.")</x:f>
        <x:v>0</x:v>
      </x:c>
    </x:row>
    <x:row r="233" ht="22" customHeight="1">
      <x:c r="A233" s="2"/>
      <x:c r="B233" s="2"/>
      <x:c r="C233" s="27" t="n">
        <x:f>46</x:f>
        <x:v>46</x:v>
      </x:c>
      <x:c r="D233" s="28" t="n">
        <x:f>IF(ISNUMBER('Inputs'!$D$7),EDATE('Inputs'!$D$7,45),"n.a.")</x:f>
        <x:v>47696</x:v>
      </x:c>
      <x:c r="E233" s="26" t="n">
        <x:f>IF('Inputs'!$D$9&lt;&gt;"Ready","n.a.",IF(ISNUMBER('Inputs'!E64),IF('Inputs'!E64&gt;=0,'Inputs'!E64,"n.a."),IF('Inputs'!E64="",'Inputs'!$D$6,"n.a.")))</x:f>
        <x:v>500</x:v>
      </x:c>
      <x:c r="F233" s="22" t="n">
        <x:f>IF(COUNT($N$232:$N$236)=5,SUM($N$232:$N$236),"n.a.")</x:f>
        <x:v>0</x:v>
      </x:c>
      <x:c r="G233" s="22" t="n">
        <x:f>IF(COUNT(E233:F233)=2,MAX(0,E233-F233),"n.a.")</x:f>
        <x:v>500</x:v>
      </x:c>
      <x:c r="H233" s="26" t="str">
        <x:f>'Inputs'!C12</x:f>
        <x:v>Card B</x:v>
      </x:c>
      <x:c r="I233" s="26" t="n">
        <x:f>S228</x:f>
        <x:v>0</x:v>
      </x:c>
      <x:c r="J233" s="29" t="n">
        <x:f>IF('Inputs'!$D$9="Ready",'Inputs'!E12,"n.a.")</x:f>
        <x:v>0.18</x:v>
      </x:c>
      <x:c r="K233" s="26" t="n">
        <x:f>IF('Inputs'!$D$9="Ready",'Inputs'!F12,"n.a.")</x:f>
        <x:v>60</x:v>
      </x:c>
      <x:c r="L233" s="29" t="n">
        <x:f>IF('Inputs'!$D$9="Ready",'Inputs'!G12,"n.a.")</x:f>
        <x:v>0.02</x:v>
      </x:c>
      <x:c r="M233" s="22" t="n">
        <x:f>IF(COUNT(I233:L233)=4,ROUND(I233*J233/12,2),"n.a.")</x:f>
        <x:v>0</x:v>
      </x:c>
      <x:c r="N233" s="22" t="n">
        <x:f>IF(COUNT(I233:M233)=5,MIN(I233+M233,ROUND(MAX(K233,I233*L233+M233),2)),"n.a.")</x:f>
        <x:v>0</x:v>
      </x:c>
      <x:c r="O233" s="30" t="n">
        <x:f>IF(COUNT($I$232:$I$236)&lt;&gt;5,"n.a.",IF(I233=0,6,IF('Inputs'!$D$5=1,COUNTIFS($I$232:$I$236,"&gt;0",$I$232:$I$236,"&lt;"&amp;I233)+COUNTIFS($I$232:I233,I233),COUNTIFS($I$232:$I$236,"&gt;0",$J$232:$J$236,"&gt;"&amp;J233)+COUNTIFS($I$232:I233,"&gt;0",$J$232:J233,J233))))</x:f>
        <x:v>6</x:v>
      </x:c>
      <x:c r="P233" s="22" t="n">
        <x:f>IF(T233="Ready",MIN(U233,MAX(0,G233-SUMIFS($U$232:$U$236,$O$232:$O$236,"&lt;"&amp;O233))),"n.a.")</x:f>
        <x:v>0</x:v>
      </x:c>
      <x:c r="Q233" s="22" t="n">
        <x:f>IF(T233="Ready",ROUND(N233+P233,2),"n.a.")</x:f>
        <x:v>0</x:v>
      </x:c>
      <x:c r="R233" s="22" t="n">
        <x:f>IF(T233="Ready",ROUND(Q233-M233,2),"n.a.")</x:f>
        <x:v>0</x:v>
      </x:c>
      <x:c r="S233" s="22" t="n">
        <x:f>IF(T233="Ready",MAX(0,ROUND(I233+M233-Q233,2)),"n.a.")</x:f>
        <x:v>0</x:v>
      </x:c>
      <x:c r="T233" s="22" t="str">
        <x:f>IF(AND(COUNT($I$232:$I$236)=5,COUNT(E233:F233)=2),IF(E233&gt;=F233,"Ready","Budget below minima"),"Check inputs")</x:f>
        <x:v>Ready</x:v>
      </x:c>
      <x:c r="U233" s="22" t="n">
        <x:f>IF(COUNT(I233,M233,N233)=3,MAX(0,ROUND(I233+M233-N233,2)),"n.a.")</x:f>
        <x:v>0</x:v>
      </x:c>
    </x:row>
    <x:row r="234" ht="22" customHeight="1">
      <x:c r="A234" s="2"/>
      <x:c r="B234" s="2"/>
      <x:c r="C234" s="27" t="n">
        <x:f>46</x:f>
        <x:v>46</x:v>
      </x:c>
      <x:c r="D234" s="28" t="n">
        <x:f>IF(ISNUMBER('Inputs'!$D$7),EDATE('Inputs'!$D$7,45),"n.a.")</x:f>
        <x:v>47696</x:v>
      </x:c>
      <x:c r="E234" s="26" t="n">
        <x:f>IF('Inputs'!$D$9&lt;&gt;"Ready","n.a.",IF(ISNUMBER('Inputs'!E64),IF('Inputs'!E64&gt;=0,'Inputs'!E64,"n.a."),IF('Inputs'!E64="",'Inputs'!$D$6,"n.a.")))</x:f>
        <x:v>500</x:v>
      </x:c>
      <x:c r="F234" s="22" t="n">
        <x:f>IF(COUNT($N$232:$N$236)=5,SUM($N$232:$N$236),"n.a.")</x:f>
        <x:v>0</x:v>
      </x:c>
      <x:c r="G234" s="22" t="n">
        <x:f>IF(COUNT(E234:F234)=2,MAX(0,E234-F234),"n.a.")</x:f>
        <x:v>500</x:v>
      </x:c>
      <x:c r="H234" s="26" t="str">
        <x:f>'Inputs'!C13</x:f>
        <x:v>Loan C</x:v>
      </x:c>
      <x:c r="I234" s="26" t="n">
        <x:f>S229</x:f>
        <x:v>0</x:v>
      </x:c>
      <x:c r="J234" s="29" t="n">
        <x:f>IF('Inputs'!$D$9="Ready",'Inputs'!E13,"n.a.")</x:f>
        <x:v>0.08</x:v>
      </x:c>
      <x:c r="K234" s="26" t="n">
        <x:f>IF('Inputs'!$D$9="Ready",'Inputs'!F13,"n.a.")</x:f>
        <x:v>150</x:v>
      </x:c>
      <x:c r="L234" s="29" t="n">
        <x:f>IF('Inputs'!$D$9="Ready",'Inputs'!G13,"n.a.")</x:f>
        <x:v>0</x:v>
      </x:c>
      <x:c r="M234" s="22" t="n">
        <x:f>IF(COUNT(I234:L234)=4,ROUND(I234*J234/12,2),"n.a.")</x:f>
        <x:v>0</x:v>
      </x:c>
      <x:c r="N234" s="22" t="n">
        <x:f>IF(COUNT(I234:M234)=5,MIN(I234+M234,ROUND(MAX(K234,I234*L234+M234),2)),"n.a.")</x:f>
        <x:v>0</x:v>
      </x:c>
      <x:c r="O234" s="30" t="n">
        <x:f>IF(COUNT($I$232:$I$236)&lt;&gt;5,"n.a.",IF(I234=0,6,IF('Inputs'!$D$5=1,COUNTIFS($I$232:$I$236,"&gt;0",$I$232:$I$236,"&lt;"&amp;I234)+COUNTIFS($I$232:I234,I234),COUNTIFS($I$232:$I$236,"&gt;0",$J$232:$J$236,"&gt;"&amp;J234)+COUNTIFS($I$232:I234,"&gt;0",$J$232:J234,J234))))</x:f>
        <x:v>6</x:v>
      </x:c>
      <x:c r="P234" s="22" t="n">
        <x:f>IF(T234="Ready",MIN(U234,MAX(0,G234-SUMIFS($U$232:$U$236,$O$232:$O$236,"&lt;"&amp;O234))),"n.a.")</x:f>
        <x:v>0</x:v>
      </x:c>
      <x:c r="Q234" s="22" t="n">
        <x:f>IF(T234="Ready",ROUND(N234+P234,2),"n.a.")</x:f>
        <x:v>0</x:v>
      </x:c>
      <x:c r="R234" s="22" t="n">
        <x:f>IF(T234="Ready",ROUND(Q234-M234,2),"n.a.")</x:f>
        <x:v>0</x:v>
      </x:c>
      <x:c r="S234" s="22" t="n">
        <x:f>IF(T234="Ready",MAX(0,ROUND(I234+M234-Q234,2)),"n.a.")</x:f>
        <x:v>0</x:v>
      </x:c>
      <x:c r="T234" s="22" t="str">
        <x:f>IF(AND(COUNT($I$232:$I$236)=5,COUNT(E234:F234)=2),IF(E234&gt;=F234,"Ready","Budget below minima"),"Check inputs")</x:f>
        <x:v>Ready</x:v>
      </x:c>
      <x:c r="U234" s="22" t="n">
        <x:f>IF(COUNT(I234,M234,N234)=3,MAX(0,ROUND(I234+M234-N234,2)),"n.a.")</x:f>
        <x:v>0</x:v>
      </x:c>
    </x:row>
    <x:row r="235" ht="22" customHeight="1">
      <x:c r="A235" s="2"/>
      <x:c r="B235" s="2"/>
      <x:c r="C235" s="27" t="n">
        <x:f>46</x:f>
        <x:v>46</x:v>
      </x:c>
      <x:c r="D235" s="28" t="n">
        <x:f>IF(ISNUMBER('Inputs'!$D$7),EDATE('Inputs'!$D$7,45),"n.a.")</x:f>
        <x:v>47696</x:v>
      </x:c>
      <x:c r="E235" s="26" t="n">
        <x:f>IF('Inputs'!$D$9&lt;&gt;"Ready","n.a.",IF(ISNUMBER('Inputs'!E64),IF('Inputs'!E64&gt;=0,'Inputs'!E64,"n.a."),IF('Inputs'!E64="",'Inputs'!$D$6,"n.a.")))</x:f>
        <x:v>500</x:v>
      </x:c>
      <x:c r="F235" s="22" t="n">
        <x:f>IF(COUNT($N$232:$N$236)=5,SUM($N$232:$N$236),"n.a.")</x:f>
        <x:v>0</x:v>
      </x:c>
      <x:c r="G235" s="22" t="n">
        <x:f>IF(COUNT(E235:F235)=2,MAX(0,E235-F235),"n.a.")</x:f>
        <x:v>500</x:v>
      </x:c>
      <x:c r="H235" s="26" t="str">
        <x:f>'Inputs'!C14</x:f>
        <x:v>Unused 4</x:v>
      </x:c>
      <x:c r="I235" s="26" t="n">
        <x:f>S230</x:f>
        <x:v>0</x:v>
      </x:c>
      <x:c r="J235" s="29" t="n">
        <x:f>IF('Inputs'!$D$9="Ready",'Inputs'!E14,"n.a.")</x:f>
        <x:v>0</x:v>
      </x:c>
      <x:c r="K235" s="26" t="n">
        <x:f>IF('Inputs'!$D$9="Ready",'Inputs'!F14,"n.a.")</x:f>
        <x:v>0</x:v>
      </x:c>
      <x:c r="L235" s="29" t="n">
        <x:f>IF('Inputs'!$D$9="Ready",'Inputs'!G14,"n.a.")</x:f>
        <x:v>0</x:v>
      </x:c>
      <x:c r="M235" s="22" t="n">
        <x:f>IF(COUNT(I235:L235)=4,ROUND(I235*J235/12,2),"n.a.")</x:f>
        <x:v>0</x:v>
      </x:c>
      <x:c r="N235" s="22" t="n">
        <x:f>IF(COUNT(I235:M235)=5,MIN(I235+M235,ROUND(MAX(K235,I235*L235+M235),2)),"n.a.")</x:f>
        <x:v>0</x:v>
      </x:c>
      <x:c r="O235" s="30" t="n">
        <x:f>IF(COUNT($I$232:$I$236)&lt;&gt;5,"n.a.",IF(I235=0,6,IF('Inputs'!$D$5=1,COUNTIFS($I$232:$I$236,"&gt;0",$I$232:$I$236,"&lt;"&amp;I235)+COUNTIFS($I$232:I235,I235),COUNTIFS($I$232:$I$236,"&gt;0",$J$232:$J$236,"&gt;"&amp;J235)+COUNTIFS($I$232:I235,"&gt;0",$J$232:J235,J235))))</x:f>
        <x:v>6</x:v>
      </x:c>
      <x:c r="P235" s="22" t="n">
        <x:f>IF(T235="Ready",MIN(U235,MAX(0,G235-SUMIFS($U$232:$U$236,$O$232:$O$236,"&lt;"&amp;O235))),"n.a.")</x:f>
        <x:v>0</x:v>
      </x:c>
      <x:c r="Q235" s="22" t="n">
        <x:f>IF(T235="Ready",ROUND(N235+P235,2),"n.a.")</x:f>
        <x:v>0</x:v>
      </x:c>
      <x:c r="R235" s="22" t="n">
        <x:f>IF(T235="Ready",ROUND(Q235-M235,2),"n.a.")</x:f>
        <x:v>0</x:v>
      </x:c>
      <x:c r="S235" s="22" t="n">
        <x:f>IF(T235="Ready",MAX(0,ROUND(I235+M235-Q235,2)),"n.a.")</x:f>
        <x:v>0</x:v>
      </x:c>
      <x:c r="T235" s="22" t="str">
        <x:f>IF(AND(COUNT($I$232:$I$236)=5,COUNT(E235:F235)=2),IF(E235&gt;=F235,"Ready","Budget below minima"),"Check inputs")</x:f>
        <x:v>Ready</x:v>
      </x:c>
      <x:c r="U235" s="22" t="n">
        <x:f>IF(COUNT(I235,M235,N235)=3,MAX(0,ROUND(I235+M235-N235,2)),"n.a.")</x:f>
        <x:v>0</x:v>
      </x:c>
    </x:row>
    <x:row r="236" ht="22" customHeight="1">
      <x:c r="A236" s="2"/>
      <x:c r="B236" s="2"/>
      <x:c r="C236" s="27" t="n">
        <x:f>46</x:f>
        <x:v>46</x:v>
      </x:c>
      <x:c r="D236" s="28" t="n">
        <x:f>IF(ISNUMBER('Inputs'!$D$7),EDATE('Inputs'!$D$7,45),"n.a.")</x:f>
        <x:v>47696</x:v>
      </x:c>
      <x:c r="E236" s="26" t="n">
        <x:f>IF('Inputs'!$D$9&lt;&gt;"Ready","n.a.",IF(ISNUMBER('Inputs'!E64),IF('Inputs'!E64&gt;=0,'Inputs'!E64,"n.a."),IF('Inputs'!E64="",'Inputs'!$D$6,"n.a.")))</x:f>
        <x:v>500</x:v>
      </x:c>
      <x:c r="F236" s="22" t="n">
        <x:f>IF(COUNT($N$232:$N$236)=5,SUM($N$232:$N$236),"n.a.")</x:f>
        <x:v>0</x:v>
      </x:c>
      <x:c r="G236" s="22" t="n">
        <x:f>IF(COUNT(E236:F236)=2,MAX(0,E236-F236),"n.a.")</x:f>
        <x:v>500</x:v>
      </x:c>
      <x:c r="H236" s="26" t="str">
        <x:f>'Inputs'!C15</x:f>
        <x:v>Unused 5</x:v>
      </x:c>
      <x:c r="I236" s="26" t="n">
        <x:f>S231</x:f>
        <x:v>0</x:v>
      </x:c>
      <x:c r="J236" s="29" t="n">
        <x:f>IF('Inputs'!$D$9="Ready",'Inputs'!E15,"n.a.")</x:f>
        <x:v>0</x:v>
      </x:c>
      <x:c r="K236" s="26" t="n">
        <x:f>IF('Inputs'!$D$9="Ready",'Inputs'!F15,"n.a.")</x:f>
        <x:v>0</x:v>
      </x:c>
      <x:c r="L236" s="29" t="n">
        <x:f>IF('Inputs'!$D$9="Ready",'Inputs'!G15,"n.a.")</x:f>
        <x:v>0</x:v>
      </x:c>
      <x:c r="M236" s="22" t="n">
        <x:f>IF(COUNT(I236:L236)=4,ROUND(I236*J236/12,2),"n.a.")</x:f>
        <x:v>0</x:v>
      </x:c>
      <x:c r="N236" s="22" t="n">
        <x:f>IF(COUNT(I236:M236)=5,MIN(I236+M236,ROUND(MAX(K236,I236*L236+M236),2)),"n.a.")</x:f>
        <x:v>0</x:v>
      </x:c>
      <x:c r="O236" s="30" t="n">
        <x:f>IF(COUNT($I$232:$I$236)&lt;&gt;5,"n.a.",IF(I236=0,6,IF('Inputs'!$D$5=1,COUNTIFS($I$232:$I$236,"&gt;0",$I$232:$I$236,"&lt;"&amp;I236)+COUNTIFS($I$232:I236,I236),COUNTIFS($I$232:$I$236,"&gt;0",$J$232:$J$236,"&gt;"&amp;J236)+COUNTIFS($I$232:I236,"&gt;0",$J$232:J236,J236))))</x:f>
        <x:v>6</x:v>
      </x:c>
      <x:c r="P236" s="22" t="n">
        <x:f>IF(T236="Ready",MIN(U236,MAX(0,G236-SUMIFS($U$232:$U$236,$O$232:$O$236,"&lt;"&amp;O236))),"n.a.")</x:f>
        <x:v>0</x:v>
      </x:c>
      <x:c r="Q236" s="22" t="n">
        <x:f>IF(T236="Ready",ROUND(N236+P236,2),"n.a.")</x:f>
        <x:v>0</x:v>
      </x:c>
      <x:c r="R236" s="22" t="n">
        <x:f>IF(T236="Ready",ROUND(Q236-M236,2),"n.a.")</x:f>
        <x:v>0</x:v>
      </x:c>
      <x:c r="S236" s="22" t="n">
        <x:f>IF(T236="Ready",MAX(0,ROUND(I236+M236-Q236,2)),"n.a.")</x:f>
        <x:v>0</x:v>
      </x:c>
      <x:c r="T236" s="22" t="str">
        <x:f>IF(AND(COUNT($I$232:$I$236)=5,COUNT(E236:F236)=2),IF(E236&gt;=F236,"Ready","Budget below minima"),"Check inputs")</x:f>
        <x:v>Ready</x:v>
      </x:c>
      <x:c r="U236" s="22" t="n">
        <x:f>IF(COUNT(I236,M236,N236)=3,MAX(0,ROUND(I236+M236-N236,2)),"n.a.")</x:f>
        <x:v>0</x:v>
      </x:c>
    </x:row>
    <x:row r="237" ht="22" customHeight="1">
      <x:c r="A237" s="2"/>
      <x:c r="B237" s="2"/>
      <x:c r="C237" s="27" t="n">
        <x:f>47</x:f>
        <x:v>47</x:v>
      </x:c>
      <x:c r="D237" s="28" t="n">
        <x:f>IF(ISNUMBER('Inputs'!$D$7),EDATE('Inputs'!$D$7,46),"n.a.")</x:f>
        <x:v>47727</x:v>
      </x:c>
      <x:c r="E237" s="26" t="n">
        <x:f>IF('Inputs'!$D$9&lt;&gt;"Ready","n.a.",IF(ISNUMBER('Inputs'!E65),IF('Inputs'!E65&gt;=0,'Inputs'!E65,"n.a."),IF('Inputs'!E65="",'Inputs'!$D$6,"n.a.")))</x:f>
        <x:v>500</x:v>
      </x:c>
      <x:c r="F237" s="22" t="n">
        <x:f>IF(COUNT($N$237:$N$241)=5,SUM($N$237:$N$241),"n.a.")</x:f>
        <x:v>0</x:v>
      </x:c>
      <x:c r="G237" s="22" t="n">
        <x:f>IF(COUNT(E237:F237)=2,MAX(0,E237-F237),"n.a.")</x:f>
        <x:v>500</x:v>
      </x:c>
      <x:c r="H237" s="26" t="str">
        <x:f>'Inputs'!C11</x:f>
        <x:v>Card A</x:v>
      </x:c>
      <x:c r="I237" s="26" t="n">
        <x:f>S232</x:f>
        <x:v>0</x:v>
      </x:c>
      <x:c r="J237" s="29" t="n">
        <x:f>IF('Inputs'!$D$9="Ready",'Inputs'!E11,"n.a.")</x:f>
        <x:v>0.24</x:v>
      </x:c>
      <x:c r="K237" s="26" t="n">
        <x:f>IF('Inputs'!$D$9="Ready",'Inputs'!F11,"n.a.")</x:f>
        <x:v>35</x:v>
      </x:c>
      <x:c r="L237" s="29" t="n">
        <x:f>IF('Inputs'!$D$9="Ready",'Inputs'!G11,"n.a.")</x:f>
        <x:v>0.02</x:v>
      </x:c>
      <x:c r="M237" s="22" t="n">
        <x:f>IF(COUNT(I237:L237)=4,ROUND(I237*J237/12,2),"n.a.")</x:f>
        <x:v>0</x:v>
      </x:c>
      <x:c r="N237" s="22" t="n">
        <x:f>IF(COUNT(I237:M237)=5,MIN(I237+M237,ROUND(MAX(K237,I237*L237+M237),2)),"n.a.")</x:f>
        <x:v>0</x:v>
      </x:c>
      <x:c r="O237" s="30" t="n">
        <x:f>IF(COUNT($I$237:$I$241)&lt;&gt;5,"n.a.",IF(I237=0,6,IF('Inputs'!$D$5=1,COUNTIFS($I$237:$I$241,"&gt;0",$I$237:$I$241,"&lt;"&amp;I237)+COUNTIFS($I$237:I237,I237),COUNTIFS($I$237:$I$241,"&gt;0",$J$237:$J$241,"&gt;"&amp;J237)+COUNTIFS($I$237:I237,"&gt;0",$J$237:J237,J237))))</x:f>
        <x:v>6</x:v>
      </x:c>
      <x:c r="P237" s="22" t="n">
        <x:f>IF(T237="Ready",MIN(U237,MAX(0,G237-SUMIFS($U$237:$U$241,$O$237:$O$241,"&lt;"&amp;O237))),"n.a.")</x:f>
        <x:v>0</x:v>
      </x:c>
      <x:c r="Q237" s="22" t="n">
        <x:f>IF(T237="Ready",ROUND(N237+P237,2),"n.a.")</x:f>
        <x:v>0</x:v>
      </x:c>
      <x:c r="R237" s="22" t="n">
        <x:f>IF(T237="Ready",ROUND(Q237-M237,2),"n.a.")</x:f>
        <x:v>0</x:v>
      </x:c>
      <x:c r="S237" s="22" t="n">
        <x:f>IF(T237="Ready",MAX(0,ROUND(I237+M237-Q237,2)),"n.a.")</x:f>
        <x:v>0</x:v>
      </x:c>
      <x:c r="T237" s="22" t="str">
        <x:f>IF(AND(COUNT($I$237:$I$241)=5,COUNT(E237:F237)=2),IF(E237&gt;=F237,"Ready","Budget below minima"),"Check inputs")</x:f>
        <x:v>Ready</x:v>
      </x:c>
      <x:c r="U237" s="22" t="n">
        <x:f>IF(COUNT(I237,M237,N237)=3,MAX(0,ROUND(I237+M237-N237,2)),"n.a.")</x:f>
        <x:v>0</x:v>
      </x:c>
    </x:row>
    <x:row r="238" ht="22" customHeight="1">
      <x:c r="A238" s="2"/>
      <x:c r="B238" s="2"/>
      <x:c r="C238" s="27" t="n">
        <x:f>47</x:f>
        <x:v>47</x:v>
      </x:c>
      <x:c r="D238" s="28" t="n">
        <x:f>IF(ISNUMBER('Inputs'!$D$7),EDATE('Inputs'!$D$7,46),"n.a.")</x:f>
        <x:v>47727</x:v>
      </x:c>
      <x:c r="E238" s="26" t="n">
        <x:f>IF('Inputs'!$D$9&lt;&gt;"Ready","n.a.",IF(ISNUMBER('Inputs'!E65),IF('Inputs'!E65&gt;=0,'Inputs'!E65,"n.a."),IF('Inputs'!E65="",'Inputs'!$D$6,"n.a.")))</x:f>
        <x:v>500</x:v>
      </x:c>
      <x:c r="F238" s="22" t="n">
        <x:f>IF(COUNT($N$237:$N$241)=5,SUM($N$237:$N$241),"n.a.")</x:f>
        <x:v>0</x:v>
      </x:c>
      <x:c r="G238" s="22" t="n">
        <x:f>IF(COUNT(E238:F238)=2,MAX(0,E238-F238),"n.a.")</x:f>
        <x:v>500</x:v>
      </x:c>
      <x:c r="H238" s="26" t="str">
        <x:f>'Inputs'!C12</x:f>
        <x:v>Card B</x:v>
      </x:c>
      <x:c r="I238" s="26" t="n">
        <x:f>S233</x:f>
        <x:v>0</x:v>
      </x:c>
      <x:c r="J238" s="29" t="n">
        <x:f>IF('Inputs'!$D$9="Ready",'Inputs'!E12,"n.a.")</x:f>
        <x:v>0.18</x:v>
      </x:c>
      <x:c r="K238" s="26" t="n">
        <x:f>IF('Inputs'!$D$9="Ready",'Inputs'!F12,"n.a.")</x:f>
        <x:v>60</x:v>
      </x:c>
      <x:c r="L238" s="29" t="n">
        <x:f>IF('Inputs'!$D$9="Ready",'Inputs'!G12,"n.a.")</x:f>
        <x:v>0.02</x:v>
      </x:c>
      <x:c r="M238" s="22" t="n">
        <x:f>IF(COUNT(I238:L238)=4,ROUND(I238*J238/12,2),"n.a.")</x:f>
        <x:v>0</x:v>
      </x:c>
      <x:c r="N238" s="22" t="n">
        <x:f>IF(COUNT(I238:M238)=5,MIN(I238+M238,ROUND(MAX(K238,I238*L238+M238),2)),"n.a.")</x:f>
        <x:v>0</x:v>
      </x:c>
      <x:c r="O238" s="30" t="n">
        <x:f>IF(COUNT($I$237:$I$241)&lt;&gt;5,"n.a.",IF(I238=0,6,IF('Inputs'!$D$5=1,COUNTIFS($I$237:$I$241,"&gt;0",$I$237:$I$241,"&lt;"&amp;I238)+COUNTIFS($I$237:I238,I238),COUNTIFS($I$237:$I$241,"&gt;0",$J$237:$J$241,"&gt;"&amp;J238)+COUNTIFS($I$237:I238,"&gt;0",$J$237:J238,J238))))</x:f>
        <x:v>6</x:v>
      </x:c>
      <x:c r="P238" s="22" t="n">
        <x:f>IF(T238="Ready",MIN(U238,MAX(0,G238-SUMIFS($U$237:$U$241,$O$237:$O$241,"&lt;"&amp;O238))),"n.a.")</x:f>
        <x:v>0</x:v>
      </x:c>
      <x:c r="Q238" s="22" t="n">
        <x:f>IF(T238="Ready",ROUND(N238+P238,2),"n.a.")</x:f>
        <x:v>0</x:v>
      </x:c>
      <x:c r="R238" s="22" t="n">
        <x:f>IF(T238="Ready",ROUND(Q238-M238,2),"n.a.")</x:f>
        <x:v>0</x:v>
      </x:c>
      <x:c r="S238" s="22" t="n">
        <x:f>IF(T238="Ready",MAX(0,ROUND(I238+M238-Q238,2)),"n.a.")</x:f>
        <x:v>0</x:v>
      </x:c>
      <x:c r="T238" s="22" t="str">
        <x:f>IF(AND(COUNT($I$237:$I$241)=5,COUNT(E238:F238)=2),IF(E238&gt;=F238,"Ready","Budget below minima"),"Check inputs")</x:f>
        <x:v>Ready</x:v>
      </x:c>
      <x:c r="U238" s="22" t="n">
        <x:f>IF(COUNT(I238,M238,N238)=3,MAX(0,ROUND(I238+M238-N238,2)),"n.a.")</x:f>
        <x:v>0</x:v>
      </x:c>
    </x:row>
    <x:row r="239" ht="22" customHeight="1">
      <x:c r="A239" s="2"/>
      <x:c r="B239" s="2"/>
      <x:c r="C239" s="27" t="n">
        <x:f>47</x:f>
        <x:v>47</x:v>
      </x:c>
      <x:c r="D239" s="28" t="n">
        <x:f>IF(ISNUMBER('Inputs'!$D$7),EDATE('Inputs'!$D$7,46),"n.a.")</x:f>
        <x:v>47727</x:v>
      </x:c>
      <x:c r="E239" s="26" t="n">
        <x:f>IF('Inputs'!$D$9&lt;&gt;"Ready","n.a.",IF(ISNUMBER('Inputs'!E65),IF('Inputs'!E65&gt;=0,'Inputs'!E65,"n.a."),IF('Inputs'!E65="",'Inputs'!$D$6,"n.a.")))</x:f>
        <x:v>500</x:v>
      </x:c>
      <x:c r="F239" s="22" t="n">
        <x:f>IF(COUNT($N$237:$N$241)=5,SUM($N$237:$N$241),"n.a.")</x:f>
        <x:v>0</x:v>
      </x:c>
      <x:c r="G239" s="22" t="n">
        <x:f>IF(COUNT(E239:F239)=2,MAX(0,E239-F239),"n.a.")</x:f>
        <x:v>500</x:v>
      </x:c>
      <x:c r="H239" s="26" t="str">
        <x:f>'Inputs'!C13</x:f>
        <x:v>Loan C</x:v>
      </x:c>
      <x:c r="I239" s="26" t="n">
        <x:f>S234</x:f>
        <x:v>0</x:v>
      </x:c>
      <x:c r="J239" s="29" t="n">
        <x:f>IF('Inputs'!$D$9="Ready",'Inputs'!E13,"n.a.")</x:f>
        <x:v>0.08</x:v>
      </x:c>
      <x:c r="K239" s="26" t="n">
        <x:f>IF('Inputs'!$D$9="Ready",'Inputs'!F13,"n.a.")</x:f>
        <x:v>150</x:v>
      </x:c>
      <x:c r="L239" s="29" t="n">
        <x:f>IF('Inputs'!$D$9="Ready",'Inputs'!G13,"n.a.")</x:f>
        <x:v>0</x:v>
      </x:c>
      <x:c r="M239" s="22" t="n">
        <x:f>IF(COUNT(I239:L239)=4,ROUND(I239*J239/12,2),"n.a.")</x:f>
        <x:v>0</x:v>
      </x:c>
      <x:c r="N239" s="22" t="n">
        <x:f>IF(COUNT(I239:M239)=5,MIN(I239+M239,ROUND(MAX(K239,I239*L239+M239),2)),"n.a.")</x:f>
        <x:v>0</x:v>
      </x:c>
      <x:c r="O239" s="30" t="n">
        <x:f>IF(COUNT($I$237:$I$241)&lt;&gt;5,"n.a.",IF(I239=0,6,IF('Inputs'!$D$5=1,COUNTIFS($I$237:$I$241,"&gt;0",$I$237:$I$241,"&lt;"&amp;I239)+COUNTIFS($I$237:I239,I239),COUNTIFS($I$237:$I$241,"&gt;0",$J$237:$J$241,"&gt;"&amp;J239)+COUNTIFS($I$237:I239,"&gt;0",$J$237:J239,J239))))</x:f>
        <x:v>6</x:v>
      </x:c>
      <x:c r="P239" s="22" t="n">
        <x:f>IF(T239="Ready",MIN(U239,MAX(0,G239-SUMIFS($U$237:$U$241,$O$237:$O$241,"&lt;"&amp;O239))),"n.a.")</x:f>
        <x:v>0</x:v>
      </x:c>
      <x:c r="Q239" s="22" t="n">
        <x:f>IF(T239="Ready",ROUND(N239+P239,2),"n.a.")</x:f>
        <x:v>0</x:v>
      </x:c>
      <x:c r="R239" s="22" t="n">
        <x:f>IF(T239="Ready",ROUND(Q239-M239,2),"n.a.")</x:f>
        <x:v>0</x:v>
      </x:c>
      <x:c r="S239" s="22" t="n">
        <x:f>IF(T239="Ready",MAX(0,ROUND(I239+M239-Q239,2)),"n.a.")</x:f>
        <x:v>0</x:v>
      </x:c>
      <x:c r="T239" s="22" t="str">
        <x:f>IF(AND(COUNT($I$237:$I$241)=5,COUNT(E239:F239)=2),IF(E239&gt;=F239,"Ready","Budget below minima"),"Check inputs")</x:f>
        <x:v>Ready</x:v>
      </x:c>
      <x:c r="U239" s="22" t="n">
        <x:f>IF(COUNT(I239,M239,N239)=3,MAX(0,ROUND(I239+M239-N239,2)),"n.a.")</x:f>
        <x:v>0</x:v>
      </x:c>
    </x:row>
    <x:row r="240" ht="22" customHeight="1">
      <x:c r="A240" s="2"/>
      <x:c r="B240" s="2"/>
      <x:c r="C240" s="27" t="n">
        <x:f>47</x:f>
        <x:v>47</x:v>
      </x:c>
      <x:c r="D240" s="28" t="n">
        <x:f>IF(ISNUMBER('Inputs'!$D$7),EDATE('Inputs'!$D$7,46),"n.a.")</x:f>
        <x:v>47727</x:v>
      </x:c>
      <x:c r="E240" s="26" t="n">
        <x:f>IF('Inputs'!$D$9&lt;&gt;"Ready","n.a.",IF(ISNUMBER('Inputs'!E65),IF('Inputs'!E65&gt;=0,'Inputs'!E65,"n.a."),IF('Inputs'!E65="",'Inputs'!$D$6,"n.a.")))</x:f>
        <x:v>500</x:v>
      </x:c>
      <x:c r="F240" s="22" t="n">
        <x:f>IF(COUNT($N$237:$N$241)=5,SUM($N$237:$N$241),"n.a.")</x:f>
        <x:v>0</x:v>
      </x:c>
      <x:c r="G240" s="22" t="n">
        <x:f>IF(COUNT(E240:F240)=2,MAX(0,E240-F240),"n.a.")</x:f>
        <x:v>500</x:v>
      </x:c>
      <x:c r="H240" s="26" t="str">
        <x:f>'Inputs'!C14</x:f>
        <x:v>Unused 4</x:v>
      </x:c>
      <x:c r="I240" s="26" t="n">
        <x:f>S235</x:f>
        <x:v>0</x:v>
      </x:c>
      <x:c r="J240" s="29" t="n">
        <x:f>IF('Inputs'!$D$9="Ready",'Inputs'!E14,"n.a.")</x:f>
        <x:v>0</x:v>
      </x:c>
      <x:c r="K240" s="26" t="n">
        <x:f>IF('Inputs'!$D$9="Ready",'Inputs'!F14,"n.a.")</x:f>
        <x:v>0</x:v>
      </x:c>
      <x:c r="L240" s="29" t="n">
        <x:f>IF('Inputs'!$D$9="Ready",'Inputs'!G14,"n.a.")</x:f>
        <x:v>0</x:v>
      </x:c>
      <x:c r="M240" s="22" t="n">
        <x:f>IF(COUNT(I240:L240)=4,ROUND(I240*J240/12,2),"n.a.")</x:f>
        <x:v>0</x:v>
      </x:c>
      <x:c r="N240" s="22" t="n">
        <x:f>IF(COUNT(I240:M240)=5,MIN(I240+M240,ROUND(MAX(K240,I240*L240+M240),2)),"n.a.")</x:f>
        <x:v>0</x:v>
      </x:c>
      <x:c r="O240" s="30" t="n">
        <x:f>IF(COUNT($I$237:$I$241)&lt;&gt;5,"n.a.",IF(I240=0,6,IF('Inputs'!$D$5=1,COUNTIFS($I$237:$I$241,"&gt;0",$I$237:$I$241,"&lt;"&amp;I240)+COUNTIFS($I$237:I240,I240),COUNTIFS($I$237:$I$241,"&gt;0",$J$237:$J$241,"&gt;"&amp;J240)+COUNTIFS($I$237:I240,"&gt;0",$J$237:J240,J240))))</x:f>
        <x:v>6</x:v>
      </x:c>
      <x:c r="P240" s="22" t="n">
        <x:f>IF(T240="Ready",MIN(U240,MAX(0,G240-SUMIFS($U$237:$U$241,$O$237:$O$241,"&lt;"&amp;O240))),"n.a.")</x:f>
        <x:v>0</x:v>
      </x:c>
      <x:c r="Q240" s="22" t="n">
        <x:f>IF(T240="Ready",ROUND(N240+P240,2),"n.a.")</x:f>
        <x:v>0</x:v>
      </x:c>
      <x:c r="R240" s="22" t="n">
        <x:f>IF(T240="Ready",ROUND(Q240-M240,2),"n.a.")</x:f>
        <x:v>0</x:v>
      </x:c>
      <x:c r="S240" s="22" t="n">
        <x:f>IF(T240="Ready",MAX(0,ROUND(I240+M240-Q240,2)),"n.a.")</x:f>
        <x:v>0</x:v>
      </x:c>
      <x:c r="T240" s="22" t="str">
        <x:f>IF(AND(COUNT($I$237:$I$241)=5,COUNT(E240:F240)=2),IF(E240&gt;=F240,"Ready","Budget below minima"),"Check inputs")</x:f>
        <x:v>Ready</x:v>
      </x:c>
      <x:c r="U240" s="22" t="n">
        <x:f>IF(COUNT(I240,M240,N240)=3,MAX(0,ROUND(I240+M240-N240,2)),"n.a.")</x:f>
        <x:v>0</x:v>
      </x:c>
    </x:row>
    <x:row r="241" ht="22" customHeight="1">
      <x:c r="A241" s="2"/>
      <x:c r="B241" s="2"/>
      <x:c r="C241" s="27" t="n">
        <x:f>47</x:f>
        <x:v>47</x:v>
      </x:c>
      <x:c r="D241" s="28" t="n">
        <x:f>IF(ISNUMBER('Inputs'!$D$7),EDATE('Inputs'!$D$7,46),"n.a.")</x:f>
        <x:v>47727</x:v>
      </x:c>
      <x:c r="E241" s="26" t="n">
        <x:f>IF('Inputs'!$D$9&lt;&gt;"Ready","n.a.",IF(ISNUMBER('Inputs'!E65),IF('Inputs'!E65&gt;=0,'Inputs'!E65,"n.a."),IF('Inputs'!E65="",'Inputs'!$D$6,"n.a.")))</x:f>
        <x:v>500</x:v>
      </x:c>
      <x:c r="F241" s="22" t="n">
        <x:f>IF(COUNT($N$237:$N$241)=5,SUM($N$237:$N$241),"n.a.")</x:f>
        <x:v>0</x:v>
      </x:c>
      <x:c r="G241" s="22" t="n">
        <x:f>IF(COUNT(E241:F241)=2,MAX(0,E241-F241),"n.a.")</x:f>
        <x:v>500</x:v>
      </x:c>
      <x:c r="H241" s="26" t="str">
        <x:f>'Inputs'!C15</x:f>
        <x:v>Unused 5</x:v>
      </x:c>
      <x:c r="I241" s="26" t="n">
        <x:f>S236</x:f>
        <x:v>0</x:v>
      </x:c>
      <x:c r="J241" s="29" t="n">
        <x:f>IF('Inputs'!$D$9="Ready",'Inputs'!E15,"n.a.")</x:f>
        <x:v>0</x:v>
      </x:c>
      <x:c r="K241" s="26" t="n">
        <x:f>IF('Inputs'!$D$9="Ready",'Inputs'!F15,"n.a.")</x:f>
        <x:v>0</x:v>
      </x:c>
      <x:c r="L241" s="29" t="n">
        <x:f>IF('Inputs'!$D$9="Ready",'Inputs'!G15,"n.a.")</x:f>
        <x:v>0</x:v>
      </x:c>
      <x:c r="M241" s="22" t="n">
        <x:f>IF(COUNT(I241:L241)=4,ROUND(I241*J241/12,2),"n.a.")</x:f>
        <x:v>0</x:v>
      </x:c>
      <x:c r="N241" s="22" t="n">
        <x:f>IF(COUNT(I241:M241)=5,MIN(I241+M241,ROUND(MAX(K241,I241*L241+M241),2)),"n.a.")</x:f>
        <x:v>0</x:v>
      </x:c>
      <x:c r="O241" s="30" t="n">
        <x:f>IF(COUNT($I$237:$I$241)&lt;&gt;5,"n.a.",IF(I241=0,6,IF('Inputs'!$D$5=1,COUNTIFS($I$237:$I$241,"&gt;0",$I$237:$I$241,"&lt;"&amp;I241)+COUNTIFS($I$237:I241,I241),COUNTIFS($I$237:$I$241,"&gt;0",$J$237:$J$241,"&gt;"&amp;J241)+COUNTIFS($I$237:I241,"&gt;0",$J$237:J241,J241))))</x:f>
        <x:v>6</x:v>
      </x:c>
      <x:c r="P241" s="22" t="n">
        <x:f>IF(T241="Ready",MIN(U241,MAX(0,G241-SUMIFS($U$237:$U$241,$O$237:$O$241,"&lt;"&amp;O241))),"n.a.")</x:f>
        <x:v>0</x:v>
      </x:c>
      <x:c r="Q241" s="22" t="n">
        <x:f>IF(T241="Ready",ROUND(N241+P241,2),"n.a.")</x:f>
        <x:v>0</x:v>
      </x:c>
      <x:c r="R241" s="22" t="n">
        <x:f>IF(T241="Ready",ROUND(Q241-M241,2),"n.a.")</x:f>
        <x:v>0</x:v>
      </x:c>
      <x:c r="S241" s="22" t="n">
        <x:f>IF(T241="Ready",MAX(0,ROUND(I241+M241-Q241,2)),"n.a.")</x:f>
        <x:v>0</x:v>
      </x:c>
      <x:c r="T241" s="22" t="str">
        <x:f>IF(AND(COUNT($I$237:$I$241)=5,COUNT(E241:F241)=2),IF(E241&gt;=F241,"Ready","Budget below minima"),"Check inputs")</x:f>
        <x:v>Ready</x:v>
      </x:c>
      <x:c r="U241" s="22" t="n">
        <x:f>IF(COUNT(I241,M241,N241)=3,MAX(0,ROUND(I241+M241-N241,2)),"n.a.")</x:f>
        <x:v>0</x:v>
      </x:c>
    </x:row>
    <x:row r="242" ht="22" customHeight="1">
      <x:c r="A242" s="2"/>
      <x:c r="B242" s="2"/>
      <x:c r="C242" s="27" t="n">
        <x:f>48</x:f>
        <x:v>48</x:v>
      </x:c>
      <x:c r="D242" s="28" t="n">
        <x:f>IF(ISNUMBER('Inputs'!$D$7),EDATE('Inputs'!$D$7,47),"n.a.")</x:f>
        <x:v>47757</x:v>
      </x:c>
      <x:c r="E242" s="26" t="n">
        <x:f>IF('Inputs'!$D$9&lt;&gt;"Ready","n.a.",IF(ISNUMBER('Inputs'!E66),IF('Inputs'!E66&gt;=0,'Inputs'!E66,"n.a."),IF('Inputs'!E66="",'Inputs'!$D$6,"n.a.")))</x:f>
        <x:v>500</x:v>
      </x:c>
      <x:c r="F242" s="22" t="n">
        <x:f>IF(COUNT($N$242:$N$246)=5,SUM($N$242:$N$246),"n.a.")</x:f>
        <x:v>0</x:v>
      </x:c>
      <x:c r="G242" s="22" t="n">
        <x:f>IF(COUNT(E242:F242)=2,MAX(0,E242-F242),"n.a.")</x:f>
        <x:v>500</x:v>
      </x:c>
      <x:c r="H242" s="26" t="str">
        <x:f>'Inputs'!C11</x:f>
        <x:v>Card A</x:v>
      </x:c>
      <x:c r="I242" s="26" t="n">
        <x:f>S237</x:f>
        <x:v>0</x:v>
      </x:c>
      <x:c r="J242" s="29" t="n">
        <x:f>IF('Inputs'!$D$9="Ready",'Inputs'!E11,"n.a.")</x:f>
        <x:v>0.24</x:v>
      </x:c>
      <x:c r="K242" s="26" t="n">
        <x:f>IF('Inputs'!$D$9="Ready",'Inputs'!F11,"n.a.")</x:f>
        <x:v>35</x:v>
      </x:c>
      <x:c r="L242" s="29" t="n">
        <x:f>IF('Inputs'!$D$9="Ready",'Inputs'!G11,"n.a.")</x:f>
        <x:v>0.02</x:v>
      </x:c>
      <x:c r="M242" s="22" t="n">
        <x:f>IF(COUNT(I242:L242)=4,ROUND(I242*J242/12,2),"n.a.")</x:f>
        <x:v>0</x:v>
      </x:c>
      <x:c r="N242" s="22" t="n">
        <x:f>IF(COUNT(I242:M242)=5,MIN(I242+M242,ROUND(MAX(K242,I242*L242+M242),2)),"n.a.")</x:f>
        <x:v>0</x:v>
      </x:c>
      <x:c r="O242" s="30" t="n">
        <x:f>IF(COUNT($I$242:$I$246)&lt;&gt;5,"n.a.",IF(I242=0,6,IF('Inputs'!$D$5=1,COUNTIFS($I$242:$I$246,"&gt;0",$I$242:$I$246,"&lt;"&amp;I242)+COUNTIFS($I$242:I242,I242),COUNTIFS($I$242:$I$246,"&gt;0",$J$242:$J$246,"&gt;"&amp;J242)+COUNTIFS($I$242:I242,"&gt;0",$J$242:J242,J242))))</x:f>
        <x:v>6</x:v>
      </x:c>
      <x:c r="P242" s="22" t="n">
        <x:f>IF(T242="Ready",MIN(U242,MAX(0,G242-SUMIFS($U$242:$U$246,$O$242:$O$246,"&lt;"&amp;O242))),"n.a.")</x:f>
        <x:v>0</x:v>
      </x:c>
      <x:c r="Q242" s="22" t="n">
        <x:f>IF(T242="Ready",ROUND(N242+P242,2),"n.a.")</x:f>
        <x:v>0</x:v>
      </x:c>
      <x:c r="R242" s="22" t="n">
        <x:f>IF(T242="Ready",ROUND(Q242-M242,2),"n.a.")</x:f>
        <x:v>0</x:v>
      </x:c>
      <x:c r="S242" s="22" t="n">
        <x:f>IF(T242="Ready",MAX(0,ROUND(I242+M242-Q242,2)),"n.a.")</x:f>
        <x:v>0</x:v>
      </x:c>
      <x:c r="T242" s="22" t="str">
        <x:f>IF(AND(COUNT($I$242:$I$246)=5,COUNT(E242:F242)=2),IF(E242&gt;=F242,"Ready","Budget below minima"),"Check inputs")</x:f>
        <x:v>Ready</x:v>
      </x:c>
      <x:c r="U242" s="22" t="n">
        <x:f>IF(COUNT(I242,M242,N242)=3,MAX(0,ROUND(I242+M242-N242,2)),"n.a.")</x:f>
        <x:v>0</x:v>
      </x:c>
    </x:row>
    <x:row r="243" ht="22" customHeight="1">
      <x:c r="A243" s="2"/>
      <x:c r="B243" s="2"/>
      <x:c r="C243" s="27" t="n">
        <x:f>48</x:f>
        <x:v>48</x:v>
      </x:c>
      <x:c r="D243" s="28" t="n">
        <x:f>IF(ISNUMBER('Inputs'!$D$7),EDATE('Inputs'!$D$7,47),"n.a.")</x:f>
        <x:v>47757</x:v>
      </x:c>
      <x:c r="E243" s="26" t="n">
        <x:f>IF('Inputs'!$D$9&lt;&gt;"Ready","n.a.",IF(ISNUMBER('Inputs'!E66),IF('Inputs'!E66&gt;=0,'Inputs'!E66,"n.a."),IF('Inputs'!E66="",'Inputs'!$D$6,"n.a.")))</x:f>
        <x:v>500</x:v>
      </x:c>
      <x:c r="F243" s="22" t="n">
        <x:f>IF(COUNT($N$242:$N$246)=5,SUM($N$242:$N$246),"n.a.")</x:f>
        <x:v>0</x:v>
      </x:c>
      <x:c r="G243" s="22" t="n">
        <x:f>IF(COUNT(E243:F243)=2,MAX(0,E243-F243),"n.a.")</x:f>
        <x:v>500</x:v>
      </x:c>
      <x:c r="H243" s="26" t="str">
        <x:f>'Inputs'!C12</x:f>
        <x:v>Card B</x:v>
      </x:c>
      <x:c r="I243" s="26" t="n">
        <x:f>S238</x:f>
        <x:v>0</x:v>
      </x:c>
      <x:c r="J243" s="29" t="n">
        <x:f>IF('Inputs'!$D$9="Ready",'Inputs'!E12,"n.a.")</x:f>
        <x:v>0.18</x:v>
      </x:c>
      <x:c r="K243" s="26" t="n">
        <x:f>IF('Inputs'!$D$9="Ready",'Inputs'!F12,"n.a.")</x:f>
        <x:v>60</x:v>
      </x:c>
      <x:c r="L243" s="29" t="n">
        <x:f>IF('Inputs'!$D$9="Ready",'Inputs'!G12,"n.a.")</x:f>
        <x:v>0.02</x:v>
      </x:c>
      <x:c r="M243" s="22" t="n">
        <x:f>IF(COUNT(I243:L243)=4,ROUND(I243*J243/12,2),"n.a.")</x:f>
        <x:v>0</x:v>
      </x:c>
      <x:c r="N243" s="22" t="n">
        <x:f>IF(COUNT(I243:M243)=5,MIN(I243+M243,ROUND(MAX(K243,I243*L243+M243),2)),"n.a.")</x:f>
        <x:v>0</x:v>
      </x:c>
      <x:c r="O243" s="30" t="n">
        <x:f>IF(COUNT($I$242:$I$246)&lt;&gt;5,"n.a.",IF(I243=0,6,IF('Inputs'!$D$5=1,COUNTIFS($I$242:$I$246,"&gt;0",$I$242:$I$246,"&lt;"&amp;I243)+COUNTIFS($I$242:I243,I243),COUNTIFS($I$242:$I$246,"&gt;0",$J$242:$J$246,"&gt;"&amp;J243)+COUNTIFS($I$242:I243,"&gt;0",$J$242:J243,J243))))</x:f>
        <x:v>6</x:v>
      </x:c>
      <x:c r="P243" s="22" t="n">
        <x:f>IF(T243="Ready",MIN(U243,MAX(0,G243-SUMIFS($U$242:$U$246,$O$242:$O$246,"&lt;"&amp;O243))),"n.a.")</x:f>
        <x:v>0</x:v>
      </x:c>
      <x:c r="Q243" s="22" t="n">
        <x:f>IF(T243="Ready",ROUND(N243+P243,2),"n.a.")</x:f>
        <x:v>0</x:v>
      </x:c>
      <x:c r="R243" s="22" t="n">
        <x:f>IF(T243="Ready",ROUND(Q243-M243,2),"n.a.")</x:f>
        <x:v>0</x:v>
      </x:c>
      <x:c r="S243" s="22" t="n">
        <x:f>IF(T243="Ready",MAX(0,ROUND(I243+M243-Q243,2)),"n.a.")</x:f>
        <x:v>0</x:v>
      </x:c>
      <x:c r="T243" s="22" t="str">
        <x:f>IF(AND(COUNT($I$242:$I$246)=5,COUNT(E243:F243)=2),IF(E243&gt;=F243,"Ready","Budget below minima"),"Check inputs")</x:f>
        <x:v>Ready</x:v>
      </x:c>
      <x:c r="U243" s="22" t="n">
        <x:f>IF(COUNT(I243,M243,N243)=3,MAX(0,ROUND(I243+M243-N243,2)),"n.a.")</x:f>
        <x:v>0</x:v>
      </x:c>
    </x:row>
    <x:row r="244" ht="22" customHeight="1">
      <x:c r="A244" s="2"/>
      <x:c r="B244" s="2"/>
      <x:c r="C244" s="27" t="n">
        <x:f>48</x:f>
        <x:v>48</x:v>
      </x:c>
      <x:c r="D244" s="28" t="n">
        <x:f>IF(ISNUMBER('Inputs'!$D$7),EDATE('Inputs'!$D$7,47),"n.a.")</x:f>
        <x:v>47757</x:v>
      </x:c>
      <x:c r="E244" s="26" t="n">
        <x:f>IF('Inputs'!$D$9&lt;&gt;"Ready","n.a.",IF(ISNUMBER('Inputs'!E66),IF('Inputs'!E66&gt;=0,'Inputs'!E66,"n.a."),IF('Inputs'!E66="",'Inputs'!$D$6,"n.a.")))</x:f>
        <x:v>500</x:v>
      </x:c>
      <x:c r="F244" s="22" t="n">
        <x:f>IF(COUNT($N$242:$N$246)=5,SUM($N$242:$N$246),"n.a.")</x:f>
        <x:v>0</x:v>
      </x:c>
      <x:c r="G244" s="22" t="n">
        <x:f>IF(COUNT(E244:F244)=2,MAX(0,E244-F244),"n.a.")</x:f>
        <x:v>500</x:v>
      </x:c>
      <x:c r="H244" s="26" t="str">
        <x:f>'Inputs'!C13</x:f>
        <x:v>Loan C</x:v>
      </x:c>
      <x:c r="I244" s="26" t="n">
        <x:f>S239</x:f>
        <x:v>0</x:v>
      </x:c>
      <x:c r="J244" s="29" t="n">
        <x:f>IF('Inputs'!$D$9="Ready",'Inputs'!E13,"n.a.")</x:f>
        <x:v>0.08</x:v>
      </x:c>
      <x:c r="K244" s="26" t="n">
        <x:f>IF('Inputs'!$D$9="Ready",'Inputs'!F13,"n.a.")</x:f>
        <x:v>150</x:v>
      </x:c>
      <x:c r="L244" s="29" t="n">
        <x:f>IF('Inputs'!$D$9="Ready",'Inputs'!G13,"n.a.")</x:f>
        <x:v>0</x:v>
      </x:c>
      <x:c r="M244" s="22" t="n">
        <x:f>IF(COUNT(I244:L244)=4,ROUND(I244*J244/12,2),"n.a.")</x:f>
        <x:v>0</x:v>
      </x:c>
      <x:c r="N244" s="22" t="n">
        <x:f>IF(COUNT(I244:M244)=5,MIN(I244+M244,ROUND(MAX(K244,I244*L244+M244),2)),"n.a.")</x:f>
        <x:v>0</x:v>
      </x:c>
      <x:c r="O244" s="30" t="n">
        <x:f>IF(COUNT($I$242:$I$246)&lt;&gt;5,"n.a.",IF(I244=0,6,IF('Inputs'!$D$5=1,COUNTIFS($I$242:$I$246,"&gt;0",$I$242:$I$246,"&lt;"&amp;I244)+COUNTIFS($I$242:I244,I244),COUNTIFS($I$242:$I$246,"&gt;0",$J$242:$J$246,"&gt;"&amp;J244)+COUNTIFS($I$242:I244,"&gt;0",$J$242:J244,J244))))</x:f>
        <x:v>6</x:v>
      </x:c>
      <x:c r="P244" s="22" t="n">
        <x:f>IF(T244="Ready",MIN(U244,MAX(0,G244-SUMIFS($U$242:$U$246,$O$242:$O$246,"&lt;"&amp;O244))),"n.a.")</x:f>
        <x:v>0</x:v>
      </x:c>
      <x:c r="Q244" s="22" t="n">
        <x:f>IF(T244="Ready",ROUND(N244+P244,2),"n.a.")</x:f>
        <x:v>0</x:v>
      </x:c>
      <x:c r="R244" s="22" t="n">
        <x:f>IF(T244="Ready",ROUND(Q244-M244,2),"n.a.")</x:f>
        <x:v>0</x:v>
      </x:c>
      <x:c r="S244" s="22" t="n">
        <x:f>IF(T244="Ready",MAX(0,ROUND(I244+M244-Q244,2)),"n.a.")</x:f>
        <x:v>0</x:v>
      </x:c>
      <x:c r="T244" s="22" t="str">
        <x:f>IF(AND(COUNT($I$242:$I$246)=5,COUNT(E244:F244)=2),IF(E244&gt;=F244,"Ready","Budget below minima"),"Check inputs")</x:f>
        <x:v>Ready</x:v>
      </x:c>
      <x:c r="U244" s="22" t="n">
        <x:f>IF(COUNT(I244,M244,N244)=3,MAX(0,ROUND(I244+M244-N244,2)),"n.a.")</x:f>
        <x:v>0</x:v>
      </x:c>
    </x:row>
    <x:row r="245" ht="22" customHeight="1">
      <x:c r="A245" s="2"/>
      <x:c r="B245" s="2"/>
      <x:c r="C245" s="27" t="n">
        <x:f>48</x:f>
        <x:v>48</x:v>
      </x:c>
      <x:c r="D245" s="28" t="n">
        <x:f>IF(ISNUMBER('Inputs'!$D$7),EDATE('Inputs'!$D$7,47),"n.a.")</x:f>
        <x:v>47757</x:v>
      </x:c>
      <x:c r="E245" s="26" t="n">
        <x:f>IF('Inputs'!$D$9&lt;&gt;"Ready","n.a.",IF(ISNUMBER('Inputs'!E66),IF('Inputs'!E66&gt;=0,'Inputs'!E66,"n.a."),IF('Inputs'!E66="",'Inputs'!$D$6,"n.a.")))</x:f>
        <x:v>500</x:v>
      </x:c>
      <x:c r="F245" s="22" t="n">
        <x:f>IF(COUNT($N$242:$N$246)=5,SUM($N$242:$N$246),"n.a.")</x:f>
        <x:v>0</x:v>
      </x:c>
      <x:c r="G245" s="22" t="n">
        <x:f>IF(COUNT(E245:F245)=2,MAX(0,E245-F245),"n.a.")</x:f>
        <x:v>500</x:v>
      </x:c>
      <x:c r="H245" s="26" t="str">
        <x:f>'Inputs'!C14</x:f>
        <x:v>Unused 4</x:v>
      </x:c>
      <x:c r="I245" s="26" t="n">
        <x:f>S240</x:f>
        <x:v>0</x:v>
      </x:c>
      <x:c r="J245" s="29" t="n">
        <x:f>IF('Inputs'!$D$9="Ready",'Inputs'!E14,"n.a.")</x:f>
        <x:v>0</x:v>
      </x:c>
      <x:c r="K245" s="26" t="n">
        <x:f>IF('Inputs'!$D$9="Ready",'Inputs'!F14,"n.a.")</x:f>
        <x:v>0</x:v>
      </x:c>
      <x:c r="L245" s="29" t="n">
        <x:f>IF('Inputs'!$D$9="Ready",'Inputs'!G14,"n.a.")</x:f>
        <x:v>0</x:v>
      </x:c>
      <x:c r="M245" s="22" t="n">
        <x:f>IF(COUNT(I245:L245)=4,ROUND(I245*J245/12,2),"n.a.")</x:f>
        <x:v>0</x:v>
      </x:c>
      <x:c r="N245" s="22" t="n">
        <x:f>IF(COUNT(I245:M245)=5,MIN(I245+M245,ROUND(MAX(K245,I245*L245+M245),2)),"n.a.")</x:f>
        <x:v>0</x:v>
      </x:c>
      <x:c r="O245" s="30" t="n">
        <x:f>IF(COUNT($I$242:$I$246)&lt;&gt;5,"n.a.",IF(I245=0,6,IF('Inputs'!$D$5=1,COUNTIFS($I$242:$I$246,"&gt;0",$I$242:$I$246,"&lt;"&amp;I245)+COUNTIFS($I$242:I245,I245),COUNTIFS($I$242:$I$246,"&gt;0",$J$242:$J$246,"&gt;"&amp;J245)+COUNTIFS($I$242:I245,"&gt;0",$J$242:J245,J245))))</x:f>
        <x:v>6</x:v>
      </x:c>
      <x:c r="P245" s="22" t="n">
        <x:f>IF(T245="Ready",MIN(U245,MAX(0,G245-SUMIFS($U$242:$U$246,$O$242:$O$246,"&lt;"&amp;O245))),"n.a.")</x:f>
        <x:v>0</x:v>
      </x:c>
      <x:c r="Q245" s="22" t="n">
        <x:f>IF(T245="Ready",ROUND(N245+P245,2),"n.a.")</x:f>
        <x:v>0</x:v>
      </x:c>
      <x:c r="R245" s="22" t="n">
        <x:f>IF(T245="Ready",ROUND(Q245-M245,2),"n.a.")</x:f>
        <x:v>0</x:v>
      </x:c>
      <x:c r="S245" s="22" t="n">
        <x:f>IF(T245="Ready",MAX(0,ROUND(I245+M245-Q245,2)),"n.a.")</x:f>
        <x:v>0</x:v>
      </x:c>
      <x:c r="T245" s="22" t="str">
        <x:f>IF(AND(COUNT($I$242:$I$246)=5,COUNT(E245:F245)=2),IF(E245&gt;=F245,"Ready","Budget below minima"),"Check inputs")</x:f>
        <x:v>Ready</x:v>
      </x:c>
      <x:c r="U245" s="22" t="n">
        <x:f>IF(COUNT(I245,M245,N245)=3,MAX(0,ROUND(I245+M245-N245,2)),"n.a.")</x:f>
        <x:v>0</x:v>
      </x:c>
    </x:row>
    <x:row r="246" ht="22" customHeight="1">
      <x:c r="A246" s="2"/>
      <x:c r="B246" s="2"/>
      <x:c r="C246" s="27" t="n">
        <x:f>48</x:f>
        <x:v>48</x:v>
      </x:c>
      <x:c r="D246" s="28" t="n">
        <x:f>IF(ISNUMBER('Inputs'!$D$7),EDATE('Inputs'!$D$7,47),"n.a.")</x:f>
        <x:v>47757</x:v>
      </x:c>
      <x:c r="E246" s="26" t="n">
        <x:f>IF('Inputs'!$D$9&lt;&gt;"Ready","n.a.",IF(ISNUMBER('Inputs'!E66),IF('Inputs'!E66&gt;=0,'Inputs'!E66,"n.a."),IF('Inputs'!E66="",'Inputs'!$D$6,"n.a.")))</x:f>
        <x:v>500</x:v>
      </x:c>
      <x:c r="F246" s="22" t="n">
        <x:f>IF(COUNT($N$242:$N$246)=5,SUM($N$242:$N$246),"n.a.")</x:f>
        <x:v>0</x:v>
      </x:c>
      <x:c r="G246" s="22" t="n">
        <x:f>IF(COUNT(E246:F246)=2,MAX(0,E246-F246),"n.a.")</x:f>
        <x:v>500</x:v>
      </x:c>
      <x:c r="H246" s="26" t="str">
        <x:f>'Inputs'!C15</x:f>
        <x:v>Unused 5</x:v>
      </x:c>
      <x:c r="I246" s="26" t="n">
        <x:f>S241</x:f>
        <x:v>0</x:v>
      </x:c>
      <x:c r="J246" s="29" t="n">
        <x:f>IF('Inputs'!$D$9="Ready",'Inputs'!E15,"n.a.")</x:f>
        <x:v>0</x:v>
      </x:c>
      <x:c r="K246" s="26" t="n">
        <x:f>IF('Inputs'!$D$9="Ready",'Inputs'!F15,"n.a.")</x:f>
        <x:v>0</x:v>
      </x:c>
      <x:c r="L246" s="29" t="n">
        <x:f>IF('Inputs'!$D$9="Ready",'Inputs'!G15,"n.a.")</x:f>
        <x:v>0</x:v>
      </x:c>
      <x:c r="M246" s="22" t="n">
        <x:f>IF(COUNT(I246:L246)=4,ROUND(I246*J246/12,2),"n.a.")</x:f>
        <x:v>0</x:v>
      </x:c>
      <x:c r="N246" s="22" t="n">
        <x:f>IF(COUNT(I246:M246)=5,MIN(I246+M246,ROUND(MAX(K246,I246*L246+M246),2)),"n.a.")</x:f>
        <x:v>0</x:v>
      </x:c>
      <x:c r="O246" s="30" t="n">
        <x:f>IF(COUNT($I$242:$I$246)&lt;&gt;5,"n.a.",IF(I246=0,6,IF('Inputs'!$D$5=1,COUNTIFS($I$242:$I$246,"&gt;0",$I$242:$I$246,"&lt;"&amp;I246)+COUNTIFS($I$242:I246,I246),COUNTIFS($I$242:$I$246,"&gt;0",$J$242:$J$246,"&gt;"&amp;J246)+COUNTIFS($I$242:I246,"&gt;0",$J$242:J246,J246))))</x:f>
        <x:v>6</x:v>
      </x:c>
      <x:c r="P246" s="22" t="n">
        <x:f>IF(T246="Ready",MIN(U246,MAX(0,G246-SUMIFS($U$242:$U$246,$O$242:$O$246,"&lt;"&amp;O246))),"n.a.")</x:f>
        <x:v>0</x:v>
      </x:c>
      <x:c r="Q246" s="22" t="n">
        <x:f>IF(T246="Ready",ROUND(N246+P246,2),"n.a.")</x:f>
        <x:v>0</x:v>
      </x:c>
      <x:c r="R246" s="22" t="n">
        <x:f>IF(T246="Ready",ROUND(Q246-M246,2),"n.a.")</x:f>
        <x:v>0</x:v>
      </x:c>
      <x:c r="S246" s="22" t="n">
        <x:f>IF(T246="Ready",MAX(0,ROUND(I246+M246-Q246,2)),"n.a.")</x:f>
        <x:v>0</x:v>
      </x:c>
      <x:c r="T246" s="22" t="str">
        <x:f>IF(AND(COUNT($I$242:$I$246)=5,COUNT(E246:F246)=2),IF(E246&gt;=F246,"Ready","Budget below minima"),"Check inputs")</x:f>
        <x:v>Ready</x:v>
      </x:c>
      <x:c r="U246" s="22" t="n">
        <x:f>IF(COUNT(I246,M246,N246)=3,MAX(0,ROUND(I246+M246-N246,2)),"n.a.")</x:f>
        <x:v>0</x:v>
      </x:c>
    </x:row>
    <x:row r="247" ht="22" customHeight="1">
      <x:c r="A247" s="2"/>
      <x:c r="B247" s="2"/>
      <x:c r="C247" s="27" t="n">
        <x:f>49</x:f>
        <x:v>49</x:v>
      </x:c>
      <x:c r="D247" s="28" t="n">
        <x:f>IF(ISNUMBER('Inputs'!$D$7),EDATE('Inputs'!$D$7,48),"n.a.")</x:f>
        <x:v>47788</x:v>
      </x:c>
      <x:c r="E247" s="26" t="n">
        <x:f>IF('Inputs'!$D$9&lt;&gt;"Ready","n.a.",IF(ISNUMBER('Inputs'!E67),IF('Inputs'!E67&gt;=0,'Inputs'!E67,"n.a."),IF('Inputs'!E67="",'Inputs'!$D$6,"n.a.")))</x:f>
        <x:v>500</x:v>
      </x:c>
      <x:c r="F247" s="22" t="n">
        <x:f>IF(COUNT($N$247:$N$251)=5,SUM($N$247:$N$251),"n.a.")</x:f>
        <x:v>0</x:v>
      </x:c>
      <x:c r="G247" s="22" t="n">
        <x:f>IF(COUNT(E247:F247)=2,MAX(0,E247-F247),"n.a.")</x:f>
        <x:v>500</x:v>
      </x:c>
      <x:c r="H247" s="26" t="str">
        <x:f>'Inputs'!C11</x:f>
        <x:v>Card A</x:v>
      </x:c>
      <x:c r="I247" s="26" t="n">
        <x:f>S242</x:f>
        <x:v>0</x:v>
      </x:c>
      <x:c r="J247" s="29" t="n">
        <x:f>IF('Inputs'!$D$9="Ready",'Inputs'!E11,"n.a.")</x:f>
        <x:v>0.24</x:v>
      </x:c>
      <x:c r="K247" s="26" t="n">
        <x:f>IF('Inputs'!$D$9="Ready",'Inputs'!F11,"n.a.")</x:f>
        <x:v>35</x:v>
      </x:c>
      <x:c r="L247" s="29" t="n">
        <x:f>IF('Inputs'!$D$9="Ready",'Inputs'!G11,"n.a.")</x:f>
        <x:v>0.02</x:v>
      </x:c>
      <x:c r="M247" s="22" t="n">
        <x:f>IF(COUNT(I247:L247)=4,ROUND(I247*J247/12,2),"n.a.")</x:f>
        <x:v>0</x:v>
      </x:c>
      <x:c r="N247" s="22" t="n">
        <x:f>IF(COUNT(I247:M247)=5,MIN(I247+M247,ROUND(MAX(K247,I247*L247+M247),2)),"n.a.")</x:f>
        <x:v>0</x:v>
      </x:c>
      <x:c r="O247" s="30" t="n">
        <x:f>IF(COUNT($I$247:$I$251)&lt;&gt;5,"n.a.",IF(I247=0,6,IF('Inputs'!$D$5=1,COUNTIFS($I$247:$I$251,"&gt;0",$I$247:$I$251,"&lt;"&amp;I247)+COUNTIFS($I$247:I247,I247),COUNTIFS($I$247:$I$251,"&gt;0",$J$247:$J$251,"&gt;"&amp;J247)+COUNTIFS($I$247:I247,"&gt;0",$J$247:J247,J247))))</x:f>
        <x:v>6</x:v>
      </x:c>
      <x:c r="P247" s="22" t="n">
        <x:f>IF(T247="Ready",MIN(U247,MAX(0,G247-SUMIFS($U$247:$U$251,$O$247:$O$251,"&lt;"&amp;O247))),"n.a.")</x:f>
        <x:v>0</x:v>
      </x:c>
      <x:c r="Q247" s="22" t="n">
        <x:f>IF(T247="Ready",ROUND(N247+P247,2),"n.a.")</x:f>
        <x:v>0</x:v>
      </x:c>
      <x:c r="R247" s="22" t="n">
        <x:f>IF(T247="Ready",ROUND(Q247-M247,2),"n.a.")</x:f>
        <x:v>0</x:v>
      </x:c>
      <x:c r="S247" s="22" t="n">
        <x:f>IF(T247="Ready",MAX(0,ROUND(I247+M247-Q247,2)),"n.a.")</x:f>
        <x:v>0</x:v>
      </x:c>
      <x:c r="T247" s="22" t="str">
        <x:f>IF(AND(COUNT($I$247:$I$251)=5,COUNT(E247:F247)=2),IF(E247&gt;=F247,"Ready","Budget below minima"),"Check inputs")</x:f>
        <x:v>Ready</x:v>
      </x:c>
      <x:c r="U247" s="22" t="n">
        <x:f>IF(COUNT(I247,M247,N247)=3,MAX(0,ROUND(I247+M247-N247,2)),"n.a.")</x:f>
        <x:v>0</x:v>
      </x:c>
    </x:row>
    <x:row r="248" ht="22" customHeight="1">
      <x:c r="A248" s="2"/>
      <x:c r="B248" s="2"/>
      <x:c r="C248" s="27" t="n">
        <x:f>49</x:f>
        <x:v>49</x:v>
      </x:c>
      <x:c r="D248" s="28" t="n">
        <x:f>IF(ISNUMBER('Inputs'!$D$7),EDATE('Inputs'!$D$7,48),"n.a.")</x:f>
        <x:v>47788</x:v>
      </x:c>
      <x:c r="E248" s="26" t="n">
        <x:f>IF('Inputs'!$D$9&lt;&gt;"Ready","n.a.",IF(ISNUMBER('Inputs'!E67),IF('Inputs'!E67&gt;=0,'Inputs'!E67,"n.a."),IF('Inputs'!E67="",'Inputs'!$D$6,"n.a.")))</x:f>
        <x:v>500</x:v>
      </x:c>
      <x:c r="F248" s="22" t="n">
        <x:f>IF(COUNT($N$247:$N$251)=5,SUM($N$247:$N$251),"n.a.")</x:f>
        <x:v>0</x:v>
      </x:c>
      <x:c r="G248" s="22" t="n">
        <x:f>IF(COUNT(E248:F248)=2,MAX(0,E248-F248),"n.a.")</x:f>
        <x:v>500</x:v>
      </x:c>
      <x:c r="H248" s="26" t="str">
        <x:f>'Inputs'!C12</x:f>
        <x:v>Card B</x:v>
      </x:c>
      <x:c r="I248" s="26" t="n">
        <x:f>S243</x:f>
        <x:v>0</x:v>
      </x:c>
      <x:c r="J248" s="29" t="n">
        <x:f>IF('Inputs'!$D$9="Ready",'Inputs'!E12,"n.a.")</x:f>
        <x:v>0.18</x:v>
      </x:c>
      <x:c r="K248" s="26" t="n">
        <x:f>IF('Inputs'!$D$9="Ready",'Inputs'!F12,"n.a.")</x:f>
        <x:v>60</x:v>
      </x:c>
      <x:c r="L248" s="29" t="n">
        <x:f>IF('Inputs'!$D$9="Ready",'Inputs'!G12,"n.a.")</x:f>
        <x:v>0.02</x:v>
      </x:c>
      <x:c r="M248" s="22" t="n">
        <x:f>IF(COUNT(I248:L248)=4,ROUND(I248*J248/12,2),"n.a.")</x:f>
        <x:v>0</x:v>
      </x:c>
      <x:c r="N248" s="22" t="n">
        <x:f>IF(COUNT(I248:M248)=5,MIN(I248+M248,ROUND(MAX(K248,I248*L248+M248),2)),"n.a.")</x:f>
        <x:v>0</x:v>
      </x:c>
      <x:c r="O248" s="30" t="n">
        <x:f>IF(COUNT($I$247:$I$251)&lt;&gt;5,"n.a.",IF(I248=0,6,IF('Inputs'!$D$5=1,COUNTIFS($I$247:$I$251,"&gt;0",$I$247:$I$251,"&lt;"&amp;I248)+COUNTIFS($I$247:I248,I248),COUNTIFS($I$247:$I$251,"&gt;0",$J$247:$J$251,"&gt;"&amp;J248)+COUNTIFS($I$247:I248,"&gt;0",$J$247:J248,J248))))</x:f>
        <x:v>6</x:v>
      </x:c>
      <x:c r="P248" s="22" t="n">
        <x:f>IF(T248="Ready",MIN(U248,MAX(0,G248-SUMIFS($U$247:$U$251,$O$247:$O$251,"&lt;"&amp;O248))),"n.a.")</x:f>
        <x:v>0</x:v>
      </x:c>
      <x:c r="Q248" s="22" t="n">
        <x:f>IF(T248="Ready",ROUND(N248+P248,2),"n.a.")</x:f>
        <x:v>0</x:v>
      </x:c>
      <x:c r="R248" s="22" t="n">
        <x:f>IF(T248="Ready",ROUND(Q248-M248,2),"n.a.")</x:f>
        <x:v>0</x:v>
      </x:c>
      <x:c r="S248" s="22" t="n">
        <x:f>IF(T248="Ready",MAX(0,ROUND(I248+M248-Q248,2)),"n.a.")</x:f>
        <x:v>0</x:v>
      </x:c>
      <x:c r="T248" s="22" t="str">
        <x:f>IF(AND(COUNT($I$247:$I$251)=5,COUNT(E248:F248)=2),IF(E248&gt;=F248,"Ready","Budget below minima"),"Check inputs")</x:f>
        <x:v>Ready</x:v>
      </x:c>
      <x:c r="U248" s="22" t="n">
        <x:f>IF(COUNT(I248,M248,N248)=3,MAX(0,ROUND(I248+M248-N248,2)),"n.a.")</x:f>
        <x:v>0</x:v>
      </x:c>
    </x:row>
    <x:row r="249" ht="22" customHeight="1">
      <x:c r="A249" s="2"/>
      <x:c r="B249" s="2"/>
      <x:c r="C249" s="27" t="n">
        <x:f>49</x:f>
        <x:v>49</x:v>
      </x:c>
      <x:c r="D249" s="28" t="n">
        <x:f>IF(ISNUMBER('Inputs'!$D$7),EDATE('Inputs'!$D$7,48),"n.a.")</x:f>
        <x:v>47788</x:v>
      </x:c>
      <x:c r="E249" s="26" t="n">
        <x:f>IF('Inputs'!$D$9&lt;&gt;"Ready","n.a.",IF(ISNUMBER('Inputs'!E67),IF('Inputs'!E67&gt;=0,'Inputs'!E67,"n.a."),IF('Inputs'!E67="",'Inputs'!$D$6,"n.a.")))</x:f>
        <x:v>500</x:v>
      </x:c>
      <x:c r="F249" s="22" t="n">
        <x:f>IF(COUNT($N$247:$N$251)=5,SUM($N$247:$N$251),"n.a.")</x:f>
        <x:v>0</x:v>
      </x:c>
      <x:c r="G249" s="22" t="n">
        <x:f>IF(COUNT(E249:F249)=2,MAX(0,E249-F249),"n.a.")</x:f>
        <x:v>500</x:v>
      </x:c>
      <x:c r="H249" s="26" t="str">
        <x:f>'Inputs'!C13</x:f>
        <x:v>Loan C</x:v>
      </x:c>
      <x:c r="I249" s="26" t="n">
        <x:f>S244</x:f>
        <x:v>0</x:v>
      </x:c>
      <x:c r="J249" s="29" t="n">
        <x:f>IF('Inputs'!$D$9="Ready",'Inputs'!E13,"n.a.")</x:f>
        <x:v>0.08</x:v>
      </x:c>
      <x:c r="K249" s="26" t="n">
        <x:f>IF('Inputs'!$D$9="Ready",'Inputs'!F13,"n.a.")</x:f>
        <x:v>150</x:v>
      </x:c>
      <x:c r="L249" s="29" t="n">
        <x:f>IF('Inputs'!$D$9="Ready",'Inputs'!G13,"n.a.")</x:f>
        <x:v>0</x:v>
      </x:c>
      <x:c r="M249" s="22" t="n">
        <x:f>IF(COUNT(I249:L249)=4,ROUND(I249*J249/12,2),"n.a.")</x:f>
        <x:v>0</x:v>
      </x:c>
      <x:c r="N249" s="22" t="n">
        <x:f>IF(COUNT(I249:M249)=5,MIN(I249+M249,ROUND(MAX(K249,I249*L249+M249),2)),"n.a.")</x:f>
        <x:v>0</x:v>
      </x:c>
      <x:c r="O249" s="30" t="n">
        <x:f>IF(COUNT($I$247:$I$251)&lt;&gt;5,"n.a.",IF(I249=0,6,IF('Inputs'!$D$5=1,COUNTIFS($I$247:$I$251,"&gt;0",$I$247:$I$251,"&lt;"&amp;I249)+COUNTIFS($I$247:I249,I249),COUNTIFS($I$247:$I$251,"&gt;0",$J$247:$J$251,"&gt;"&amp;J249)+COUNTIFS($I$247:I249,"&gt;0",$J$247:J249,J249))))</x:f>
        <x:v>6</x:v>
      </x:c>
      <x:c r="P249" s="22" t="n">
        <x:f>IF(T249="Ready",MIN(U249,MAX(0,G249-SUMIFS($U$247:$U$251,$O$247:$O$251,"&lt;"&amp;O249))),"n.a.")</x:f>
        <x:v>0</x:v>
      </x:c>
      <x:c r="Q249" s="22" t="n">
        <x:f>IF(T249="Ready",ROUND(N249+P249,2),"n.a.")</x:f>
        <x:v>0</x:v>
      </x:c>
      <x:c r="R249" s="22" t="n">
        <x:f>IF(T249="Ready",ROUND(Q249-M249,2),"n.a.")</x:f>
        <x:v>0</x:v>
      </x:c>
      <x:c r="S249" s="22" t="n">
        <x:f>IF(T249="Ready",MAX(0,ROUND(I249+M249-Q249,2)),"n.a.")</x:f>
        <x:v>0</x:v>
      </x:c>
      <x:c r="T249" s="22" t="str">
        <x:f>IF(AND(COUNT($I$247:$I$251)=5,COUNT(E249:F249)=2),IF(E249&gt;=F249,"Ready","Budget below minima"),"Check inputs")</x:f>
        <x:v>Ready</x:v>
      </x:c>
      <x:c r="U249" s="22" t="n">
        <x:f>IF(COUNT(I249,M249,N249)=3,MAX(0,ROUND(I249+M249-N249,2)),"n.a.")</x:f>
        <x:v>0</x:v>
      </x:c>
    </x:row>
    <x:row r="250" ht="22" customHeight="1">
      <x:c r="A250" s="2"/>
      <x:c r="B250" s="2"/>
      <x:c r="C250" s="27" t="n">
        <x:f>49</x:f>
        <x:v>49</x:v>
      </x:c>
      <x:c r="D250" s="28" t="n">
        <x:f>IF(ISNUMBER('Inputs'!$D$7),EDATE('Inputs'!$D$7,48),"n.a.")</x:f>
        <x:v>47788</x:v>
      </x:c>
      <x:c r="E250" s="26" t="n">
        <x:f>IF('Inputs'!$D$9&lt;&gt;"Ready","n.a.",IF(ISNUMBER('Inputs'!E67),IF('Inputs'!E67&gt;=0,'Inputs'!E67,"n.a."),IF('Inputs'!E67="",'Inputs'!$D$6,"n.a.")))</x:f>
        <x:v>500</x:v>
      </x:c>
      <x:c r="F250" s="22" t="n">
        <x:f>IF(COUNT($N$247:$N$251)=5,SUM($N$247:$N$251),"n.a.")</x:f>
        <x:v>0</x:v>
      </x:c>
      <x:c r="G250" s="22" t="n">
        <x:f>IF(COUNT(E250:F250)=2,MAX(0,E250-F250),"n.a.")</x:f>
        <x:v>500</x:v>
      </x:c>
      <x:c r="H250" s="26" t="str">
        <x:f>'Inputs'!C14</x:f>
        <x:v>Unused 4</x:v>
      </x:c>
      <x:c r="I250" s="26" t="n">
        <x:f>S245</x:f>
        <x:v>0</x:v>
      </x:c>
      <x:c r="J250" s="29" t="n">
        <x:f>IF('Inputs'!$D$9="Ready",'Inputs'!E14,"n.a.")</x:f>
        <x:v>0</x:v>
      </x:c>
      <x:c r="K250" s="26" t="n">
        <x:f>IF('Inputs'!$D$9="Ready",'Inputs'!F14,"n.a.")</x:f>
        <x:v>0</x:v>
      </x:c>
      <x:c r="L250" s="29" t="n">
        <x:f>IF('Inputs'!$D$9="Ready",'Inputs'!G14,"n.a.")</x:f>
        <x:v>0</x:v>
      </x:c>
      <x:c r="M250" s="22" t="n">
        <x:f>IF(COUNT(I250:L250)=4,ROUND(I250*J250/12,2),"n.a.")</x:f>
        <x:v>0</x:v>
      </x:c>
      <x:c r="N250" s="22" t="n">
        <x:f>IF(COUNT(I250:M250)=5,MIN(I250+M250,ROUND(MAX(K250,I250*L250+M250),2)),"n.a.")</x:f>
        <x:v>0</x:v>
      </x:c>
      <x:c r="O250" s="30" t="n">
        <x:f>IF(COUNT($I$247:$I$251)&lt;&gt;5,"n.a.",IF(I250=0,6,IF('Inputs'!$D$5=1,COUNTIFS($I$247:$I$251,"&gt;0",$I$247:$I$251,"&lt;"&amp;I250)+COUNTIFS($I$247:I250,I250),COUNTIFS($I$247:$I$251,"&gt;0",$J$247:$J$251,"&gt;"&amp;J250)+COUNTIFS($I$247:I250,"&gt;0",$J$247:J250,J250))))</x:f>
        <x:v>6</x:v>
      </x:c>
      <x:c r="P250" s="22" t="n">
        <x:f>IF(T250="Ready",MIN(U250,MAX(0,G250-SUMIFS($U$247:$U$251,$O$247:$O$251,"&lt;"&amp;O250))),"n.a.")</x:f>
        <x:v>0</x:v>
      </x:c>
      <x:c r="Q250" s="22" t="n">
        <x:f>IF(T250="Ready",ROUND(N250+P250,2),"n.a.")</x:f>
        <x:v>0</x:v>
      </x:c>
      <x:c r="R250" s="22" t="n">
        <x:f>IF(T250="Ready",ROUND(Q250-M250,2),"n.a.")</x:f>
        <x:v>0</x:v>
      </x:c>
      <x:c r="S250" s="22" t="n">
        <x:f>IF(T250="Ready",MAX(0,ROUND(I250+M250-Q250,2)),"n.a.")</x:f>
        <x:v>0</x:v>
      </x:c>
      <x:c r="T250" s="22" t="str">
        <x:f>IF(AND(COUNT($I$247:$I$251)=5,COUNT(E250:F250)=2),IF(E250&gt;=F250,"Ready","Budget below minima"),"Check inputs")</x:f>
        <x:v>Ready</x:v>
      </x:c>
      <x:c r="U250" s="22" t="n">
        <x:f>IF(COUNT(I250,M250,N250)=3,MAX(0,ROUND(I250+M250-N250,2)),"n.a.")</x:f>
        <x:v>0</x:v>
      </x:c>
    </x:row>
    <x:row r="251" ht="22" customHeight="1">
      <x:c r="A251" s="2"/>
      <x:c r="B251" s="2"/>
      <x:c r="C251" s="27" t="n">
        <x:f>49</x:f>
        <x:v>49</x:v>
      </x:c>
      <x:c r="D251" s="28" t="n">
        <x:f>IF(ISNUMBER('Inputs'!$D$7),EDATE('Inputs'!$D$7,48),"n.a.")</x:f>
        <x:v>47788</x:v>
      </x:c>
      <x:c r="E251" s="26" t="n">
        <x:f>IF('Inputs'!$D$9&lt;&gt;"Ready","n.a.",IF(ISNUMBER('Inputs'!E67),IF('Inputs'!E67&gt;=0,'Inputs'!E67,"n.a."),IF('Inputs'!E67="",'Inputs'!$D$6,"n.a.")))</x:f>
        <x:v>500</x:v>
      </x:c>
      <x:c r="F251" s="22" t="n">
        <x:f>IF(COUNT($N$247:$N$251)=5,SUM($N$247:$N$251),"n.a.")</x:f>
        <x:v>0</x:v>
      </x:c>
      <x:c r="G251" s="22" t="n">
        <x:f>IF(COUNT(E251:F251)=2,MAX(0,E251-F251),"n.a.")</x:f>
        <x:v>500</x:v>
      </x:c>
      <x:c r="H251" s="26" t="str">
        <x:f>'Inputs'!C15</x:f>
        <x:v>Unused 5</x:v>
      </x:c>
      <x:c r="I251" s="26" t="n">
        <x:f>S246</x:f>
        <x:v>0</x:v>
      </x:c>
      <x:c r="J251" s="29" t="n">
        <x:f>IF('Inputs'!$D$9="Ready",'Inputs'!E15,"n.a.")</x:f>
        <x:v>0</x:v>
      </x:c>
      <x:c r="K251" s="26" t="n">
        <x:f>IF('Inputs'!$D$9="Ready",'Inputs'!F15,"n.a.")</x:f>
        <x:v>0</x:v>
      </x:c>
      <x:c r="L251" s="29" t="n">
        <x:f>IF('Inputs'!$D$9="Ready",'Inputs'!G15,"n.a.")</x:f>
        <x:v>0</x:v>
      </x:c>
      <x:c r="M251" s="22" t="n">
        <x:f>IF(COUNT(I251:L251)=4,ROUND(I251*J251/12,2),"n.a.")</x:f>
        <x:v>0</x:v>
      </x:c>
      <x:c r="N251" s="22" t="n">
        <x:f>IF(COUNT(I251:M251)=5,MIN(I251+M251,ROUND(MAX(K251,I251*L251+M251),2)),"n.a.")</x:f>
        <x:v>0</x:v>
      </x:c>
      <x:c r="O251" s="30" t="n">
        <x:f>IF(COUNT($I$247:$I$251)&lt;&gt;5,"n.a.",IF(I251=0,6,IF('Inputs'!$D$5=1,COUNTIFS($I$247:$I$251,"&gt;0",$I$247:$I$251,"&lt;"&amp;I251)+COUNTIFS($I$247:I251,I251),COUNTIFS($I$247:$I$251,"&gt;0",$J$247:$J$251,"&gt;"&amp;J251)+COUNTIFS($I$247:I251,"&gt;0",$J$247:J251,J251))))</x:f>
        <x:v>6</x:v>
      </x:c>
      <x:c r="P251" s="22" t="n">
        <x:f>IF(T251="Ready",MIN(U251,MAX(0,G251-SUMIFS($U$247:$U$251,$O$247:$O$251,"&lt;"&amp;O251))),"n.a.")</x:f>
        <x:v>0</x:v>
      </x:c>
      <x:c r="Q251" s="22" t="n">
        <x:f>IF(T251="Ready",ROUND(N251+P251,2),"n.a.")</x:f>
        <x:v>0</x:v>
      </x:c>
      <x:c r="R251" s="22" t="n">
        <x:f>IF(T251="Ready",ROUND(Q251-M251,2),"n.a.")</x:f>
        <x:v>0</x:v>
      </x:c>
      <x:c r="S251" s="22" t="n">
        <x:f>IF(T251="Ready",MAX(0,ROUND(I251+M251-Q251,2)),"n.a.")</x:f>
        <x:v>0</x:v>
      </x:c>
      <x:c r="T251" s="22" t="str">
        <x:f>IF(AND(COUNT($I$247:$I$251)=5,COUNT(E251:F251)=2),IF(E251&gt;=F251,"Ready","Budget below minima"),"Check inputs")</x:f>
        <x:v>Ready</x:v>
      </x:c>
      <x:c r="U251" s="22" t="n">
        <x:f>IF(COUNT(I251,M251,N251)=3,MAX(0,ROUND(I251+M251-N251,2)),"n.a.")</x:f>
        <x:v>0</x:v>
      </x:c>
    </x:row>
    <x:row r="252" ht="22" customHeight="1">
      <x:c r="A252" s="2"/>
      <x:c r="B252" s="2"/>
      <x:c r="C252" s="27" t="n">
        <x:f>50</x:f>
        <x:v>50</x:v>
      </x:c>
      <x:c r="D252" s="28" t="n">
        <x:f>IF(ISNUMBER('Inputs'!$D$7),EDATE('Inputs'!$D$7,49),"n.a.")</x:f>
        <x:v>47818</x:v>
      </x:c>
      <x:c r="E252" s="26" t="n">
        <x:f>IF('Inputs'!$D$9&lt;&gt;"Ready","n.a.",IF(ISNUMBER('Inputs'!E68),IF('Inputs'!E68&gt;=0,'Inputs'!E68,"n.a."),IF('Inputs'!E68="",'Inputs'!$D$6,"n.a.")))</x:f>
        <x:v>500</x:v>
      </x:c>
      <x:c r="F252" s="22" t="n">
        <x:f>IF(COUNT($N$252:$N$256)=5,SUM($N$252:$N$256),"n.a.")</x:f>
        <x:v>0</x:v>
      </x:c>
      <x:c r="G252" s="22" t="n">
        <x:f>IF(COUNT(E252:F252)=2,MAX(0,E252-F252),"n.a.")</x:f>
        <x:v>500</x:v>
      </x:c>
      <x:c r="H252" s="26" t="str">
        <x:f>'Inputs'!C11</x:f>
        <x:v>Card A</x:v>
      </x:c>
      <x:c r="I252" s="26" t="n">
        <x:f>S247</x:f>
        <x:v>0</x:v>
      </x:c>
      <x:c r="J252" s="29" t="n">
        <x:f>IF('Inputs'!$D$9="Ready",'Inputs'!E11,"n.a.")</x:f>
        <x:v>0.24</x:v>
      </x:c>
      <x:c r="K252" s="26" t="n">
        <x:f>IF('Inputs'!$D$9="Ready",'Inputs'!F11,"n.a.")</x:f>
        <x:v>35</x:v>
      </x:c>
      <x:c r="L252" s="29" t="n">
        <x:f>IF('Inputs'!$D$9="Ready",'Inputs'!G11,"n.a.")</x:f>
        <x:v>0.02</x:v>
      </x:c>
      <x:c r="M252" s="22" t="n">
        <x:f>IF(COUNT(I252:L252)=4,ROUND(I252*J252/12,2),"n.a.")</x:f>
        <x:v>0</x:v>
      </x:c>
      <x:c r="N252" s="22" t="n">
        <x:f>IF(COUNT(I252:M252)=5,MIN(I252+M252,ROUND(MAX(K252,I252*L252+M252),2)),"n.a.")</x:f>
        <x:v>0</x:v>
      </x:c>
      <x:c r="O252" s="30" t="n">
        <x:f>IF(COUNT($I$252:$I$256)&lt;&gt;5,"n.a.",IF(I252=0,6,IF('Inputs'!$D$5=1,COUNTIFS($I$252:$I$256,"&gt;0",$I$252:$I$256,"&lt;"&amp;I252)+COUNTIFS($I$252:I252,I252),COUNTIFS($I$252:$I$256,"&gt;0",$J$252:$J$256,"&gt;"&amp;J252)+COUNTIFS($I$252:I252,"&gt;0",$J$252:J252,J252))))</x:f>
        <x:v>6</x:v>
      </x:c>
      <x:c r="P252" s="22" t="n">
        <x:f>IF(T252="Ready",MIN(U252,MAX(0,G252-SUMIFS($U$252:$U$256,$O$252:$O$256,"&lt;"&amp;O252))),"n.a.")</x:f>
        <x:v>0</x:v>
      </x:c>
      <x:c r="Q252" s="22" t="n">
        <x:f>IF(T252="Ready",ROUND(N252+P252,2),"n.a.")</x:f>
        <x:v>0</x:v>
      </x:c>
      <x:c r="R252" s="22" t="n">
        <x:f>IF(T252="Ready",ROUND(Q252-M252,2),"n.a.")</x:f>
        <x:v>0</x:v>
      </x:c>
      <x:c r="S252" s="22" t="n">
        <x:f>IF(T252="Ready",MAX(0,ROUND(I252+M252-Q252,2)),"n.a.")</x:f>
        <x:v>0</x:v>
      </x:c>
      <x:c r="T252" s="22" t="str">
        <x:f>IF(AND(COUNT($I$252:$I$256)=5,COUNT(E252:F252)=2),IF(E252&gt;=F252,"Ready","Budget below minima"),"Check inputs")</x:f>
        <x:v>Ready</x:v>
      </x:c>
      <x:c r="U252" s="22" t="n">
        <x:f>IF(COUNT(I252,M252,N252)=3,MAX(0,ROUND(I252+M252-N252,2)),"n.a.")</x:f>
        <x:v>0</x:v>
      </x:c>
    </x:row>
    <x:row r="253" ht="22" customHeight="1">
      <x:c r="A253" s="2"/>
      <x:c r="B253" s="2"/>
      <x:c r="C253" s="27" t="n">
        <x:f>50</x:f>
        <x:v>50</x:v>
      </x:c>
      <x:c r="D253" s="28" t="n">
        <x:f>IF(ISNUMBER('Inputs'!$D$7),EDATE('Inputs'!$D$7,49),"n.a.")</x:f>
        <x:v>47818</x:v>
      </x:c>
      <x:c r="E253" s="26" t="n">
        <x:f>IF('Inputs'!$D$9&lt;&gt;"Ready","n.a.",IF(ISNUMBER('Inputs'!E68),IF('Inputs'!E68&gt;=0,'Inputs'!E68,"n.a."),IF('Inputs'!E68="",'Inputs'!$D$6,"n.a.")))</x:f>
        <x:v>500</x:v>
      </x:c>
      <x:c r="F253" s="22" t="n">
        <x:f>IF(COUNT($N$252:$N$256)=5,SUM($N$252:$N$256),"n.a.")</x:f>
        <x:v>0</x:v>
      </x:c>
      <x:c r="G253" s="22" t="n">
        <x:f>IF(COUNT(E253:F253)=2,MAX(0,E253-F253),"n.a.")</x:f>
        <x:v>500</x:v>
      </x:c>
      <x:c r="H253" s="26" t="str">
        <x:f>'Inputs'!C12</x:f>
        <x:v>Card B</x:v>
      </x:c>
      <x:c r="I253" s="26" t="n">
        <x:f>S248</x:f>
        <x:v>0</x:v>
      </x:c>
      <x:c r="J253" s="29" t="n">
        <x:f>IF('Inputs'!$D$9="Ready",'Inputs'!E12,"n.a.")</x:f>
        <x:v>0.18</x:v>
      </x:c>
      <x:c r="K253" s="26" t="n">
        <x:f>IF('Inputs'!$D$9="Ready",'Inputs'!F12,"n.a.")</x:f>
        <x:v>60</x:v>
      </x:c>
      <x:c r="L253" s="29" t="n">
        <x:f>IF('Inputs'!$D$9="Ready",'Inputs'!G12,"n.a.")</x:f>
        <x:v>0.02</x:v>
      </x:c>
      <x:c r="M253" s="22" t="n">
        <x:f>IF(COUNT(I253:L253)=4,ROUND(I253*J253/12,2),"n.a.")</x:f>
        <x:v>0</x:v>
      </x:c>
      <x:c r="N253" s="22" t="n">
        <x:f>IF(COUNT(I253:M253)=5,MIN(I253+M253,ROUND(MAX(K253,I253*L253+M253),2)),"n.a.")</x:f>
        <x:v>0</x:v>
      </x:c>
      <x:c r="O253" s="30" t="n">
        <x:f>IF(COUNT($I$252:$I$256)&lt;&gt;5,"n.a.",IF(I253=0,6,IF('Inputs'!$D$5=1,COUNTIFS($I$252:$I$256,"&gt;0",$I$252:$I$256,"&lt;"&amp;I253)+COUNTIFS($I$252:I253,I253),COUNTIFS($I$252:$I$256,"&gt;0",$J$252:$J$256,"&gt;"&amp;J253)+COUNTIFS($I$252:I253,"&gt;0",$J$252:J253,J253))))</x:f>
        <x:v>6</x:v>
      </x:c>
      <x:c r="P253" s="22" t="n">
        <x:f>IF(T253="Ready",MIN(U253,MAX(0,G253-SUMIFS($U$252:$U$256,$O$252:$O$256,"&lt;"&amp;O253))),"n.a.")</x:f>
        <x:v>0</x:v>
      </x:c>
      <x:c r="Q253" s="22" t="n">
        <x:f>IF(T253="Ready",ROUND(N253+P253,2),"n.a.")</x:f>
        <x:v>0</x:v>
      </x:c>
      <x:c r="R253" s="22" t="n">
        <x:f>IF(T253="Ready",ROUND(Q253-M253,2),"n.a.")</x:f>
        <x:v>0</x:v>
      </x:c>
      <x:c r="S253" s="22" t="n">
        <x:f>IF(T253="Ready",MAX(0,ROUND(I253+M253-Q253,2)),"n.a.")</x:f>
        <x:v>0</x:v>
      </x:c>
      <x:c r="T253" s="22" t="str">
        <x:f>IF(AND(COUNT($I$252:$I$256)=5,COUNT(E253:F253)=2),IF(E253&gt;=F253,"Ready","Budget below minima"),"Check inputs")</x:f>
        <x:v>Ready</x:v>
      </x:c>
      <x:c r="U253" s="22" t="n">
        <x:f>IF(COUNT(I253,M253,N253)=3,MAX(0,ROUND(I253+M253-N253,2)),"n.a.")</x:f>
        <x:v>0</x:v>
      </x:c>
    </x:row>
    <x:row r="254" ht="22" customHeight="1">
      <x:c r="A254" s="2"/>
      <x:c r="B254" s="2"/>
      <x:c r="C254" s="27" t="n">
        <x:f>50</x:f>
        <x:v>50</x:v>
      </x:c>
      <x:c r="D254" s="28" t="n">
        <x:f>IF(ISNUMBER('Inputs'!$D$7),EDATE('Inputs'!$D$7,49),"n.a.")</x:f>
        <x:v>47818</x:v>
      </x:c>
      <x:c r="E254" s="26" t="n">
        <x:f>IF('Inputs'!$D$9&lt;&gt;"Ready","n.a.",IF(ISNUMBER('Inputs'!E68),IF('Inputs'!E68&gt;=0,'Inputs'!E68,"n.a."),IF('Inputs'!E68="",'Inputs'!$D$6,"n.a.")))</x:f>
        <x:v>500</x:v>
      </x:c>
      <x:c r="F254" s="22" t="n">
        <x:f>IF(COUNT($N$252:$N$256)=5,SUM($N$252:$N$256),"n.a.")</x:f>
        <x:v>0</x:v>
      </x:c>
      <x:c r="G254" s="22" t="n">
        <x:f>IF(COUNT(E254:F254)=2,MAX(0,E254-F254),"n.a.")</x:f>
        <x:v>500</x:v>
      </x:c>
      <x:c r="H254" s="26" t="str">
        <x:f>'Inputs'!C13</x:f>
        <x:v>Loan C</x:v>
      </x:c>
      <x:c r="I254" s="26" t="n">
        <x:f>S249</x:f>
        <x:v>0</x:v>
      </x:c>
      <x:c r="J254" s="29" t="n">
        <x:f>IF('Inputs'!$D$9="Ready",'Inputs'!E13,"n.a.")</x:f>
        <x:v>0.08</x:v>
      </x:c>
      <x:c r="K254" s="26" t="n">
        <x:f>IF('Inputs'!$D$9="Ready",'Inputs'!F13,"n.a.")</x:f>
        <x:v>150</x:v>
      </x:c>
      <x:c r="L254" s="29" t="n">
        <x:f>IF('Inputs'!$D$9="Ready",'Inputs'!G13,"n.a.")</x:f>
        <x:v>0</x:v>
      </x:c>
      <x:c r="M254" s="22" t="n">
        <x:f>IF(COUNT(I254:L254)=4,ROUND(I254*J254/12,2),"n.a.")</x:f>
        <x:v>0</x:v>
      </x:c>
      <x:c r="N254" s="22" t="n">
        <x:f>IF(COUNT(I254:M254)=5,MIN(I254+M254,ROUND(MAX(K254,I254*L254+M254),2)),"n.a.")</x:f>
        <x:v>0</x:v>
      </x:c>
      <x:c r="O254" s="30" t="n">
        <x:f>IF(COUNT($I$252:$I$256)&lt;&gt;5,"n.a.",IF(I254=0,6,IF('Inputs'!$D$5=1,COUNTIFS($I$252:$I$256,"&gt;0",$I$252:$I$256,"&lt;"&amp;I254)+COUNTIFS($I$252:I254,I254),COUNTIFS($I$252:$I$256,"&gt;0",$J$252:$J$256,"&gt;"&amp;J254)+COUNTIFS($I$252:I254,"&gt;0",$J$252:J254,J254))))</x:f>
        <x:v>6</x:v>
      </x:c>
      <x:c r="P254" s="22" t="n">
        <x:f>IF(T254="Ready",MIN(U254,MAX(0,G254-SUMIFS($U$252:$U$256,$O$252:$O$256,"&lt;"&amp;O254))),"n.a.")</x:f>
        <x:v>0</x:v>
      </x:c>
      <x:c r="Q254" s="22" t="n">
        <x:f>IF(T254="Ready",ROUND(N254+P254,2),"n.a.")</x:f>
        <x:v>0</x:v>
      </x:c>
      <x:c r="R254" s="22" t="n">
        <x:f>IF(T254="Ready",ROUND(Q254-M254,2),"n.a.")</x:f>
        <x:v>0</x:v>
      </x:c>
      <x:c r="S254" s="22" t="n">
        <x:f>IF(T254="Ready",MAX(0,ROUND(I254+M254-Q254,2)),"n.a.")</x:f>
        <x:v>0</x:v>
      </x:c>
      <x:c r="T254" s="22" t="str">
        <x:f>IF(AND(COUNT($I$252:$I$256)=5,COUNT(E254:F254)=2),IF(E254&gt;=F254,"Ready","Budget below minima"),"Check inputs")</x:f>
        <x:v>Ready</x:v>
      </x:c>
      <x:c r="U254" s="22" t="n">
        <x:f>IF(COUNT(I254,M254,N254)=3,MAX(0,ROUND(I254+M254-N254,2)),"n.a.")</x:f>
        <x:v>0</x:v>
      </x:c>
    </x:row>
    <x:row r="255" ht="22" customHeight="1">
      <x:c r="A255" s="2"/>
      <x:c r="B255" s="2"/>
      <x:c r="C255" s="27" t="n">
        <x:f>50</x:f>
        <x:v>50</x:v>
      </x:c>
      <x:c r="D255" s="28" t="n">
        <x:f>IF(ISNUMBER('Inputs'!$D$7),EDATE('Inputs'!$D$7,49),"n.a.")</x:f>
        <x:v>47818</x:v>
      </x:c>
      <x:c r="E255" s="26" t="n">
        <x:f>IF('Inputs'!$D$9&lt;&gt;"Ready","n.a.",IF(ISNUMBER('Inputs'!E68),IF('Inputs'!E68&gt;=0,'Inputs'!E68,"n.a."),IF('Inputs'!E68="",'Inputs'!$D$6,"n.a.")))</x:f>
        <x:v>500</x:v>
      </x:c>
      <x:c r="F255" s="22" t="n">
        <x:f>IF(COUNT($N$252:$N$256)=5,SUM($N$252:$N$256),"n.a.")</x:f>
        <x:v>0</x:v>
      </x:c>
      <x:c r="G255" s="22" t="n">
        <x:f>IF(COUNT(E255:F255)=2,MAX(0,E255-F255),"n.a.")</x:f>
        <x:v>500</x:v>
      </x:c>
      <x:c r="H255" s="26" t="str">
        <x:f>'Inputs'!C14</x:f>
        <x:v>Unused 4</x:v>
      </x:c>
      <x:c r="I255" s="26" t="n">
        <x:f>S250</x:f>
        <x:v>0</x:v>
      </x:c>
      <x:c r="J255" s="29" t="n">
        <x:f>IF('Inputs'!$D$9="Ready",'Inputs'!E14,"n.a.")</x:f>
        <x:v>0</x:v>
      </x:c>
      <x:c r="K255" s="26" t="n">
        <x:f>IF('Inputs'!$D$9="Ready",'Inputs'!F14,"n.a.")</x:f>
        <x:v>0</x:v>
      </x:c>
      <x:c r="L255" s="29" t="n">
        <x:f>IF('Inputs'!$D$9="Ready",'Inputs'!G14,"n.a.")</x:f>
        <x:v>0</x:v>
      </x:c>
      <x:c r="M255" s="22" t="n">
        <x:f>IF(COUNT(I255:L255)=4,ROUND(I255*J255/12,2),"n.a.")</x:f>
        <x:v>0</x:v>
      </x:c>
      <x:c r="N255" s="22" t="n">
        <x:f>IF(COUNT(I255:M255)=5,MIN(I255+M255,ROUND(MAX(K255,I255*L255+M255),2)),"n.a.")</x:f>
        <x:v>0</x:v>
      </x:c>
      <x:c r="O255" s="30" t="n">
        <x:f>IF(COUNT($I$252:$I$256)&lt;&gt;5,"n.a.",IF(I255=0,6,IF('Inputs'!$D$5=1,COUNTIFS($I$252:$I$256,"&gt;0",$I$252:$I$256,"&lt;"&amp;I255)+COUNTIFS($I$252:I255,I255),COUNTIFS($I$252:$I$256,"&gt;0",$J$252:$J$256,"&gt;"&amp;J255)+COUNTIFS($I$252:I255,"&gt;0",$J$252:J255,J255))))</x:f>
        <x:v>6</x:v>
      </x:c>
      <x:c r="P255" s="22" t="n">
        <x:f>IF(T255="Ready",MIN(U255,MAX(0,G255-SUMIFS($U$252:$U$256,$O$252:$O$256,"&lt;"&amp;O255))),"n.a.")</x:f>
        <x:v>0</x:v>
      </x:c>
      <x:c r="Q255" s="22" t="n">
        <x:f>IF(T255="Ready",ROUND(N255+P255,2),"n.a.")</x:f>
        <x:v>0</x:v>
      </x:c>
      <x:c r="R255" s="22" t="n">
        <x:f>IF(T255="Ready",ROUND(Q255-M255,2),"n.a.")</x:f>
        <x:v>0</x:v>
      </x:c>
      <x:c r="S255" s="22" t="n">
        <x:f>IF(T255="Ready",MAX(0,ROUND(I255+M255-Q255,2)),"n.a.")</x:f>
        <x:v>0</x:v>
      </x:c>
      <x:c r="T255" s="22" t="str">
        <x:f>IF(AND(COUNT($I$252:$I$256)=5,COUNT(E255:F255)=2),IF(E255&gt;=F255,"Ready","Budget below minima"),"Check inputs")</x:f>
        <x:v>Ready</x:v>
      </x:c>
      <x:c r="U255" s="22" t="n">
        <x:f>IF(COUNT(I255,M255,N255)=3,MAX(0,ROUND(I255+M255-N255,2)),"n.a.")</x:f>
        <x:v>0</x:v>
      </x:c>
    </x:row>
    <x:row r="256" ht="22" customHeight="1">
      <x:c r="A256" s="2"/>
      <x:c r="B256" s="2"/>
      <x:c r="C256" s="27" t="n">
        <x:f>50</x:f>
        <x:v>50</x:v>
      </x:c>
      <x:c r="D256" s="28" t="n">
        <x:f>IF(ISNUMBER('Inputs'!$D$7),EDATE('Inputs'!$D$7,49),"n.a.")</x:f>
        <x:v>47818</x:v>
      </x:c>
      <x:c r="E256" s="26" t="n">
        <x:f>IF('Inputs'!$D$9&lt;&gt;"Ready","n.a.",IF(ISNUMBER('Inputs'!E68),IF('Inputs'!E68&gt;=0,'Inputs'!E68,"n.a."),IF('Inputs'!E68="",'Inputs'!$D$6,"n.a.")))</x:f>
        <x:v>500</x:v>
      </x:c>
      <x:c r="F256" s="22" t="n">
        <x:f>IF(COUNT($N$252:$N$256)=5,SUM($N$252:$N$256),"n.a.")</x:f>
        <x:v>0</x:v>
      </x:c>
      <x:c r="G256" s="22" t="n">
        <x:f>IF(COUNT(E256:F256)=2,MAX(0,E256-F256),"n.a.")</x:f>
        <x:v>500</x:v>
      </x:c>
      <x:c r="H256" s="26" t="str">
        <x:f>'Inputs'!C15</x:f>
        <x:v>Unused 5</x:v>
      </x:c>
      <x:c r="I256" s="26" t="n">
        <x:f>S251</x:f>
        <x:v>0</x:v>
      </x:c>
      <x:c r="J256" s="29" t="n">
        <x:f>IF('Inputs'!$D$9="Ready",'Inputs'!E15,"n.a.")</x:f>
        <x:v>0</x:v>
      </x:c>
      <x:c r="K256" s="26" t="n">
        <x:f>IF('Inputs'!$D$9="Ready",'Inputs'!F15,"n.a.")</x:f>
        <x:v>0</x:v>
      </x:c>
      <x:c r="L256" s="29" t="n">
        <x:f>IF('Inputs'!$D$9="Ready",'Inputs'!G15,"n.a.")</x:f>
        <x:v>0</x:v>
      </x:c>
      <x:c r="M256" s="22" t="n">
        <x:f>IF(COUNT(I256:L256)=4,ROUND(I256*J256/12,2),"n.a.")</x:f>
        <x:v>0</x:v>
      </x:c>
      <x:c r="N256" s="22" t="n">
        <x:f>IF(COUNT(I256:M256)=5,MIN(I256+M256,ROUND(MAX(K256,I256*L256+M256),2)),"n.a.")</x:f>
        <x:v>0</x:v>
      </x:c>
      <x:c r="O256" s="30" t="n">
        <x:f>IF(COUNT($I$252:$I$256)&lt;&gt;5,"n.a.",IF(I256=0,6,IF('Inputs'!$D$5=1,COUNTIFS($I$252:$I$256,"&gt;0",$I$252:$I$256,"&lt;"&amp;I256)+COUNTIFS($I$252:I256,I256),COUNTIFS($I$252:$I$256,"&gt;0",$J$252:$J$256,"&gt;"&amp;J256)+COUNTIFS($I$252:I256,"&gt;0",$J$252:J256,J256))))</x:f>
        <x:v>6</x:v>
      </x:c>
      <x:c r="P256" s="22" t="n">
        <x:f>IF(T256="Ready",MIN(U256,MAX(0,G256-SUMIFS($U$252:$U$256,$O$252:$O$256,"&lt;"&amp;O256))),"n.a.")</x:f>
        <x:v>0</x:v>
      </x:c>
      <x:c r="Q256" s="22" t="n">
        <x:f>IF(T256="Ready",ROUND(N256+P256,2),"n.a.")</x:f>
        <x:v>0</x:v>
      </x:c>
      <x:c r="R256" s="22" t="n">
        <x:f>IF(T256="Ready",ROUND(Q256-M256,2),"n.a.")</x:f>
        <x:v>0</x:v>
      </x:c>
      <x:c r="S256" s="22" t="n">
        <x:f>IF(T256="Ready",MAX(0,ROUND(I256+M256-Q256,2)),"n.a.")</x:f>
        <x:v>0</x:v>
      </x:c>
      <x:c r="T256" s="22" t="str">
        <x:f>IF(AND(COUNT($I$252:$I$256)=5,COUNT(E256:F256)=2),IF(E256&gt;=F256,"Ready","Budget below minima"),"Check inputs")</x:f>
        <x:v>Ready</x:v>
      </x:c>
      <x:c r="U256" s="22" t="n">
        <x:f>IF(COUNT(I256,M256,N256)=3,MAX(0,ROUND(I256+M256-N256,2)),"n.a.")</x:f>
        <x:v>0</x:v>
      </x:c>
    </x:row>
    <x:row r="257" ht="22" customHeight="1">
      <x:c r="A257" s="2"/>
      <x:c r="B257" s="2"/>
      <x:c r="C257" s="27" t="n">
        <x:f>51</x:f>
        <x:v>51</x:v>
      </x:c>
      <x:c r="D257" s="28" t="n">
        <x:f>IF(ISNUMBER('Inputs'!$D$7),EDATE('Inputs'!$D$7,50),"n.a.")</x:f>
        <x:v>47849</x:v>
      </x:c>
      <x:c r="E257" s="26" t="n">
        <x:f>IF('Inputs'!$D$9&lt;&gt;"Ready","n.a.",IF(ISNUMBER('Inputs'!E69),IF('Inputs'!E69&gt;=0,'Inputs'!E69,"n.a."),IF('Inputs'!E69="",'Inputs'!$D$6,"n.a.")))</x:f>
        <x:v>500</x:v>
      </x:c>
      <x:c r="F257" s="22" t="n">
        <x:f>IF(COUNT($N$257:$N$261)=5,SUM($N$257:$N$261),"n.a.")</x:f>
        <x:v>0</x:v>
      </x:c>
      <x:c r="G257" s="22" t="n">
        <x:f>IF(COUNT(E257:F257)=2,MAX(0,E257-F257),"n.a.")</x:f>
        <x:v>500</x:v>
      </x:c>
      <x:c r="H257" s="26" t="str">
        <x:f>'Inputs'!C11</x:f>
        <x:v>Card A</x:v>
      </x:c>
      <x:c r="I257" s="26" t="n">
        <x:f>S252</x:f>
        <x:v>0</x:v>
      </x:c>
      <x:c r="J257" s="29" t="n">
        <x:f>IF('Inputs'!$D$9="Ready",'Inputs'!E11,"n.a.")</x:f>
        <x:v>0.24</x:v>
      </x:c>
      <x:c r="K257" s="26" t="n">
        <x:f>IF('Inputs'!$D$9="Ready",'Inputs'!F11,"n.a.")</x:f>
        <x:v>35</x:v>
      </x:c>
      <x:c r="L257" s="29" t="n">
        <x:f>IF('Inputs'!$D$9="Ready",'Inputs'!G11,"n.a.")</x:f>
        <x:v>0.02</x:v>
      </x:c>
      <x:c r="M257" s="22" t="n">
        <x:f>IF(COUNT(I257:L257)=4,ROUND(I257*J257/12,2),"n.a.")</x:f>
        <x:v>0</x:v>
      </x:c>
      <x:c r="N257" s="22" t="n">
        <x:f>IF(COUNT(I257:M257)=5,MIN(I257+M257,ROUND(MAX(K257,I257*L257+M257),2)),"n.a.")</x:f>
        <x:v>0</x:v>
      </x:c>
      <x:c r="O257" s="30" t="n">
        <x:f>IF(COUNT($I$257:$I$261)&lt;&gt;5,"n.a.",IF(I257=0,6,IF('Inputs'!$D$5=1,COUNTIFS($I$257:$I$261,"&gt;0",$I$257:$I$261,"&lt;"&amp;I257)+COUNTIFS($I$257:I257,I257),COUNTIFS($I$257:$I$261,"&gt;0",$J$257:$J$261,"&gt;"&amp;J257)+COUNTIFS($I$257:I257,"&gt;0",$J$257:J257,J257))))</x:f>
        <x:v>6</x:v>
      </x:c>
      <x:c r="P257" s="22" t="n">
        <x:f>IF(T257="Ready",MIN(U257,MAX(0,G257-SUMIFS($U$257:$U$261,$O$257:$O$261,"&lt;"&amp;O257))),"n.a.")</x:f>
        <x:v>0</x:v>
      </x:c>
      <x:c r="Q257" s="22" t="n">
        <x:f>IF(T257="Ready",ROUND(N257+P257,2),"n.a.")</x:f>
        <x:v>0</x:v>
      </x:c>
      <x:c r="R257" s="22" t="n">
        <x:f>IF(T257="Ready",ROUND(Q257-M257,2),"n.a.")</x:f>
        <x:v>0</x:v>
      </x:c>
      <x:c r="S257" s="22" t="n">
        <x:f>IF(T257="Ready",MAX(0,ROUND(I257+M257-Q257,2)),"n.a.")</x:f>
        <x:v>0</x:v>
      </x:c>
      <x:c r="T257" s="22" t="str">
        <x:f>IF(AND(COUNT($I$257:$I$261)=5,COUNT(E257:F257)=2),IF(E257&gt;=F257,"Ready","Budget below minima"),"Check inputs")</x:f>
        <x:v>Ready</x:v>
      </x:c>
      <x:c r="U257" s="22" t="n">
        <x:f>IF(COUNT(I257,M257,N257)=3,MAX(0,ROUND(I257+M257-N257,2)),"n.a.")</x:f>
        <x:v>0</x:v>
      </x:c>
    </x:row>
    <x:row r="258" ht="22" customHeight="1">
      <x:c r="A258" s="2"/>
      <x:c r="B258" s="2"/>
      <x:c r="C258" s="27" t="n">
        <x:f>51</x:f>
        <x:v>51</x:v>
      </x:c>
      <x:c r="D258" s="28" t="n">
        <x:f>IF(ISNUMBER('Inputs'!$D$7),EDATE('Inputs'!$D$7,50),"n.a.")</x:f>
        <x:v>47849</x:v>
      </x:c>
      <x:c r="E258" s="26" t="n">
        <x:f>IF('Inputs'!$D$9&lt;&gt;"Ready","n.a.",IF(ISNUMBER('Inputs'!E69),IF('Inputs'!E69&gt;=0,'Inputs'!E69,"n.a."),IF('Inputs'!E69="",'Inputs'!$D$6,"n.a.")))</x:f>
        <x:v>500</x:v>
      </x:c>
      <x:c r="F258" s="22" t="n">
        <x:f>IF(COUNT($N$257:$N$261)=5,SUM($N$257:$N$261),"n.a.")</x:f>
        <x:v>0</x:v>
      </x:c>
      <x:c r="G258" s="22" t="n">
        <x:f>IF(COUNT(E258:F258)=2,MAX(0,E258-F258),"n.a.")</x:f>
        <x:v>500</x:v>
      </x:c>
      <x:c r="H258" s="26" t="str">
        <x:f>'Inputs'!C12</x:f>
        <x:v>Card B</x:v>
      </x:c>
      <x:c r="I258" s="26" t="n">
        <x:f>S253</x:f>
        <x:v>0</x:v>
      </x:c>
      <x:c r="J258" s="29" t="n">
        <x:f>IF('Inputs'!$D$9="Ready",'Inputs'!E12,"n.a.")</x:f>
        <x:v>0.18</x:v>
      </x:c>
      <x:c r="K258" s="26" t="n">
        <x:f>IF('Inputs'!$D$9="Ready",'Inputs'!F12,"n.a.")</x:f>
        <x:v>60</x:v>
      </x:c>
      <x:c r="L258" s="29" t="n">
        <x:f>IF('Inputs'!$D$9="Ready",'Inputs'!G12,"n.a.")</x:f>
        <x:v>0.02</x:v>
      </x:c>
      <x:c r="M258" s="22" t="n">
        <x:f>IF(COUNT(I258:L258)=4,ROUND(I258*J258/12,2),"n.a.")</x:f>
        <x:v>0</x:v>
      </x:c>
      <x:c r="N258" s="22" t="n">
        <x:f>IF(COUNT(I258:M258)=5,MIN(I258+M258,ROUND(MAX(K258,I258*L258+M258),2)),"n.a.")</x:f>
        <x:v>0</x:v>
      </x:c>
      <x:c r="O258" s="30" t="n">
        <x:f>IF(COUNT($I$257:$I$261)&lt;&gt;5,"n.a.",IF(I258=0,6,IF('Inputs'!$D$5=1,COUNTIFS($I$257:$I$261,"&gt;0",$I$257:$I$261,"&lt;"&amp;I258)+COUNTIFS($I$257:I258,I258),COUNTIFS($I$257:$I$261,"&gt;0",$J$257:$J$261,"&gt;"&amp;J258)+COUNTIFS($I$257:I258,"&gt;0",$J$257:J258,J258))))</x:f>
        <x:v>6</x:v>
      </x:c>
      <x:c r="P258" s="22" t="n">
        <x:f>IF(T258="Ready",MIN(U258,MAX(0,G258-SUMIFS($U$257:$U$261,$O$257:$O$261,"&lt;"&amp;O258))),"n.a.")</x:f>
        <x:v>0</x:v>
      </x:c>
      <x:c r="Q258" s="22" t="n">
        <x:f>IF(T258="Ready",ROUND(N258+P258,2),"n.a.")</x:f>
        <x:v>0</x:v>
      </x:c>
      <x:c r="R258" s="22" t="n">
        <x:f>IF(T258="Ready",ROUND(Q258-M258,2),"n.a.")</x:f>
        <x:v>0</x:v>
      </x:c>
      <x:c r="S258" s="22" t="n">
        <x:f>IF(T258="Ready",MAX(0,ROUND(I258+M258-Q258,2)),"n.a.")</x:f>
        <x:v>0</x:v>
      </x:c>
      <x:c r="T258" s="22" t="str">
        <x:f>IF(AND(COUNT($I$257:$I$261)=5,COUNT(E258:F258)=2),IF(E258&gt;=F258,"Ready","Budget below minima"),"Check inputs")</x:f>
        <x:v>Ready</x:v>
      </x:c>
      <x:c r="U258" s="22" t="n">
        <x:f>IF(COUNT(I258,M258,N258)=3,MAX(0,ROUND(I258+M258-N258,2)),"n.a.")</x:f>
        <x:v>0</x:v>
      </x:c>
    </x:row>
    <x:row r="259" ht="22" customHeight="1">
      <x:c r="A259" s="2"/>
      <x:c r="B259" s="2"/>
      <x:c r="C259" s="27" t="n">
        <x:f>51</x:f>
        <x:v>51</x:v>
      </x:c>
      <x:c r="D259" s="28" t="n">
        <x:f>IF(ISNUMBER('Inputs'!$D$7),EDATE('Inputs'!$D$7,50),"n.a.")</x:f>
        <x:v>47849</x:v>
      </x:c>
      <x:c r="E259" s="26" t="n">
        <x:f>IF('Inputs'!$D$9&lt;&gt;"Ready","n.a.",IF(ISNUMBER('Inputs'!E69),IF('Inputs'!E69&gt;=0,'Inputs'!E69,"n.a."),IF('Inputs'!E69="",'Inputs'!$D$6,"n.a.")))</x:f>
        <x:v>500</x:v>
      </x:c>
      <x:c r="F259" s="22" t="n">
        <x:f>IF(COUNT($N$257:$N$261)=5,SUM($N$257:$N$261),"n.a.")</x:f>
        <x:v>0</x:v>
      </x:c>
      <x:c r="G259" s="22" t="n">
        <x:f>IF(COUNT(E259:F259)=2,MAX(0,E259-F259),"n.a.")</x:f>
        <x:v>500</x:v>
      </x:c>
      <x:c r="H259" s="26" t="str">
        <x:f>'Inputs'!C13</x:f>
        <x:v>Loan C</x:v>
      </x:c>
      <x:c r="I259" s="26" t="n">
        <x:f>S254</x:f>
        <x:v>0</x:v>
      </x:c>
      <x:c r="J259" s="29" t="n">
        <x:f>IF('Inputs'!$D$9="Ready",'Inputs'!E13,"n.a.")</x:f>
        <x:v>0.08</x:v>
      </x:c>
      <x:c r="K259" s="26" t="n">
        <x:f>IF('Inputs'!$D$9="Ready",'Inputs'!F13,"n.a.")</x:f>
        <x:v>150</x:v>
      </x:c>
      <x:c r="L259" s="29" t="n">
        <x:f>IF('Inputs'!$D$9="Ready",'Inputs'!G13,"n.a.")</x:f>
        <x:v>0</x:v>
      </x:c>
      <x:c r="M259" s="22" t="n">
        <x:f>IF(COUNT(I259:L259)=4,ROUND(I259*J259/12,2),"n.a.")</x:f>
        <x:v>0</x:v>
      </x:c>
      <x:c r="N259" s="22" t="n">
        <x:f>IF(COUNT(I259:M259)=5,MIN(I259+M259,ROUND(MAX(K259,I259*L259+M259),2)),"n.a.")</x:f>
        <x:v>0</x:v>
      </x:c>
      <x:c r="O259" s="30" t="n">
        <x:f>IF(COUNT($I$257:$I$261)&lt;&gt;5,"n.a.",IF(I259=0,6,IF('Inputs'!$D$5=1,COUNTIFS($I$257:$I$261,"&gt;0",$I$257:$I$261,"&lt;"&amp;I259)+COUNTIFS($I$257:I259,I259),COUNTIFS($I$257:$I$261,"&gt;0",$J$257:$J$261,"&gt;"&amp;J259)+COUNTIFS($I$257:I259,"&gt;0",$J$257:J259,J259))))</x:f>
        <x:v>6</x:v>
      </x:c>
      <x:c r="P259" s="22" t="n">
        <x:f>IF(T259="Ready",MIN(U259,MAX(0,G259-SUMIFS($U$257:$U$261,$O$257:$O$261,"&lt;"&amp;O259))),"n.a.")</x:f>
        <x:v>0</x:v>
      </x:c>
      <x:c r="Q259" s="22" t="n">
        <x:f>IF(T259="Ready",ROUND(N259+P259,2),"n.a.")</x:f>
        <x:v>0</x:v>
      </x:c>
      <x:c r="R259" s="22" t="n">
        <x:f>IF(T259="Ready",ROUND(Q259-M259,2),"n.a.")</x:f>
        <x:v>0</x:v>
      </x:c>
      <x:c r="S259" s="22" t="n">
        <x:f>IF(T259="Ready",MAX(0,ROUND(I259+M259-Q259,2)),"n.a.")</x:f>
        <x:v>0</x:v>
      </x:c>
      <x:c r="T259" s="22" t="str">
        <x:f>IF(AND(COUNT($I$257:$I$261)=5,COUNT(E259:F259)=2),IF(E259&gt;=F259,"Ready","Budget below minima"),"Check inputs")</x:f>
        <x:v>Ready</x:v>
      </x:c>
      <x:c r="U259" s="22" t="n">
        <x:f>IF(COUNT(I259,M259,N259)=3,MAX(0,ROUND(I259+M259-N259,2)),"n.a.")</x:f>
        <x:v>0</x:v>
      </x:c>
    </x:row>
    <x:row r="260" ht="22" customHeight="1">
      <x:c r="A260" s="2"/>
      <x:c r="B260" s="2"/>
      <x:c r="C260" s="27" t="n">
        <x:f>51</x:f>
        <x:v>51</x:v>
      </x:c>
      <x:c r="D260" s="28" t="n">
        <x:f>IF(ISNUMBER('Inputs'!$D$7),EDATE('Inputs'!$D$7,50),"n.a.")</x:f>
        <x:v>47849</x:v>
      </x:c>
      <x:c r="E260" s="26" t="n">
        <x:f>IF('Inputs'!$D$9&lt;&gt;"Ready","n.a.",IF(ISNUMBER('Inputs'!E69),IF('Inputs'!E69&gt;=0,'Inputs'!E69,"n.a."),IF('Inputs'!E69="",'Inputs'!$D$6,"n.a.")))</x:f>
        <x:v>500</x:v>
      </x:c>
      <x:c r="F260" s="22" t="n">
        <x:f>IF(COUNT($N$257:$N$261)=5,SUM($N$257:$N$261),"n.a.")</x:f>
        <x:v>0</x:v>
      </x:c>
      <x:c r="G260" s="22" t="n">
        <x:f>IF(COUNT(E260:F260)=2,MAX(0,E260-F260),"n.a.")</x:f>
        <x:v>500</x:v>
      </x:c>
      <x:c r="H260" s="26" t="str">
        <x:f>'Inputs'!C14</x:f>
        <x:v>Unused 4</x:v>
      </x:c>
      <x:c r="I260" s="26" t="n">
        <x:f>S255</x:f>
        <x:v>0</x:v>
      </x:c>
      <x:c r="J260" s="29" t="n">
        <x:f>IF('Inputs'!$D$9="Ready",'Inputs'!E14,"n.a.")</x:f>
        <x:v>0</x:v>
      </x:c>
      <x:c r="K260" s="26" t="n">
        <x:f>IF('Inputs'!$D$9="Ready",'Inputs'!F14,"n.a.")</x:f>
        <x:v>0</x:v>
      </x:c>
      <x:c r="L260" s="29" t="n">
        <x:f>IF('Inputs'!$D$9="Ready",'Inputs'!G14,"n.a.")</x:f>
        <x:v>0</x:v>
      </x:c>
      <x:c r="M260" s="22" t="n">
        <x:f>IF(COUNT(I260:L260)=4,ROUND(I260*J260/12,2),"n.a.")</x:f>
        <x:v>0</x:v>
      </x:c>
      <x:c r="N260" s="22" t="n">
        <x:f>IF(COUNT(I260:M260)=5,MIN(I260+M260,ROUND(MAX(K260,I260*L260+M260),2)),"n.a.")</x:f>
        <x:v>0</x:v>
      </x:c>
      <x:c r="O260" s="30" t="n">
        <x:f>IF(COUNT($I$257:$I$261)&lt;&gt;5,"n.a.",IF(I260=0,6,IF('Inputs'!$D$5=1,COUNTIFS($I$257:$I$261,"&gt;0",$I$257:$I$261,"&lt;"&amp;I260)+COUNTIFS($I$257:I260,I260),COUNTIFS($I$257:$I$261,"&gt;0",$J$257:$J$261,"&gt;"&amp;J260)+COUNTIFS($I$257:I260,"&gt;0",$J$257:J260,J260))))</x:f>
        <x:v>6</x:v>
      </x:c>
      <x:c r="P260" s="22" t="n">
        <x:f>IF(T260="Ready",MIN(U260,MAX(0,G260-SUMIFS($U$257:$U$261,$O$257:$O$261,"&lt;"&amp;O260))),"n.a.")</x:f>
        <x:v>0</x:v>
      </x:c>
      <x:c r="Q260" s="22" t="n">
        <x:f>IF(T260="Ready",ROUND(N260+P260,2),"n.a.")</x:f>
        <x:v>0</x:v>
      </x:c>
      <x:c r="R260" s="22" t="n">
        <x:f>IF(T260="Ready",ROUND(Q260-M260,2),"n.a.")</x:f>
        <x:v>0</x:v>
      </x:c>
      <x:c r="S260" s="22" t="n">
        <x:f>IF(T260="Ready",MAX(0,ROUND(I260+M260-Q260,2)),"n.a.")</x:f>
        <x:v>0</x:v>
      </x:c>
      <x:c r="T260" s="22" t="str">
        <x:f>IF(AND(COUNT($I$257:$I$261)=5,COUNT(E260:F260)=2),IF(E260&gt;=F260,"Ready","Budget below minima"),"Check inputs")</x:f>
        <x:v>Ready</x:v>
      </x:c>
      <x:c r="U260" s="22" t="n">
        <x:f>IF(COUNT(I260,M260,N260)=3,MAX(0,ROUND(I260+M260-N260,2)),"n.a.")</x:f>
        <x:v>0</x:v>
      </x:c>
    </x:row>
    <x:row r="261" ht="22" customHeight="1">
      <x:c r="A261" s="2"/>
      <x:c r="B261" s="2"/>
      <x:c r="C261" s="27" t="n">
        <x:f>51</x:f>
        <x:v>51</x:v>
      </x:c>
      <x:c r="D261" s="28" t="n">
        <x:f>IF(ISNUMBER('Inputs'!$D$7),EDATE('Inputs'!$D$7,50),"n.a.")</x:f>
        <x:v>47849</x:v>
      </x:c>
      <x:c r="E261" s="26" t="n">
        <x:f>IF('Inputs'!$D$9&lt;&gt;"Ready","n.a.",IF(ISNUMBER('Inputs'!E69),IF('Inputs'!E69&gt;=0,'Inputs'!E69,"n.a."),IF('Inputs'!E69="",'Inputs'!$D$6,"n.a.")))</x:f>
        <x:v>500</x:v>
      </x:c>
      <x:c r="F261" s="22" t="n">
        <x:f>IF(COUNT($N$257:$N$261)=5,SUM($N$257:$N$261),"n.a.")</x:f>
        <x:v>0</x:v>
      </x:c>
      <x:c r="G261" s="22" t="n">
        <x:f>IF(COUNT(E261:F261)=2,MAX(0,E261-F261),"n.a.")</x:f>
        <x:v>500</x:v>
      </x:c>
      <x:c r="H261" s="26" t="str">
        <x:f>'Inputs'!C15</x:f>
        <x:v>Unused 5</x:v>
      </x:c>
      <x:c r="I261" s="26" t="n">
        <x:f>S256</x:f>
        <x:v>0</x:v>
      </x:c>
      <x:c r="J261" s="29" t="n">
        <x:f>IF('Inputs'!$D$9="Ready",'Inputs'!E15,"n.a.")</x:f>
        <x:v>0</x:v>
      </x:c>
      <x:c r="K261" s="26" t="n">
        <x:f>IF('Inputs'!$D$9="Ready",'Inputs'!F15,"n.a.")</x:f>
        <x:v>0</x:v>
      </x:c>
      <x:c r="L261" s="29" t="n">
        <x:f>IF('Inputs'!$D$9="Ready",'Inputs'!G15,"n.a.")</x:f>
        <x:v>0</x:v>
      </x:c>
      <x:c r="M261" s="22" t="n">
        <x:f>IF(COUNT(I261:L261)=4,ROUND(I261*J261/12,2),"n.a.")</x:f>
        <x:v>0</x:v>
      </x:c>
      <x:c r="N261" s="22" t="n">
        <x:f>IF(COUNT(I261:M261)=5,MIN(I261+M261,ROUND(MAX(K261,I261*L261+M261),2)),"n.a.")</x:f>
        <x:v>0</x:v>
      </x:c>
      <x:c r="O261" s="30" t="n">
        <x:f>IF(COUNT($I$257:$I$261)&lt;&gt;5,"n.a.",IF(I261=0,6,IF('Inputs'!$D$5=1,COUNTIFS($I$257:$I$261,"&gt;0",$I$257:$I$261,"&lt;"&amp;I261)+COUNTIFS($I$257:I261,I261),COUNTIFS($I$257:$I$261,"&gt;0",$J$257:$J$261,"&gt;"&amp;J261)+COUNTIFS($I$257:I261,"&gt;0",$J$257:J261,J261))))</x:f>
        <x:v>6</x:v>
      </x:c>
      <x:c r="P261" s="22" t="n">
        <x:f>IF(T261="Ready",MIN(U261,MAX(0,G261-SUMIFS($U$257:$U$261,$O$257:$O$261,"&lt;"&amp;O261))),"n.a.")</x:f>
        <x:v>0</x:v>
      </x:c>
      <x:c r="Q261" s="22" t="n">
        <x:f>IF(T261="Ready",ROUND(N261+P261,2),"n.a.")</x:f>
        <x:v>0</x:v>
      </x:c>
      <x:c r="R261" s="22" t="n">
        <x:f>IF(T261="Ready",ROUND(Q261-M261,2),"n.a.")</x:f>
        <x:v>0</x:v>
      </x:c>
      <x:c r="S261" s="22" t="n">
        <x:f>IF(T261="Ready",MAX(0,ROUND(I261+M261-Q261,2)),"n.a.")</x:f>
        <x:v>0</x:v>
      </x:c>
      <x:c r="T261" s="22" t="str">
        <x:f>IF(AND(COUNT($I$257:$I$261)=5,COUNT(E261:F261)=2),IF(E261&gt;=F261,"Ready","Budget below minima"),"Check inputs")</x:f>
        <x:v>Ready</x:v>
      </x:c>
      <x:c r="U261" s="22" t="n">
        <x:f>IF(COUNT(I261,M261,N261)=3,MAX(0,ROUND(I261+M261-N261,2)),"n.a.")</x:f>
        <x:v>0</x:v>
      </x:c>
    </x:row>
    <x:row r="262" ht="22" customHeight="1">
      <x:c r="A262" s="2"/>
      <x:c r="B262" s="2"/>
      <x:c r="C262" s="27" t="n">
        <x:f>52</x:f>
        <x:v>52</x:v>
      </x:c>
      <x:c r="D262" s="28" t="n">
        <x:f>IF(ISNUMBER('Inputs'!$D$7),EDATE('Inputs'!$D$7,51),"n.a.")</x:f>
        <x:v>47880</x:v>
      </x:c>
      <x:c r="E262" s="26" t="n">
        <x:f>IF('Inputs'!$D$9&lt;&gt;"Ready","n.a.",IF(ISNUMBER('Inputs'!E70),IF('Inputs'!E70&gt;=0,'Inputs'!E70,"n.a."),IF('Inputs'!E70="",'Inputs'!$D$6,"n.a.")))</x:f>
        <x:v>500</x:v>
      </x:c>
      <x:c r="F262" s="22" t="n">
        <x:f>IF(COUNT($N$262:$N$266)=5,SUM($N$262:$N$266),"n.a.")</x:f>
        <x:v>0</x:v>
      </x:c>
      <x:c r="G262" s="22" t="n">
        <x:f>IF(COUNT(E262:F262)=2,MAX(0,E262-F262),"n.a.")</x:f>
        <x:v>500</x:v>
      </x:c>
      <x:c r="H262" s="26" t="str">
        <x:f>'Inputs'!C11</x:f>
        <x:v>Card A</x:v>
      </x:c>
      <x:c r="I262" s="26" t="n">
        <x:f>S257</x:f>
        <x:v>0</x:v>
      </x:c>
      <x:c r="J262" s="29" t="n">
        <x:f>IF('Inputs'!$D$9="Ready",'Inputs'!E11,"n.a.")</x:f>
        <x:v>0.24</x:v>
      </x:c>
      <x:c r="K262" s="26" t="n">
        <x:f>IF('Inputs'!$D$9="Ready",'Inputs'!F11,"n.a.")</x:f>
        <x:v>35</x:v>
      </x:c>
      <x:c r="L262" s="29" t="n">
        <x:f>IF('Inputs'!$D$9="Ready",'Inputs'!G11,"n.a.")</x:f>
        <x:v>0.02</x:v>
      </x:c>
      <x:c r="M262" s="22" t="n">
        <x:f>IF(COUNT(I262:L262)=4,ROUND(I262*J262/12,2),"n.a.")</x:f>
        <x:v>0</x:v>
      </x:c>
      <x:c r="N262" s="22" t="n">
        <x:f>IF(COUNT(I262:M262)=5,MIN(I262+M262,ROUND(MAX(K262,I262*L262+M262),2)),"n.a.")</x:f>
        <x:v>0</x:v>
      </x:c>
      <x:c r="O262" s="30" t="n">
        <x:f>IF(COUNT($I$262:$I$266)&lt;&gt;5,"n.a.",IF(I262=0,6,IF('Inputs'!$D$5=1,COUNTIFS($I$262:$I$266,"&gt;0",$I$262:$I$266,"&lt;"&amp;I262)+COUNTIFS($I$262:I262,I262),COUNTIFS($I$262:$I$266,"&gt;0",$J$262:$J$266,"&gt;"&amp;J262)+COUNTIFS($I$262:I262,"&gt;0",$J$262:J262,J262))))</x:f>
        <x:v>6</x:v>
      </x:c>
      <x:c r="P262" s="22" t="n">
        <x:f>IF(T262="Ready",MIN(U262,MAX(0,G262-SUMIFS($U$262:$U$266,$O$262:$O$266,"&lt;"&amp;O262))),"n.a.")</x:f>
        <x:v>0</x:v>
      </x:c>
      <x:c r="Q262" s="22" t="n">
        <x:f>IF(T262="Ready",ROUND(N262+P262,2),"n.a.")</x:f>
        <x:v>0</x:v>
      </x:c>
      <x:c r="R262" s="22" t="n">
        <x:f>IF(T262="Ready",ROUND(Q262-M262,2),"n.a.")</x:f>
        <x:v>0</x:v>
      </x:c>
      <x:c r="S262" s="22" t="n">
        <x:f>IF(T262="Ready",MAX(0,ROUND(I262+M262-Q262,2)),"n.a.")</x:f>
        <x:v>0</x:v>
      </x:c>
      <x:c r="T262" s="22" t="str">
        <x:f>IF(AND(COUNT($I$262:$I$266)=5,COUNT(E262:F262)=2),IF(E262&gt;=F262,"Ready","Budget below minima"),"Check inputs")</x:f>
        <x:v>Ready</x:v>
      </x:c>
      <x:c r="U262" s="22" t="n">
        <x:f>IF(COUNT(I262,M262,N262)=3,MAX(0,ROUND(I262+M262-N262,2)),"n.a.")</x:f>
        <x:v>0</x:v>
      </x:c>
    </x:row>
    <x:row r="263" ht="22" customHeight="1">
      <x:c r="A263" s="2"/>
      <x:c r="B263" s="2"/>
      <x:c r="C263" s="27" t="n">
        <x:f>52</x:f>
        <x:v>52</x:v>
      </x:c>
      <x:c r="D263" s="28" t="n">
        <x:f>IF(ISNUMBER('Inputs'!$D$7),EDATE('Inputs'!$D$7,51),"n.a.")</x:f>
        <x:v>47880</x:v>
      </x:c>
      <x:c r="E263" s="26" t="n">
        <x:f>IF('Inputs'!$D$9&lt;&gt;"Ready","n.a.",IF(ISNUMBER('Inputs'!E70),IF('Inputs'!E70&gt;=0,'Inputs'!E70,"n.a."),IF('Inputs'!E70="",'Inputs'!$D$6,"n.a.")))</x:f>
        <x:v>500</x:v>
      </x:c>
      <x:c r="F263" s="22" t="n">
        <x:f>IF(COUNT($N$262:$N$266)=5,SUM($N$262:$N$266),"n.a.")</x:f>
        <x:v>0</x:v>
      </x:c>
      <x:c r="G263" s="22" t="n">
        <x:f>IF(COUNT(E263:F263)=2,MAX(0,E263-F263),"n.a.")</x:f>
        <x:v>500</x:v>
      </x:c>
      <x:c r="H263" s="26" t="str">
        <x:f>'Inputs'!C12</x:f>
        <x:v>Card B</x:v>
      </x:c>
      <x:c r="I263" s="26" t="n">
        <x:f>S258</x:f>
        <x:v>0</x:v>
      </x:c>
      <x:c r="J263" s="29" t="n">
        <x:f>IF('Inputs'!$D$9="Ready",'Inputs'!E12,"n.a.")</x:f>
        <x:v>0.18</x:v>
      </x:c>
      <x:c r="K263" s="26" t="n">
        <x:f>IF('Inputs'!$D$9="Ready",'Inputs'!F12,"n.a.")</x:f>
        <x:v>60</x:v>
      </x:c>
      <x:c r="L263" s="29" t="n">
        <x:f>IF('Inputs'!$D$9="Ready",'Inputs'!G12,"n.a.")</x:f>
        <x:v>0.02</x:v>
      </x:c>
      <x:c r="M263" s="22" t="n">
        <x:f>IF(COUNT(I263:L263)=4,ROUND(I263*J263/12,2),"n.a.")</x:f>
        <x:v>0</x:v>
      </x:c>
      <x:c r="N263" s="22" t="n">
        <x:f>IF(COUNT(I263:M263)=5,MIN(I263+M263,ROUND(MAX(K263,I263*L263+M263),2)),"n.a.")</x:f>
        <x:v>0</x:v>
      </x:c>
      <x:c r="O263" s="30" t="n">
        <x:f>IF(COUNT($I$262:$I$266)&lt;&gt;5,"n.a.",IF(I263=0,6,IF('Inputs'!$D$5=1,COUNTIFS($I$262:$I$266,"&gt;0",$I$262:$I$266,"&lt;"&amp;I263)+COUNTIFS($I$262:I263,I263),COUNTIFS($I$262:$I$266,"&gt;0",$J$262:$J$266,"&gt;"&amp;J263)+COUNTIFS($I$262:I263,"&gt;0",$J$262:J263,J263))))</x:f>
        <x:v>6</x:v>
      </x:c>
      <x:c r="P263" s="22" t="n">
        <x:f>IF(T263="Ready",MIN(U263,MAX(0,G263-SUMIFS($U$262:$U$266,$O$262:$O$266,"&lt;"&amp;O263))),"n.a.")</x:f>
        <x:v>0</x:v>
      </x:c>
      <x:c r="Q263" s="22" t="n">
        <x:f>IF(T263="Ready",ROUND(N263+P263,2),"n.a.")</x:f>
        <x:v>0</x:v>
      </x:c>
      <x:c r="R263" s="22" t="n">
        <x:f>IF(T263="Ready",ROUND(Q263-M263,2),"n.a.")</x:f>
        <x:v>0</x:v>
      </x:c>
      <x:c r="S263" s="22" t="n">
        <x:f>IF(T263="Ready",MAX(0,ROUND(I263+M263-Q263,2)),"n.a.")</x:f>
        <x:v>0</x:v>
      </x:c>
      <x:c r="T263" s="22" t="str">
        <x:f>IF(AND(COUNT($I$262:$I$266)=5,COUNT(E263:F263)=2),IF(E263&gt;=F263,"Ready","Budget below minima"),"Check inputs")</x:f>
        <x:v>Ready</x:v>
      </x:c>
      <x:c r="U263" s="22" t="n">
        <x:f>IF(COUNT(I263,M263,N263)=3,MAX(0,ROUND(I263+M263-N263,2)),"n.a.")</x:f>
        <x:v>0</x:v>
      </x:c>
    </x:row>
    <x:row r="264" ht="22" customHeight="1">
      <x:c r="A264" s="2"/>
      <x:c r="B264" s="2"/>
      <x:c r="C264" s="27" t="n">
        <x:f>52</x:f>
        <x:v>52</x:v>
      </x:c>
      <x:c r="D264" s="28" t="n">
        <x:f>IF(ISNUMBER('Inputs'!$D$7),EDATE('Inputs'!$D$7,51),"n.a.")</x:f>
        <x:v>47880</x:v>
      </x:c>
      <x:c r="E264" s="26" t="n">
        <x:f>IF('Inputs'!$D$9&lt;&gt;"Ready","n.a.",IF(ISNUMBER('Inputs'!E70),IF('Inputs'!E70&gt;=0,'Inputs'!E70,"n.a."),IF('Inputs'!E70="",'Inputs'!$D$6,"n.a.")))</x:f>
        <x:v>500</x:v>
      </x:c>
      <x:c r="F264" s="22" t="n">
        <x:f>IF(COUNT($N$262:$N$266)=5,SUM($N$262:$N$266),"n.a.")</x:f>
        <x:v>0</x:v>
      </x:c>
      <x:c r="G264" s="22" t="n">
        <x:f>IF(COUNT(E264:F264)=2,MAX(0,E264-F264),"n.a.")</x:f>
        <x:v>500</x:v>
      </x:c>
      <x:c r="H264" s="26" t="str">
        <x:f>'Inputs'!C13</x:f>
        <x:v>Loan C</x:v>
      </x:c>
      <x:c r="I264" s="26" t="n">
        <x:f>S259</x:f>
        <x:v>0</x:v>
      </x:c>
      <x:c r="J264" s="29" t="n">
        <x:f>IF('Inputs'!$D$9="Ready",'Inputs'!E13,"n.a.")</x:f>
        <x:v>0.08</x:v>
      </x:c>
      <x:c r="K264" s="26" t="n">
        <x:f>IF('Inputs'!$D$9="Ready",'Inputs'!F13,"n.a.")</x:f>
        <x:v>150</x:v>
      </x:c>
      <x:c r="L264" s="29" t="n">
        <x:f>IF('Inputs'!$D$9="Ready",'Inputs'!G13,"n.a.")</x:f>
        <x:v>0</x:v>
      </x:c>
      <x:c r="M264" s="22" t="n">
        <x:f>IF(COUNT(I264:L264)=4,ROUND(I264*J264/12,2),"n.a.")</x:f>
        <x:v>0</x:v>
      </x:c>
      <x:c r="N264" s="22" t="n">
        <x:f>IF(COUNT(I264:M264)=5,MIN(I264+M264,ROUND(MAX(K264,I264*L264+M264),2)),"n.a.")</x:f>
        <x:v>0</x:v>
      </x:c>
      <x:c r="O264" s="30" t="n">
        <x:f>IF(COUNT($I$262:$I$266)&lt;&gt;5,"n.a.",IF(I264=0,6,IF('Inputs'!$D$5=1,COUNTIFS($I$262:$I$266,"&gt;0",$I$262:$I$266,"&lt;"&amp;I264)+COUNTIFS($I$262:I264,I264),COUNTIFS($I$262:$I$266,"&gt;0",$J$262:$J$266,"&gt;"&amp;J264)+COUNTIFS($I$262:I264,"&gt;0",$J$262:J264,J264))))</x:f>
        <x:v>6</x:v>
      </x:c>
      <x:c r="P264" s="22" t="n">
        <x:f>IF(T264="Ready",MIN(U264,MAX(0,G264-SUMIFS($U$262:$U$266,$O$262:$O$266,"&lt;"&amp;O264))),"n.a.")</x:f>
        <x:v>0</x:v>
      </x:c>
      <x:c r="Q264" s="22" t="n">
        <x:f>IF(T264="Ready",ROUND(N264+P264,2),"n.a.")</x:f>
        <x:v>0</x:v>
      </x:c>
      <x:c r="R264" s="22" t="n">
        <x:f>IF(T264="Ready",ROUND(Q264-M264,2),"n.a.")</x:f>
        <x:v>0</x:v>
      </x:c>
      <x:c r="S264" s="22" t="n">
        <x:f>IF(T264="Ready",MAX(0,ROUND(I264+M264-Q264,2)),"n.a.")</x:f>
        <x:v>0</x:v>
      </x:c>
      <x:c r="T264" s="22" t="str">
        <x:f>IF(AND(COUNT($I$262:$I$266)=5,COUNT(E264:F264)=2),IF(E264&gt;=F264,"Ready","Budget below minima"),"Check inputs")</x:f>
        <x:v>Ready</x:v>
      </x:c>
      <x:c r="U264" s="22" t="n">
        <x:f>IF(COUNT(I264,M264,N264)=3,MAX(0,ROUND(I264+M264-N264,2)),"n.a.")</x:f>
        <x:v>0</x:v>
      </x:c>
    </x:row>
    <x:row r="265" ht="22" customHeight="1">
      <x:c r="A265" s="2"/>
      <x:c r="B265" s="2"/>
      <x:c r="C265" s="27" t="n">
        <x:f>52</x:f>
        <x:v>52</x:v>
      </x:c>
      <x:c r="D265" s="28" t="n">
        <x:f>IF(ISNUMBER('Inputs'!$D$7),EDATE('Inputs'!$D$7,51),"n.a.")</x:f>
        <x:v>47880</x:v>
      </x:c>
      <x:c r="E265" s="26" t="n">
        <x:f>IF('Inputs'!$D$9&lt;&gt;"Ready","n.a.",IF(ISNUMBER('Inputs'!E70),IF('Inputs'!E70&gt;=0,'Inputs'!E70,"n.a."),IF('Inputs'!E70="",'Inputs'!$D$6,"n.a.")))</x:f>
        <x:v>500</x:v>
      </x:c>
      <x:c r="F265" s="22" t="n">
        <x:f>IF(COUNT($N$262:$N$266)=5,SUM($N$262:$N$266),"n.a.")</x:f>
        <x:v>0</x:v>
      </x:c>
      <x:c r="G265" s="22" t="n">
        <x:f>IF(COUNT(E265:F265)=2,MAX(0,E265-F265),"n.a.")</x:f>
        <x:v>500</x:v>
      </x:c>
      <x:c r="H265" s="26" t="str">
        <x:f>'Inputs'!C14</x:f>
        <x:v>Unused 4</x:v>
      </x:c>
      <x:c r="I265" s="26" t="n">
        <x:f>S260</x:f>
        <x:v>0</x:v>
      </x:c>
      <x:c r="J265" s="29" t="n">
        <x:f>IF('Inputs'!$D$9="Ready",'Inputs'!E14,"n.a.")</x:f>
        <x:v>0</x:v>
      </x:c>
      <x:c r="K265" s="26" t="n">
        <x:f>IF('Inputs'!$D$9="Ready",'Inputs'!F14,"n.a.")</x:f>
        <x:v>0</x:v>
      </x:c>
      <x:c r="L265" s="29" t="n">
        <x:f>IF('Inputs'!$D$9="Ready",'Inputs'!G14,"n.a.")</x:f>
        <x:v>0</x:v>
      </x:c>
      <x:c r="M265" s="22" t="n">
        <x:f>IF(COUNT(I265:L265)=4,ROUND(I265*J265/12,2),"n.a.")</x:f>
        <x:v>0</x:v>
      </x:c>
      <x:c r="N265" s="22" t="n">
        <x:f>IF(COUNT(I265:M265)=5,MIN(I265+M265,ROUND(MAX(K265,I265*L265+M265),2)),"n.a.")</x:f>
        <x:v>0</x:v>
      </x:c>
      <x:c r="O265" s="30" t="n">
        <x:f>IF(COUNT($I$262:$I$266)&lt;&gt;5,"n.a.",IF(I265=0,6,IF('Inputs'!$D$5=1,COUNTIFS($I$262:$I$266,"&gt;0",$I$262:$I$266,"&lt;"&amp;I265)+COUNTIFS($I$262:I265,I265),COUNTIFS($I$262:$I$266,"&gt;0",$J$262:$J$266,"&gt;"&amp;J265)+COUNTIFS($I$262:I265,"&gt;0",$J$262:J265,J265))))</x:f>
        <x:v>6</x:v>
      </x:c>
      <x:c r="P265" s="22" t="n">
        <x:f>IF(T265="Ready",MIN(U265,MAX(0,G265-SUMIFS($U$262:$U$266,$O$262:$O$266,"&lt;"&amp;O265))),"n.a.")</x:f>
        <x:v>0</x:v>
      </x:c>
      <x:c r="Q265" s="22" t="n">
        <x:f>IF(T265="Ready",ROUND(N265+P265,2),"n.a.")</x:f>
        <x:v>0</x:v>
      </x:c>
      <x:c r="R265" s="22" t="n">
        <x:f>IF(T265="Ready",ROUND(Q265-M265,2),"n.a.")</x:f>
        <x:v>0</x:v>
      </x:c>
      <x:c r="S265" s="22" t="n">
        <x:f>IF(T265="Ready",MAX(0,ROUND(I265+M265-Q265,2)),"n.a.")</x:f>
        <x:v>0</x:v>
      </x:c>
      <x:c r="T265" s="22" t="str">
        <x:f>IF(AND(COUNT($I$262:$I$266)=5,COUNT(E265:F265)=2),IF(E265&gt;=F265,"Ready","Budget below minima"),"Check inputs")</x:f>
        <x:v>Ready</x:v>
      </x:c>
      <x:c r="U265" s="22" t="n">
        <x:f>IF(COUNT(I265,M265,N265)=3,MAX(0,ROUND(I265+M265-N265,2)),"n.a.")</x:f>
        <x:v>0</x:v>
      </x:c>
    </x:row>
    <x:row r="266" ht="22" customHeight="1">
      <x:c r="A266" s="2"/>
      <x:c r="B266" s="2"/>
      <x:c r="C266" s="27" t="n">
        <x:f>52</x:f>
        <x:v>52</x:v>
      </x:c>
      <x:c r="D266" s="28" t="n">
        <x:f>IF(ISNUMBER('Inputs'!$D$7),EDATE('Inputs'!$D$7,51),"n.a.")</x:f>
        <x:v>47880</x:v>
      </x:c>
      <x:c r="E266" s="26" t="n">
        <x:f>IF('Inputs'!$D$9&lt;&gt;"Ready","n.a.",IF(ISNUMBER('Inputs'!E70),IF('Inputs'!E70&gt;=0,'Inputs'!E70,"n.a."),IF('Inputs'!E70="",'Inputs'!$D$6,"n.a.")))</x:f>
        <x:v>500</x:v>
      </x:c>
      <x:c r="F266" s="22" t="n">
        <x:f>IF(COUNT($N$262:$N$266)=5,SUM($N$262:$N$266),"n.a.")</x:f>
        <x:v>0</x:v>
      </x:c>
      <x:c r="G266" s="22" t="n">
        <x:f>IF(COUNT(E266:F266)=2,MAX(0,E266-F266),"n.a.")</x:f>
        <x:v>500</x:v>
      </x:c>
      <x:c r="H266" s="26" t="str">
        <x:f>'Inputs'!C15</x:f>
        <x:v>Unused 5</x:v>
      </x:c>
      <x:c r="I266" s="26" t="n">
        <x:f>S261</x:f>
        <x:v>0</x:v>
      </x:c>
      <x:c r="J266" s="29" t="n">
        <x:f>IF('Inputs'!$D$9="Ready",'Inputs'!E15,"n.a.")</x:f>
        <x:v>0</x:v>
      </x:c>
      <x:c r="K266" s="26" t="n">
        <x:f>IF('Inputs'!$D$9="Ready",'Inputs'!F15,"n.a.")</x:f>
        <x:v>0</x:v>
      </x:c>
      <x:c r="L266" s="29" t="n">
        <x:f>IF('Inputs'!$D$9="Ready",'Inputs'!G15,"n.a.")</x:f>
        <x:v>0</x:v>
      </x:c>
      <x:c r="M266" s="22" t="n">
        <x:f>IF(COUNT(I266:L266)=4,ROUND(I266*J266/12,2),"n.a.")</x:f>
        <x:v>0</x:v>
      </x:c>
      <x:c r="N266" s="22" t="n">
        <x:f>IF(COUNT(I266:M266)=5,MIN(I266+M266,ROUND(MAX(K266,I266*L266+M266),2)),"n.a.")</x:f>
        <x:v>0</x:v>
      </x:c>
      <x:c r="O266" s="30" t="n">
        <x:f>IF(COUNT($I$262:$I$266)&lt;&gt;5,"n.a.",IF(I266=0,6,IF('Inputs'!$D$5=1,COUNTIFS($I$262:$I$266,"&gt;0",$I$262:$I$266,"&lt;"&amp;I266)+COUNTIFS($I$262:I266,I266),COUNTIFS($I$262:$I$266,"&gt;0",$J$262:$J$266,"&gt;"&amp;J266)+COUNTIFS($I$262:I266,"&gt;0",$J$262:J266,J266))))</x:f>
        <x:v>6</x:v>
      </x:c>
      <x:c r="P266" s="22" t="n">
        <x:f>IF(T266="Ready",MIN(U266,MAX(0,G266-SUMIFS($U$262:$U$266,$O$262:$O$266,"&lt;"&amp;O266))),"n.a.")</x:f>
        <x:v>0</x:v>
      </x:c>
      <x:c r="Q266" s="22" t="n">
        <x:f>IF(T266="Ready",ROUND(N266+P266,2),"n.a.")</x:f>
        <x:v>0</x:v>
      </x:c>
      <x:c r="R266" s="22" t="n">
        <x:f>IF(T266="Ready",ROUND(Q266-M266,2),"n.a.")</x:f>
        <x:v>0</x:v>
      </x:c>
      <x:c r="S266" s="22" t="n">
        <x:f>IF(T266="Ready",MAX(0,ROUND(I266+M266-Q266,2)),"n.a.")</x:f>
        <x:v>0</x:v>
      </x:c>
      <x:c r="T266" s="22" t="str">
        <x:f>IF(AND(COUNT($I$262:$I$266)=5,COUNT(E266:F266)=2),IF(E266&gt;=F266,"Ready","Budget below minima"),"Check inputs")</x:f>
        <x:v>Ready</x:v>
      </x:c>
      <x:c r="U266" s="22" t="n">
        <x:f>IF(COUNT(I266,M266,N266)=3,MAX(0,ROUND(I266+M266-N266,2)),"n.a.")</x:f>
        <x:v>0</x:v>
      </x:c>
    </x:row>
    <x:row r="267" ht="22" customHeight="1">
      <x:c r="A267" s="2"/>
      <x:c r="B267" s="2"/>
      <x:c r="C267" s="27" t="n">
        <x:f>53</x:f>
        <x:v>53</x:v>
      </x:c>
      <x:c r="D267" s="28" t="n">
        <x:f>IF(ISNUMBER('Inputs'!$D$7),EDATE('Inputs'!$D$7,52),"n.a.")</x:f>
        <x:v>47908</x:v>
      </x:c>
      <x:c r="E267" s="26" t="n">
        <x:f>IF('Inputs'!$D$9&lt;&gt;"Ready","n.a.",IF(ISNUMBER('Inputs'!E71),IF('Inputs'!E71&gt;=0,'Inputs'!E71,"n.a."),IF('Inputs'!E71="",'Inputs'!$D$6,"n.a.")))</x:f>
        <x:v>500</x:v>
      </x:c>
      <x:c r="F267" s="22" t="n">
        <x:f>IF(COUNT($N$267:$N$271)=5,SUM($N$267:$N$271),"n.a.")</x:f>
        <x:v>0</x:v>
      </x:c>
      <x:c r="G267" s="22" t="n">
        <x:f>IF(COUNT(E267:F267)=2,MAX(0,E267-F267),"n.a.")</x:f>
        <x:v>500</x:v>
      </x:c>
      <x:c r="H267" s="26" t="str">
        <x:f>'Inputs'!C11</x:f>
        <x:v>Card A</x:v>
      </x:c>
      <x:c r="I267" s="26" t="n">
        <x:f>S262</x:f>
        <x:v>0</x:v>
      </x:c>
      <x:c r="J267" s="29" t="n">
        <x:f>IF('Inputs'!$D$9="Ready",'Inputs'!E11,"n.a.")</x:f>
        <x:v>0.24</x:v>
      </x:c>
      <x:c r="K267" s="26" t="n">
        <x:f>IF('Inputs'!$D$9="Ready",'Inputs'!F11,"n.a.")</x:f>
        <x:v>35</x:v>
      </x:c>
      <x:c r="L267" s="29" t="n">
        <x:f>IF('Inputs'!$D$9="Ready",'Inputs'!G11,"n.a.")</x:f>
        <x:v>0.02</x:v>
      </x:c>
      <x:c r="M267" s="22" t="n">
        <x:f>IF(COUNT(I267:L267)=4,ROUND(I267*J267/12,2),"n.a.")</x:f>
        <x:v>0</x:v>
      </x:c>
      <x:c r="N267" s="22" t="n">
        <x:f>IF(COUNT(I267:M267)=5,MIN(I267+M267,ROUND(MAX(K267,I267*L267+M267),2)),"n.a.")</x:f>
        <x:v>0</x:v>
      </x:c>
      <x:c r="O267" s="30" t="n">
        <x:f>IF(COUNT($I$267:$I$271)&lt;&gt;5,"n.a.",IF(I267=0,6,IF('Inputs'!$D$5=1,COUNTIFS($I$267:$I$271,"&gt;0",$I$267:$I$271,"&lt;"&amp;I267)+COUNTIFS($I$267:I267,I267),COUNTIFS($I$267:$I$271,"&gt;0",$J$267:$J$271,"&gt;"&amp;J267)+COUNTIFS($I$267:I267,"&gt;0",$J$267:J267,J267))))</x:f>
        <x:v>6</x:v>
      </x:c>
      <x:c r="P267" s="22" t="n">
        <x:f>IF(T267="Ready",MIN(U267,MAX(0,G267-SUMIFS($U$267:$U$271,$O$267:$O$271,"&lt;"&amp;O267))),"n.a.")</x:f>
        <x:v>0</x:v>
      </x:c>
      <x:c r="Q267" s="22" t="n">
        <x:f>IF(T267="Ready",ROUND(N267+P267,2),"n.a.")</x:f>
        <x:v>0</x:v>
      </x:c>
      <x:c r="R267" s="22" t="n">
        <x:f>IF(T267="Ready",ROUND(Q267-M267,2),"n.a.")</x:f>
        <x:v>0</x:v>
      </x:c>
      <x:c r="S267" s="22" t="n">
        <x:f>IF(T267="Ready",MAX(0,ROUND(I267+M267-Q267,2)),"n.a.")</x:f>
        <x:v>0</x:v>
      </x:c>
      <x:c r="T267" s="22" t="str">
        <x:f>IF(AND(COUNT($I$267:$I$271)=5,COUNT(E267:F267)=2),IF(E267&gt;=F267,"Ready","Budget below minima"),"Check inputs")</x:f>
        <x:v>Ready</x:v>
      </x:c>
      <x:c r="U267" s="22" t="n">
        <x:f>IF(COUNT(I267,M267,N267)=3,MAX(0,ROUND(I267+M267-N267,2)),"n.a.")</x:f>
        <x:v>0</x:v>
      </x:c>
    </x:row>
    <x:row r="268" ht="22" customHeight="1">
      <x:c r="A268" s="2"/>
      <x:c r="B268" s="2"/>
      <x:c r="C268" s="27" t="n">
        <x:f>53</x:f>
        <x:v>53</x:v>
      </x:c>
      <x:c r="D268" s="28" t="n">
        <x:f>IF(ISNUMBER('Inputs'!$D$7),EDATE('Inputs'!$D$7,52),"n.a.")</x:f>
        <x:v>47908</x:v>
      </x:c>
      <x:c r="E268" s="26" t="n">
        <x:f>IF('Inputs'!$D$9&lt;&gt;"Ready","n.a.",IF(ISNUMBER('Inputs'!E71),IF('Inputs'!E71&gt;=0,'Inputs'!E71,"n.a."),IF('Inputs'!E71="",'Inputs'!$D$6,"n.a.")))</x:f>
        <x:v>500</x:v>
      </x:c>
      <x:c r="F268" s="22" t="n">
        <x:f>IF(COUNT($N$267:$N$271)=5,SUM($N$267:$N$271),"n.a.")</x:f>
        <x:v>0</x:v>
      </x:c>
      <x:c r="G268" s="22" t="n">
        <x:f>IF(COUNT(E268:F268)=2,MAX(0,E268-F268),"n.a.")</x:f>
        <x:v>500</x:v>
      </x:c>
      <x:c r="H268" s="26" t="str">
        <x:f>'Inputs'!C12</x:f>
        <x:v>Card B</x:v>
      </x:c>
      <x:c r="I268" s="26" t="n">
        <x:f>S263</x:f>
        <x:v>0</x:v>
      </x:c>
      <x:c r="J268" s="29" t="n">
        <x:f>IF('Inputs'!$D$9="Ready",'Inputs'!E12,"n.a.")</x:f>
        <x:v>0.18</x:v>
      </x:c>
      <x:c r="K268" s="26" t="n">
        <x:f>IF('Inputs'!$D$9="Ready",'Inputs'!F12,"n.a.")</x:f>
        <x:v>60</x:v>
      </x:c>
      <x:c r="L268" s="29" t="n">
        <x:f>IF('Inputs'!$D$9="Ready",'Inputs'!G12,"n.a.")</x:f>
        <x:v>0.02</x:v>
      </x:c>
      <x:c r="M268" s="22" t="n">
        <x:f>IF(COUNT(I268:L268)=4,ROUND(I268*J268/12,2),"n.a.")</x:f>
        <x:v>0</x:v>
      </x:c>
      <x:c r="N268" s="22" t="n">
        <x:f>IF(COUNT(I268:M268)=5,MIN(I268+M268,ROUND(MAX(K268,I268*L268+M268),2)),"n.a.")</x:f>
        <x:v>0</x:v>
      </x:c>
      <x:c r="O268" s="30" t="n">
        <x:f>IF(COUNT($I$267:$I$271)&lt;&gt;5,"n.a.",IF(I268=0,6,IF('Inputs'!$D$5=1,COUNTIFS($I$267:$I$271,"&gt;0",$I$267:$I$271,"&lt;"&amp;I268)+COUNTIFS($I$267:I268,I268),COUNTIFS($I$267:$I$271,"&gt;0",$J$267:$J$271,"&gt;"&amp;J268)+COUNTIFS($I$267:I268,"&gt;0",$J$267:J268,J268))))</x:f>
        <x:v>6</x:v>
      </x:c>
      <x:c r="P268" s="22" t="n">
        <x:f>IF(T268="Ready",MIN(U268,MAX(0,G268-SUMIFS($U$267:$U$271,$O$267:$O$271,"&lt;"&amp;O268))),"n.a.")</x:f>
        <x:v>0</x:v>
      </x:c>
      <x:c r="Q268" s="22" t="n">
        <x:f>IF(T268="Ready",ROUND(N268+P268,2),"n.a.")</x:f>
        <x:v>0</x:v>
      </x:c>
      <x:c r="R268" s="22" t="n">
        <x:f>IF(T268="Ready",ROUND(Q268-M268,2),"n.a.")</x:f>
        <x:v>0</x:v>
      </x:c>
      <x:c r="S268" s="22" t="n">
        <x:f>IF(T268="Ready",MAX(0,ROUND(I268+M268-Q268,2)),"n.a.")</x:f>
        <x:v>0</x:v>
      </x:c>
      <x:c r="T268" s="22" t="str">
        <x:f>IF(AND(COUNT($I$267:$I$271)=5,COUNT(E268:F268)=2),IF(E268&gt;=F268,"Ready","Budget below minima"),"Check inputs")</x:f>
        <x:v>Ready</x:v>
      </x:c>
      <x:c r="U268" s="22" t="n">
        <x:f>IF(COUNT(I268,M268,N268)=3,MAX(0,ROUND(I268+M268-N268,2)),"n.a.")</x:f>
        <x:v>0</x:v>
      </x:c>
    </x:row>
    <x:row r="269" ht="22" customHeight="1">
      <x:c r="A269" s="2"/>
      <x:c r="B269" s="2"/>
      <x:c r="C269" s="27" t="n">
        <x:f>53</x:f>
        <x:v>53</x:v>
      </x:c>
      <x:c r="D269" s="28" t="n">
        <x:f>IF(ISNUMBER('Inputs'!$D$7),EDATE('Inputs'!$D$7,52),"n.a.")</x:f>
        <x:v>47908</x:v>
      </x:c>
      <x:c r="E269" s="26" t="n">
        <x:f>IF('Inputs'!$D$9&lt;&gt;"Ready","n.a.",IF(ISNUMBER('Inputs'!E71),IF('Inputs'!E71&gt;=0,'Inputs'!E71,"n.a."),IF('Inputs'!E71="",'Inputs'!$D$6,"n.a.")))</x:f>
        <x:v>500</x:v>
      </x:c>
      <x:c r="F269" s="22" t="n">
        <x:f>IF(COUNT($N$267:$N$271)=5,SUM($N$267:$N$271),"n.a.")</x:f>
        <x:v>0</x:v>
      </x:c>
      <x:c r="G269" s="22" t="n">
        <x:f>IF(COUNT(E269:F269)=2,MAX(0,E269-F269),"n.a.")</x:f>
        <x:v>500</x:v>
      </x:c>
      <x:c r="H269" s="26" t="str">
        <x:f>'Inputs'!C13</x:f>
        <x:v>Loan C</x:v>
      </x:c>
      <x:c r="I269" s="26" t="n">
        <x:f>S264</x:f>
        <x:v>0</x:v>
      </x:c>
      <x:c r="J269" s="29" t="n">
        <x:f>IF('Inputs'!$D$9="Ready",'Inputs'!E13,"n.a.")</x:f>
        <x:v>0.08</x:v>
      </x:c>
      <x:c r="K269" s="26" t="n">
        <x:f>IF('Inputs'!$D$9="Ready",'Inputs'!F13,"n.a.")</x:f>
        <x:v>150</x:v>
      </x:c>
      <x:c r="L269" s="29" t="n">
        <x:f>IF('Inputs'!$D$9="Ready",'Inputs'!G13,"n.a.")</x:f>
        <x:v>0</x:v>
      </x:c>
      <x:c r="M269" s="22" t="n">
        <x:f>IF(COUNT(I269:L269)=4,ROUND(I269*J269/12,2),"n.a.")</x:f>
        <x:v>0</x:v>
      </x:c>
      <x:c r="N269" s="22" t="n">
        <x:f>IF(COUNT(I269:M269)=5,MIN(I269+M269,ROUND(MAX(K269,I269*L269+M269),2)),"n.a.")</x:f>
        <x:v>0</x:v>
      </x:c>
      <x:c r="O269" s="30" t="n">
        <x:f>IF(COUNT($I$267:$I$271)&lt;&gt;5,"n.a.",IF(I269=0,6,IF('Inputs'!$D$5=1,COUNTIFS($I$267:$I$271,"&gt;0",$I$267:$I$271,"&lt;"&amp;I269)+COUNTIFS($I$267:I269,I269),COUNTIFS($I$267:$I$271,"&gt;0",$J$267:$J$271,"&gt;"&amp;J269)+COUNTIFS($I$267:I269,"&gt;0",$J$267:J269,J269))))</x:f>
        <x:v>6</x:v>
      </x:c>
      <x:c r="P269" s="22" t="n">
        <x:f>IF(T269="Ready",MIN(U269,MAX(0,G269-SUMIFS($U$267:$U$271,$O$267:$O$271,"&lt;"&amp;O269))),"n.a.")</x:f>
        <x:v>0</x:v>
      </x:c>
      <x:c r="Q269" s="22" t="n">
        <x:f>IF(T269="Ready",ROUND(N269+P269,2),"n.a.")</x:f>
        <x:v>0</x:v>
      </x:c>
      <x:c r="R269" s="22" t="n">
        <x:f>IF(T269="Ready",ROUND(Q269-M269,2),"n.a.")</x:f>
        <x:v>0</x:v>
      </x:c>
      <x:c r="S269" s="22" t="n">
        <x:f>IF(T269="Ready",MAX(0,ROUND(I269+M269-Q269,2)),"n.a.")</x:f>
        <x:v>0</x:v>
      </x:c>
      <x:c r="T269" s="22" t="str">
        <x:f>IF(AND(COUNT($I$267:$I$271)=5,COUNT(E269:F269)=2),IF(E269&gt;=F269,"Ready","Budget below minima"),"Check inputs")</x:f>
        <x:v>Ready</x:v>
      </x:c>
      <x:c r="U269" s="22" t="n">
        <x:f>IF(COUNT(I269,M269,N269)=3,MAX(0,ROUND(I269+M269-N269,2)),"n.a.")</x:f>
        <x:v>0</x:v>
      </x:c>
    </x:row>
    <x:row r="270" ht="22" customHeight="1">
      <x:c r="A270" s="2"/>
      <x:c r="B270" s="2"/>
      <x:c r="C270" s="27" t="n">
        <x:f>53</x:f>
        <x:v>53</x:v>
      </x:c>
      <x:c r="D270" s="28" t="n">
        <x:f>IF(ISNUMBER('Inputs'!$D$7),EDATE('Inputs'!$D$7,52),"n.a.")</x:f>
        <x:v>47908</x:v>
      </x:c>
      <x:c r="E270" s="26" t="n">
        <x:f>IF('Inputs'!$D$9&lt;&gt;"Ready","n.a.",IF(ISNUMBER('Inputs'!E71),IF('Inputs'!E71&gt;=0,'Inputs'!E71,"n.a."),IF('Inputs'!E71="",'Inputs'!$D$6,"n.a.")))</x:f>
        <x:v>500</x:v>
      </x:c>
      <x:c r="F270" s="22" t="n">
        <x:f>IF(COUNT($N$267:$N$271)=5,SUM($N$267:$N$271),"n.a.")</x:f>
        <x:v>0</x:v>
      </x:c>
      <x:c r="G270" s="22" t="n">
        <x:f>IF(COUNT(E270:F270)=2,MAX(0,E270-F270),"n.a.")</x:f>
        <x:v>500</x:v>
      </x:c>
      <x:c r="H270" s="26" t="str">
        <x:f>'Inputs'!C14</x:f>
        <x:v>Unused 4</x:v>
      </x:c>
      <x:c r="I270" s="26" t="n">
        <x:f>S265</x:f>
        <x:v>0</x:v>
      </x:c>
      <x:c r="J270" s="29" t="n">
        <x:f>IF('Inputs'!$D$9="Ready",'Inputs'!E14,"n.a.")</x:f>
        <x:v>0</x:v>
      </x:c>
      <x:c r="K270" s="26" t="n">
        <x:f>IF('Inputs'!$D$9="Ready",'Inputs'!F14,"n.a.")</x:f>
        <x:v>0</x:v>
      </x:c>
      <x:c r="L270" s="29" t="n">
        <x:f>IF('Inputs'!$D$9="Ready",'Inputs'!G14,"n.a.")</x:f>
        <x:v>0</x:v>
      </x:c>
      <x:c r="M270" s="22" t="n">
        <x:f>IF(COUNT(I270:L270)=4,ROUND(I270*J270/12,2),"n.a.")</x:f>
        <x:v>0</x:v>
      </x:c>
      <x:c r="N270" s="22" t="n">
        <x:f>IF(COUNT(I270:M270)=5,MIN(I270+M270,ROUND(MAX(K270,I270*L270+M270),2)),"n.a.")</x:f>
        <x:v>0</x:v>
      </x:c>
      <x:c r="O270" s="30" t="n">
        <x:f>IF(COUNT($I$267:$I$271)&lt;&gt;5,"n.a.",IF(I270=0,6,IF('Inputs'!$D$5=1,COUNTIFS($I$267:$I$271,"&gt;0",$I$267:$I$271,"&lt;"&amp;I270)+COUNTIFS($I$267:I270,I270),COUNTIFS($I$267:$I$271,"&gt;0",$J$267:$J$271,"&gt;"&amp;J270)+COUNTIFS($I$267:I270,"&gt;0",$J$267:J270,J270))))</x:f>
        <x:v>6</x:v>
      </x:c>
      <x:c r="P270" s="22" t="n">
        <x:f>IF(T270="Ready",MIN(U270,MAX(0,G270-SUMIFS($U$267:$U$271,$O$267:$O$271,"&lt;"&amp;O270))),"n.a.")</x:f>
        <x:v>0</x:v>
      </x:c>
      <x:c r="Q270" s="22" t="n">
        <x:f>IF(T270="Ready",ROUND(N270+P270,2),"n.a.")</x:f>
        <x:v>0</x:v>
      </x:c>
      <x:c r="R270" s="22" t="n">
        <x:f>IF(T270="Ready",ROUND(Q270-M270,2),"n.a.")</x:f>
        <x:v>0</x:v>
      </x:c>
      <x:c r="S270" s="22" t="n">
        <x:f>IF(T270="Ready",MAX(0,ROUND(I270+M270-Q270,2)),"n.a.")</x:f>
        <x:v>0</x:v>
      </x:c>
      <x:c r="T270" s="22" t="str">
        <x:f>IF(AND(COUNT($I$267:$I$271)=5,COUNT(E270:F270)=2),IF(E270&gt;=F270,"Ready","Budget below minima"),"Check inputs")</x:f>
        <x:v>Ready</x:v>
      </x:c>
      <x:c r="U270" s="22" t="n">
        <x:f>IF(COUNT(I270,M270,N270)=3,MAX(0,ROUND(I270+M270-N270,2)),"n.a.")</x:f>
        <x:v>0</x:v>
      </x:c>
    </x:row>
    <x:row r="271" ht="22" customHeight="1">
      <x:c r="A271" s="2"/>
      <x:c r="B271" s="2"/>
      <x:c r="C271" s="27" t="n">
        <x:f>53</x:f>
        <x:v>53</x:v>
      </x:c>
      <x:c r="D271" s="28" t="n">
        <x:f>IF(ISNUMBER('Inputs'!$D$7),EDATE('Inputs'!$D$7,52),"n.a.")</x:f>
        <x:v>47908</x:v>
      </x:c>
      <x:c r="E271" s="26" t="n">
        <x:f>IF('Inputs'!$D$9&lt;&gt;"Ready","n.a.",IF(ISNUMBER('Inputs'!E71),IF('Inputs'!E71&gt;=0,'Inputs'!E71,"n.a."),IF('Inputs'!E71="",'Inputs'!$D$6,"n.a.")))</x:f>
        <x:v>500</x:v>
      </x:c>
      <x:c r="F271" s="22" t="n">
        <x:f>IF(COUNT($N$267:$N$271)=5,SUM($N$267:$N$271),"n.a.")</x:f>
        <x:v>0</x:v>
      </x:c>
      <x:c r="G271" s="22" t="n">
        <x:f>IF(COUNT(E271:F271)=2,MAX(0,E271-F271),"n.a.")</x:f>
        <x:v>500</x:v>
      </x:c>
      <x:c r="H271" s="26" t="str">
        <x:f>'Inputs'!C15</x:f>
        <x:v>Unused 5</x:v>
      </x:c>
      <x:c r="I271" s="26" t="n">
        <x:f>S266</x:f>
        <x:v>0</x:v>
      </x:c>
      <x:c r="J271" s="29" t="n">
        <x:f>IF('Inputs'!$D$9="Ready",'Inputs'!E15,"n.a.")</x:f>
        <x:v>0</x:v>
      </x:c>
      <x:c r="K271" s="26" t="n">
        <x:f>IF('Inputs'!$D$9="Ready",'Inputs'!F15,"n.a.")</x:f>
        <x:v>0</x:v>
      </x:c>
      <x:c r="L271" s="29" t="n">
        <x:f>IF('Inputs'!$D$9="Ready",'Inputs'!G15,"n.a.")</x:f>
        <x:v>0</x:v>
      </x:c>
      <x:c r="M271" s="22" t="n">
        <x:f>IF(COUNT(I271:L271)=4,ROUND(I271*J271/12,2),"n.a.")</x:f>
        <x:v>0</x:v>
      </x:c>
      <x:c r="N271" s="22" t="n">
        <x:f>IF(COUNT(I271:M271)=5,MIN(I271+M271,ROUND(MAX(K271,I271*L271+M271),2)),"n.a.")</x:f>
        <x:v>0</x:v>
      </x:c>
      <x:c r="O271" s="30" t="n">
        <x:f>IF(COUNT($I$267:$I$271)&lt;&gt;5,"n.a.",IF(I271=0,6,IF('Inputs'!$D$5=1,COUNTIFS($I$267:$I$271,"&gt;0",$I$267:$I$271,"&lt;"&amp;I271)+COUNTIFS($I$267:I271,I271),COUNTIFS($I$267:$I$271,"&gt;0",$J$267:$J$271,"&gt;"&amp;J271)+COUNTIFS($I$267:I271,"&gt;0",$J$267:J271,J271))))</x:f>
        <x:v>6</x:v>
      </x:c>
      <x:c r="P271" s="22" t="n">
        <x:f>IF(T271="Ready",MIN(U271,MAX(0,G271-SUMIFS($U$267:$U$271,$O$267:$O$271,"&lt;"&amp;O271))),"n.a.")</x:f>
        <x:v>0</x:v>
      </x:c>
      <x:c r="Q271" s="22" t="n">
        <x:f>IF(T271="Ready",ROUND(N271+P271,2),"n.a.")</x:f>
        <x:v>0</x:v>
      </x:c>
      <x:c r="R271" s="22" t="n">
        <x:f>IF(T271="Ready",ROUND(Q271-M271,2),"n.a.")</x:f>
        <x:v>0</x:v>
      </x:c>
      <x:c r="S271" s="22" t="n">
        <x:f>IF(T271="Ready",MAX(0,ROUND(I271+M271-Q271,2)),"n.a.")</x:f>
        <x:v>0</x:v>
      </x:c>
      <x:c r="T271" s="22" t="str">
        <x:f>IF(AND(COUNT($I$267:$I$271)=5,COUNT(E271:F271)=2),IF(E271&gt;=F271,"Ready","Budget below minima"),"Check inputs")</x:f>
        <x:v>Ready</x:v>
      </x:c>
      <x:c r="U271" s="22" t="n">
        <x:f>IF(COUNT(I271,M271,N271)=3,MAX(0,ROUND(I271+M271-N271,2)),"n.a.")</x:f>
        <x:v>0</x:v>
      </x:c>
    </x:row>
    <x:row r="272" ht="22" customHeight="1">
      <x:c r="A272" s="2"/>
      <x:c r="B272" s="2"/>
      <x:c r="C272" s="27" t="n">
        <x:f>54</x:f>
        <x:v>54</x:v>
      </x:c>
      <x:c r="D272" s="28" t="n">
        <x:f>IF(ISNUMBER('Inputs'!$D$7),EDATE('Inputs'!$D$7,53),"n.a.")</x:f>
        <x:v>47939</x:v>
      </x:c>
      <x:c r="E272" s="26" t="n">
        <x:f>IF('Inputs'!$D$9&lt;&gt;"Ready","n.a.",IF(ISNUMBER('Inputs'!E72),IF('Inputs'!E72&gt;=0,'Inputs'!E72,"n.a."),IF('Inputs'!E72="",'Inputs'!$D$6,"n.a.")))</x:f>
        <x:v>500</x:v>
      </x:c>
      <x:c r="F272" s="22" t="n">
        <x:f>IF(COUNT($N$272:$N$276)=5,SUM($N$272:$N$276),"n.a.")</x:f>
        <x:v>0</x:v>
      </x:c>
      <x:c r="G272" s="22" t="n">
        <x:f>IF(COUNT(E272:F272)=2,MAX(0,E272-F272),"n.a.")</x:f>
        <x:v>500</x:v>
      </x:c>
      <x:c r="H272" s="26" t="str">
        <x:f>'Inputs'!C11</x:f>
        <x:v>Card A</x:v>
      </x:c>
      <x:c r="I272" s="26" t="n">
        <x:f>S267</x:f>
        <x:v>0</x:v>
      </x:c>
      <x:c r="J272" s="29" t="n">
        <x:f>IF('Inputs'!$D$9="Ready",'Inputs'!E11,"n.a.")</x:f>
        <x:v>0.24</x:v>
      </x:c>
      <x:c r="K272" s="26" t="n">
        <x:f>IF('Inputs'!$D$9="Ready",'Inputs'!F11,"n.a.")</x:f>
        <x:v>35</x:v>
      </x:c>
      <x:c r="L272" s="29" t="n">
        <x:f>IF('Inputs'!$D$9="Ready",'Inputs'!G11,"n.a.")</x:f>
        <x:v>0.02</x:v>
      </x:c>
      <x:c r="M272" s="22" t="n">
        <x:f>IF(COUNT(I272:L272)=4,ROUND(I272*J272/12,2),"n.a.")</x:f>
        <x:v>0</x:v>
      </x:c>
      <x:c r="N272" s="22" t="n">
        <x:f>IF(COUNT(I272:M272)=5,MIN(I272+M272,ROUND(MAX(K272,I272*L272+M272),2)),"n.a.")</x:f>
        <x:v>0</x:v>
      </x:c>
      <x:c r="O272" s="30" t="n">
        <x:f>IF(COUNT($I$272:$I$276)&lt;&gt;5,"n.a.",IF(I272=0,6,IF('Inputs'!$D$5=1,COUNTIFS($I$272:$I$276,"&gt;0",$I$272:$I$276,"&lt;"&amp;I272)+COUNTIFS($I$272:I272,I272),COUNTIFS($I$272:$I$276,"&gt;0",$J$272:$J$276,"&gt;"&amp;J272)+COUNTIFS($I$272:I272,"&gt;0",$J$272:J272,J272))))</x:f>
        <x:v>6</x:v>
      </x:c>
      <x:c r="P272" s="22" t="n">
        <x:f>IF(T272="Ready",MIN(U272,MAX(0,G272-SUMIFS($U$272:$U$276,$O$272:$O$276,"&lt;"&amp;O272))),"n.a.")</x:f>
        <x:v>0</x:v>
      </x:c>
      <x:c r="Q272" s="22" t="n">
        <x:f>IF(T272="Ready",ROUND(N272+P272,2),"n.a.")</x:f>
        <x:v>0</x:v>
      </x:c>
      <x:c r="R272" s="22" t="n">
        <x:f>IF(T272="Ready",ROUND(Q272-M272,2),"n.a.")</x:f>
        <x:v>0</x:v>
      </x:c>
      <x:c r="S272" s="22" t="n">
        <x:f>IF(T272="Ready",MAX(0,ROUND(I272+M272-Q272,2)),"n.a.")</x:f>
        <x:v>0</x:v>
      </x:c>
      <x:c r="T272" s="22" t="str">
        <x:f>IF(AND(COUNT($I$272:$I$276)=5,COUNT(E272:F272)=2),IF(E272&gt;=F272,"Ready","Budget below minima"),"Check inputs")</x:f>
        <x:v>Ready</x:v>
      </x:c>
      <x:c r="U272" s="22" t="n">
        <x:f>IF(COUNT(I272,M272,N272)=3,MAX(0,ROUND(I272+M272-N272,2)),"n.a.")</x:f>
        <x:v>0</x:v>
      </x:c>
    </x:row>
    <x:row r="273" ht="22" customHeight="1">
      <x:c r="A273" s="2"/>
      <x:c r="B273" s="2"/>
      <x:c r="C273" s="27" t="n">
        <x:f>54</x:f>
        <x:v>54</x:v>
      </x:c>
      <x:c r="D273" s="28" t="n">
        <x:f>IF(ISNUMBER('Inputs'!$D$7),EDATE('Inputs'!$D$7,53),"n.a.")</x:f>
        <x:v>47939</x:v>
      </x:c>
      <x:c r="E273" s="26" t="n">
        <x:f>IF('Inputs'!$D$9&lt;&gt;"Ready","n.a.",IF(ISNUMBER('Inputs'!E72),IF('Inputs'!E72&gt;=0,'Inputs'!E72,"n.a."),IF('Inputs'!E72="",'Inputs'!$D$6,"n.a.")))</x:f>
        <x:v>500</x:v>
      </x:c>
      <x:c r="F273" s="22" t="n">
        <x:f>IF(COUNT($N$272:$N$276)=5,SUM($N$272:$N$276),"n.a.")</x:f>
        <x:v>0</x:v>
      </x:c>
      <x:c r="G273" s="22" t="n">
        <x:f>IF(COUNT(E273:F273)=2,MAX(0,E273-F273),"n.a.")</x:f>
        <x:v>500</x:v>
      </x:c>
      <x:c r="H273" s="26" t="str">
        <x:f>'Inputs'!C12</x:f>
        <x:v>Card B</x:v>
      </x:c>
      <x:c r="I273" s="26" t="n">
        <x:f>S268</x:f>
        <x:v>0</x:v>
      </x:c>
      <x:c r="J273" s="29" t="n">
        <x:f>IF('Inputs'!$D$9="Ready",'Inputs'!E12,"n.a.")</x:f>
        <x:v>0.18</x:v>
      </x:c>
      <x:c r="K273" s="26" t="n">
        <x:f>IF('Inputs'!$D$9="Ready",'Inputs'!F12,"n.a.")</x:f>
        <x:v>60</x:v>
      </x:c>
      <x:c r="L273" s="29" t="n">
        <x:f>IF('Inputs'!$D$9="Ready",'Inputs'!G12,"n.a.")</x:f>
        <x:v>0.02</x:v>
      </x:c>
      <x:c r="M273" s="22" t="n">
        <x:f>IF(COUNT(I273:L273)=4,ROUND(I273*J273/12,2),"n.a.")</x:f>
        <x:v>0</x:v>
      </x:c>
      <x:c r="N273" s="22" t="n">
        <x:f>IF(COUNT(I273:M273)=5,MIN(I273+M273,ROUND(MAX(K273,I273*L273+M273),2)),"n.a.")</x:f>
        <x:v>0</x:v>
      </x:c>
      <x:c r="O273" s="30" t="n">
        <x:f>IF(COUNT($I$272:$I$276)&lt;&gt;5,"n.a.",IF(I273=0,6,IF('Inputs'!$D$5=1,COUNTIFS($I$272:$I$276,"&gt;0",$I$272:$I$276,"&lt;"&amp;I273)+COUNTIFS($I$272:I273,I273),COUNTIFS($I$272:$I$276,"&gt;0",$J$272:$J$276,"&gt;"&amp;J273)+COUNTIFS($I$272:I273,"&gt;0",$J$272:J273,J273))))</x:f>
        <x:v>6</x:v>
      </x:c>
      <x:c r="P273" s="22" t="n">
        <x:f>IF(T273="Ready",MIN(U273,MAX(0,G273-SUMIFS($U$272:$U$276,$O$272:$O$276,"&lt;"&amp;O273))),"n.a.")</x:f>
        <x:v>0</x:v>
      </x:c>
      <x:c r="Q273" s="22" t="n">
        <x:f>IF(T273="Ready",ROUND(N273+P273,2),"n.a.")</x:f>
        <x:v>0</x:v>
      </x:c>
      <x:c r="R273" s="22" t="n">
        <x:f>IF(T273="Ready",ROUND(Q273-M273,2),"n.a.")</x:f>
        <x:v>0</x:v>
      </x:c>
      <x:c r="S273" s="22" t="n">
        <x:f>IF(T273="Ready",MAX(0,ROUND(I273+M273-Q273,2)),"n.a.")</x:f>
        <x:v>0</x:v>
      </x:c>
      <x:c r="T273" s="22" t="str">
        <x:f>IF(AND(COUNT($I$272:$I$276)=5,COUNT(E273:F273)=2),IF(E273&gt;=F273,"Ready","Budget below minima"),"Check inputs")</x:f>
        <x:v>Ready</x:v>
      </x:c>
      <x:c r="U273" s="22" t="n">
        <x:f>IF(COUNT(I273,M273,N273)=3,MAX(0,ROUND(I273+M273-N273,2)),"n.a.")</x:f>
        <x:v>0</x:v>
      </x:c>
    </x:row>
    <x:row r="274" ht="22" customHeight="1">
      <x:c r="A274" s="2"/>
      <x:c r="B274" s="2"/>
      <x:c r="C274" s="27" t="n">
        <x:f>54</x:f>
        <x:v>54</x:v>
      </x:c>
      <x:c r="D274" s="28" t="n">
        <x:f>IF(ISNUMBER('Inputs'!$D$7),EDATE('Inputs'!$D$7,53),"n.a.")</x:f>
        <x:v>47939</x:v>
      </x:c>
      <x:c r="E274" s="26" t="n">
        <x:f>IF('Inputs'!$D$9&lt;&gt;"Ready","n.a.",IF(ISNUMBER('Inputs'!E72),IF('Inputs'!E72&gt;=0,'Inputs'!E72,"n.a."),IF('Inputs'!E72="",'Inputs'!$D$6,"n.a.")))</x:f>
        <x:v>500</x:v>
      </x:c>
      <x:c r="F274" s="22" t="n">
        <x:f>IF(COUNT($N$272:$N$276)=5,SUM($N$272:$N$276),"n.a.")</x:f>
        <x:v>0</x:v>
      </x:c>
      <x:c r="G274" s="22" t="n">
        <x:f>IF(COUNT(E274:F274)=2,MAX(0,E274-F274),"n.a.")</x:f>
        <x:v>500</x:v>
      </x:c>
      <x:c r="H274" s="26" t="str">
        <x:f>'Inputs'!C13</x:f>
        <x:v>Loan C</x:v>
      </x:c>
      <x:c r="I274" s="26" t="n">
        <x:f>S269</x:f>
        <x:v>0</x:v>
      </x:c>
      <x:c r="J274" s="29" t="n">
        <x:f>IF('Inputs'!$D$9="Ready",'Inputs'!E13,"n.a.")</x:f>
        <x:v>0.08</x:v>
      </x:c>
      <x:c r="K274" s="26" t="n">
        <x:f>IF('Inputs'!$D$9="Ready",'Inputs'!F13,"n.a.")</x:f>
        <x:v>150</x:v>
      </x:c>
      <x:c r="L274" s="29" t="n">
        <x:f>IF('Inputs'!$D$9="Ready",'Inputs'!G13,"n.a.")</x:f>
        <x:v>0</x:v>
      </x:c>
      <x:c r="M274" s="22" t="n">
        <x:f>IF(COUNT(I274:L274)=4,ROUND(I274*J274/12,2),"n.a.")</x:f>
        <x:v>0</x:v>
      </x:c>
      <x:c r="N274" s="22" t="n">
        <x:f>IF(COUNT(I274:M274)=5,MIN(I274+M274,ROUND(MAX(K274,I274*L274+M274),2)),"n.a.")</x:f>
        <x:v>0</x:v>
      </x:c>
      <x:c r="O274" s="30" t="n">
        <x:f>IF(COUNT($I$272:$I$276)&lt;&gt;5,"n.a.",IF(I274=0,6,IF('Inputs'!$D$5=1,COUNTIFS($I$272:$I$276,"&gt;0",$I$272:$I$276,"&lt;"&amp;I274)+COUNTIFS($I$272:I274,I274),COUNTIFS($I$272:$I$276,"&gt;0",$J$272:$J$276,"&gt;"&amp;J274)+COUNTIFS($I$272:I274,"&gt;0",$J$272:J274,J274))))</x:f>
        <x:v>6</x:v>
      </x:c>
      <x:c r="P274" s="22" t="n">
        <x:f>IF(T274="Ready",MIN(U274,MAX(0,G274-SUMIFS($U$272:$U$276,$O$272:$O$276,"&lt;"&amp;O274))),"n.a.")</x:f>
        <x:v>0</x:v>
      </x:c>
      <x:c r="Q274" s="22" t="n">
        <x:f>IF(T274="Ready",ROUND(N274+P274,2),"n.a.")</x:f>
        <x:v>0</x:v>
      </x:c>
      <x:c r="R274" s="22" t="n">
        <x:f>IF(T274="Ready",ROUND(Q274-M274,2),"n.a.")</x:f>
        <x:v>0</x:v>
      </x:c>
      <x:c r="S274" s="22" t="n">
        <x:f>IF(T274="Ready",MAX(0,ROUND(I274+M274-Q274,2)),"n.a.")</x:f>
        <x:v>0</x:v>
      </x:c>
      <x:c r="T274" s="22" t="str">
        <x:f>IF(AND(COUNT($I$272:$I$276)=5,COUNT(E274:F274)=2),IF(E274&gt;=F274,"Ready","Budget below minima"),"Check inputs")</x:f>
        <x:v>Ready</x:v>
      </x:c>
      <x:c r="U274" s="22" t="n">
        <x:f>IF(COUNT(I274,M274,N274)=3,MAX(0,ROUND(I274+M274-N274,2)),"n.a.")</x:f>
        <x:v>0</x:v>
      </x:c>
    </x:row>
    <x:row r="275" ht="22" customHeight="1">
      <x:c r="A275" s="2"/>
      <x:c r="B275" s="2"/>
      <x:c r="C275" s="27" t="n">
        <x:f>54</x:f>
        <x:v>54</x:v>
      </x:c>
      <x:c r="D275" s="28" t="n">
        <x:f>IF(ISNUMBER('Inputs'!$D$7),EDATE('Inputs'!$D$7,53),"n.a.")</x:f>
        <x:v>47939</x:v>
      </x:c>
      <x:c r="E275" s="26" t="n">
        <x:f>IF('Inputs'!$D$9&lt;&gt;"Ready","n.a.",IF(ISNUMBER('Inputs'!E72),IF('Inputs'!E72&gt;=0,'Inputs'!E72,"n.a."),IF('Inputs'!E72="",'Inputs'!$D$6,"n.a.")))</x:f>
        <x:v>500</x:v>
      </x:c>
      <x:c r="F275" s="22" t="n">
        <x:f>IF(COUNT($N$272:$N$276)=5,SUM($N$272:$N$276),"n.a.")</x:f>
        <x:v>0</x:v>
      </x:c>
      <x:c r="G275" s="22" t="n">
        <x:f>IF(COUNT(E275:F275)=2,MAX(0,E275-F275),"n.a.")</x:f>
        <x:v>500</x:v>
      </x:c>
      <x:c r="H275" s="26" t="str">
        <x:f>'Inputs'!C14</x:f>
        <x:v>Unused 4</x:v>
      </x:c>
      <x:c r="I275" s="26" t="n">
        <x:f>S270</x:f>
        <x:v>0</x:v>
      </x:c>
      <x:c r="J275" s="29" t="n">
        <x:f>IF('Inputs'!$D$9="Ready",'Inputs'!E14,"n.a.")</x:f>
        <x:v>0</x:v>
      </x:c>
      <x:c r="K275" s="26" t="n">
        <x:f>IF('Inputs'!$D$9="Ready",'Inputs'!F14,"n.a.")</x:f>
        <x:v>0</x:v>
      </x:c>
      <x:c r="L275" s="29" t="n">
        <x:f>IF('Inputs'!$D$9="Ready",'Inputs'!G14,"n.a.")</x:f>
        <x:v>0</x:v>
      </x:c>
      <x:c r="M275" s="22" t="n">
        <x:f>IF(COUNT(I275:L275)=4,ROUND(I275*J275/12,2),"n.a.")</x:f>
        <x:v>0</x:v>
      </x:c>
      <x:c r="N275" s="22" t="n">
        <x:f>IF(COUNT(I275:M275)=5,MIN(I275+M275,ROUND(MAX(K275,I275*L275+M275),2)),"n.a.")</x:f>
        <x:v>0</x:v>
      </x:c>
      <x:c r="O275" s="30" t="n">
        <x:f>IF(COUNT($I$272:$I$276)&lt;&gt;5,"n.a.",IF(I275=0,6,IF('Inputs'!$D$5=1,COUNTIFS($I$272:$I$276,"&gt;0",$I$272:$I$276,"&lt;"&amp;I275)+COUNTIFS($I$272:I275,I275),COUNTIFS($I$272:$I$276,"&gt;0",$J$272:$J$276,"&gt;"&amp;J275)+COUNTIFS($I$272:I275,"&gt;0",$J$272:J275,J275))))</x:f>
        <x:v>6</x:v>
      </x:c>
      <x:c r="P275" s="22" t="n">
        <x:f>IF(T275="Ready",MIN(U275,MAX(0,G275-SUMIFS($U$272:$U$276,$O$272:$O$276,"&lt;"&amp;O275))),"n.a.")</x:f>
        <x:v>0</x:v>
      </x:c>
      <x:c r="Q275" s="22" t="n">
        <x:f>IF(T275="Ready",ROUND(N275+P275,2),"n.a.")</x:f>
        <x:v>0</x:v>
      </x:c>
      <x:c r="R275" s="22" t="n">
        <x:f>IF(T275="Ready",ROUND(Q275-M275,2),"n.a.")</x:f>
        <x:v>0</x:v>
      </x:c>
      <x:c r="S275" s="22" t="n">
        <x:f>IF(T275="Ready",MAX(0,ROUND(I275+M275-Q275,2)),"n.a.")</x:f>
        <x:v>0</x:v>
      </x:c>
      <x:c r="T275" s="22" t="str">
        <x:f>IF(AND(COUNT($I$272:$I$276)=5,COUNT(E275:F275)=2),IF(E275&gt;=F275,"Ready","Budget below minima"),"Check inputs")</x:f>
        <x:v>Ready</x:v>
      </x:c>
      <x:c r="U275" s="22" t="n">
        <x:f>IF(COUNT(I275,M275,N275)=3,MAX(0,ROUND(I275+M275-N275,2)),"n.a.")</x:f>
        <x:v>0</x:v>
      </x:c>
    </x:row>
    <x:row r="276" ht="22" customHeight="1">
      <x:c r="A276" s="2"/>
      <x:c r="B276" s="2"/>
      <x:c r="C276" s="27" t="n">
        <x:f>54</x:f>
        <x:v>54</x:v>
      </x:c>
      <x:c r="D276" s="28" t="n">
        <x:f>IF(ISNUMBER('Inputs'!$D$7),EDATE('Inputs'!$D$7,53),"n.a.")</x:f>
        <x:v>47939</x:v>
      </x:c>
      <x:c r="E276" s="26" t="n">
        <x:f>IF('Inputs'!$D$9&lt;&gt;"Ready","n.a.",IF(ISNUMBER('Inputs'!E72),IF('Inputs'!E72&gt;=0,'Inputs'!E72,"n.a."),IF('Inputs'!E72="",'Inputs'!$D$6,"n.a.")))</x:f>
        <x:v>500</x:v>
      </x:c>
      <x:c r="F276" s="22" t="n">
        <x:f>IF(COUNT($N$272:$N$276)=5,SUM($N$272:$N$276),"n.a.")</x:f>
        <x:v>0</x:v>
      </x:c>
      <x:c r="G276" s="22" t="n">
        <x:f>IF(COUNT(E276:F276)=2,MAX(0,E276-F276),"n.a.")</x:f>
        <x:v>500</x:v>
      </x:c>
      <x:c r="H276" s="26" t="str">
        <x:f>'Inputs'!C15</x:f>
        <x:v>Unused 5</x:v>
      </x:c>
      <x:c r="I276" s="26" t="n">
        <x:f>S271</x:f>
        <x:v>0</x:v>
      </x:c>
      <x:c r="J276" s="29" t="n">
        <x:f>IF('Inputs'!$D$9="Ready",'Inputs'!E15,"n.a.")</x:f>
        <x:v>0</x:v>
      </x:c>
      <x:c r="K276" s="26" t="n">
        <x:f>IF('Inputs'!$D$9="Ready",'Inputs'!F15,"n.a.")</x:f>
        <x:v>0</x:v>
      </x:c>
      <x:c r="L276" s="29" t="n">
        <x:f>IF('Inputs'!$D$9="Ready",'Inputs'!G15,"n.a.")</x:f>
        <x:v>0</x:v>
      </x:c>
      <x:c r="M276" s="22" t="n">
        <x:f>IF(COUNT(I276:L276)=4,ROUND(I276*J276/12,2),"n.a.")</x:f>
        <x:v>0</x:v>
      </x:c>
      <x:c r="N276" s="22" t="n">
        <x:f>IF(COUNT(I276:M276)=5,MIN(I276+M276,ROUND(MAX(K276,I276*L276+M276),2)),"n.a.")</x:f>
        <x:v>0</x:v>
      </x:c>
      <x:c r="O276" s="30" t="n">
        <x:f>IF(COUNT($I$272:$I$276)&lt;&gt;5,"n.a.",IF(I276=0,6,IF('Inputs'!$D$5=1,COUNTIFS($I$272:$I$276,"&gt;0",$I$272:$I$276,"&lt;"&amp;I276)+COUNTIFS($I$272:I276,I276),COUNTIFS($I$272:$I$276,"&gt;0",$J$272:$J$276,"&gt;"&amp;J276)+COUNTIFS($I$272:I276,"&gt;0",$J$272:J276,J276))))</x:f>
        <x:v>6</x:v>
      </x:c>
      <x:c r="P276" s="22" t="n">
        <x:f>IF(T276="Ready",MIN(U276,MAX(0,G276-SUMIFS($U$272:$U$276,$O$272:$O$276,"&lt;"&amp;O276))),"n.a.")</x:f>
        <x:v>0</x:v>
      </x:c>
      <x:c r="Q276" s="22" t="n">
        <x:f>IF(T276="Ready",ROUND(N276+P276,2),"n.a.")</x:f>
        <x:v>0</x:v>
      </x:c>
      <x:c r="R276" s="22" t="n">
        <x:f>IF(T276="Ready",ROUND(Q276-M276,2),"n.a.")</x:f>
        <x:v>0</x:v>
      </x:c>
      <x:c r="S276" s="22" t="n">
        <x:f>IF(T276="Ready",MAX(0,ROUND(I276+M276-Q276,2)),"n.a.")</x:f>
        <x:v>0</x:v>
      </x:c>
      <x:c r="T276" s="22" t="str">
        <x:f>IF(AND(COUNT($I$272:$I$276)=5,COUNT(E276:F276)=2),IF(E276&gt;=F276,"Ready","Budget below minima"),"Check inputs")</x:f>
        <x:v>Ready</x:v>
      </x:c>
      <x:c r="U276" s="22" t="n">
        <x:f>IF(COUNT(I276,M276,N276)=3,MAX(0,ROUND(I276+M276-N276,2)),"n.a.")</x:f>
        <x:v>0</x:v>
      </x:c>
    </x:row>
    <x:row r="277" ht="22" customHeight="1">
      <x:c r="A277" s="2"/>
      <x:c r="B277" s="2"/>
      <x:c r="C277" s="27" t="n">
        <x:f>55</x:f>
        <x:v>55</x:v>
      </x:c>
      <x:c r="D277" s="28" t="n">
        <x:f>IF(ISNUMBER('Inputs'!$D$7),EDATE('Inputs'!$D$7,54),"n.a.")</x:f>
        <x:v>47969</x:v>
      </x:c>
      <x:c r="E277" s="26" t="n">
        <x:f>IF('Inputs'!$D$9&lt;&gt;"Ready","n.a.",IF(ISNUMBER('Inputs'!E73),IF('Inputs'!E73&gt;=0,'Inputs'!E73,"n.a."),IF('Inputs'!E73="",'Inputs'!$D$6,"n.a.")))</x:f>
        <x:v>500</x:v>
      </x:c>
      <x:c r="F277" s="22" t="n">
        <x:f>IF(COUNT($N$277:$N$281)=5,SUM($N$277:$N$281),"n.a.")</x:f>
        <x:v>0</x:v>
      </x:c>
      <x:c r="G277" s="22" t="n">
        <x:f>IF(COUNT(E277:F277)=2,MAX(0,E277-F277),"n.a.")</x:f>
        <x:v>500</x:v>
      </x:c>
      <x:c r="H277" s="26" t="str">
        <x:f>'Inputs'!C11</x:f>
        <x:v>Card A</x:v>
      </x:c>
      <x:c r="I277" s="26" t="n">
        <x:f>S272</x:f>
        <x:v>0</x:v>
      </x:c>
      <x:c r="J277" s="29" t="n">
        <x:f>IF('Inputs'!$D$9="Ready",'Inputs'!E11,"n.a.")</x:f>
        <x:v>0.24</x:v>
      </x:c>
      <x:c r="K277" s="26" t="n">
        <x:f>IF('Inputs'!$D$9="Ready",'Inputs'!F11,"n.a.")</x:f>
        <x:v>35</x:v>
      </x:c>
      <x:c r="L277" s="29" t="n">
        <x:f>IF('Inputs'!$D$9="Ready",'Inputs'!G11,"n.a.")</x:f>
        <x:v>0.02</x:v>
      </x:c>
      <x:c r="M277" s="22" t="n">
        <x:f>IF(COUNT(I277:L277)=4,ROUND(I277*J277/12,2),"n.a.")</x:f>
        <x:v>0</x:v>
      </x:c>
      <x:c r="N277" s="22" t="n">
        <x:f>IF(COUNT(I277:M277)=5,MIN(I277+M277,ROUND(MAX(K277,I277*L277+M277),2)),"n.a.")</x:f>
        <x:v>0</x:v>
      </x:c>
      <x:c r="O277" s="30" t="n">
        <x:f>IF(COUNT($I$277:$I$281)&lt;&gt;5,"n.a.",IF(I277=0,6,IF('Inputs'!$D$5=1,COUNTIFS($I$277:$I$281,"&gt;0",$I$277:$I$281,"&lt;"&amp;I277)+COUNTIFS($I$277:I277,I277),COUNTIFS($I$277:$I$281,"&gt;0",$J$277:$J$281,"&gt;"&amp;J277)+COUNTIFS($I$277:I277,"&gt;0",$J$277:J277,J277))))</x:f>
        <x:v>6</x:v>
      </x:c>
      <x:c r="P277" s="22" t="n">
        <x:f>IF(T277="Ready",MIN(U277,MAX(0,G277-SUMIFS($U$277:$U$281,$O$277:$O$281,"&lt;"&amp;O277))),"n.a.")</x:f>
        <x:v>0</x:v>
      </x:c>
      <x:c r="Q277" s="22" t="n">
        <x:f>IF(T277="Ready",ROUND(N277+P277,2),"n.a.")</x:f>
        <x:v>0</x:v>
      </x:c>
      <x:c r="R277" s="22" t="n">
        <x:f>IF(T277="Ready",ROUND(Q277-M277,2),"n.a.")</x:f>
        <x:v>0</x:v>
      </x:c>
      <x:c r="S277" s="22" t="n">
        <x:f>IF(T277="Ready",MAX(0,ROUND(I277+M277-Q277,2)),"n.a.")</x:f>
        <x:v>0</x:v>
      </x:c>
      <x:c r="T277" s="22" t="str">
        <x:f>IF(AND(COUNT($I$277:$I$281)=5,COUNT(E277:F277)=2),IF(E277&gt;=F277,"Ready","Budget below minima"),"Check inputs")</x:f>
        <x:v>Ready</x:v>
      </x:c>
      <x:c r="U277" s="22" t="n">
        <x:f>IF(COUNT(I277,M277,N277)=3,MAX(0,ROUND(I277+M277-N277,2)),"n.a.")</x:f>
        <x:v>0</x:v>
      </x:c>
    </x:row>
    <x:row r="278" ht="22" customHeight="1">
      <x:c r="A278" s="2"/>
      <x:c r="B278" s="2"/>
      <x:c r="C278" s="27" t="n">
        <x:f>55</x:f>
        <x:v>55</x:v>
      </x:c>
      <x:c r="D278" s="28" t="n">
        <x:f>IF(ISNUMBER('Inputs'!$D$7),EDATE('Inputs'!$D$7,54),"n.a.")</x:f>
        <x:v>47969</x:v>
      </x:c>
      <x:c r="E278" s="26" t="n">
        <x:f>IF('Inputs'!$D$9&lt;&gt;"Ready","n.a.",IF(ISNUMBER('Inputs'!E73),IF('Inputs'!E73&gt;=0,'Inputs'!E73,"n.a."),IF('Inputs'!E73="",'Inputs'!$D$6,"n.a.")))</x:f>
        <x:v>500</x:v>
      </x:c>
      <x:c r="F278" s="22" t="n">
        <x:f>IF(COUNT($N$277:$N$281)=5,SUM($N$277:$N$281),"n.a.")</x:f>
        <x:v>0</x:v>
      </x:c>
      <x:c r="G278" s="22" t="n">
        <x:f>IF(COUNT(E278:F278)=2,MAX(0,E278-F278),"n.a.")</x:f>
        <x:v>500</x:v>
      </x:c>
      <x:c r="H278" s="26" t="str">
        <x:f>'Inputs'!C12</x:f>
        <x:v>Card B</x:v>
      </x:c>
      <x:c r="I278" s="26" t="n">
        <x:f>S273</x:f>
        <x:v>0</x:v>
      </x:c>
      <x:c r="J278" s="29" t="n">
        <x:f>IF('Inputs'!$D$9="Ready",'Inputs'!E12,"n.a.")</x:f>
        <x:v>0.18</x:v>
      </x:c>
      <x:c r="K278" s="26" t="n">
        <x:f>IF('Inputs'!$D$9="Ready",'Inputs'!F12,"n.a.")</x:f>
        <x:v>60</x:v>
      </x:c>
      <x:c r="L278" s="29" t="n">
        <x:f>IF('Inputs'!$D$9="Ready",'Inputs'!G12,"n.a.")</x:f>
        <x:v>0.02</x:v>
      </x:c>
      <x:c r="M278" s="22" t="n">
        <x:f>IF(COUNT(I278:L278)=4,ROUND(I278*J278/12,2),"n.a.")</x:f>
        <x:v>0</x:v>
      </x:c>
      <x:c r="N278" s="22" t="n">
        <x:f>IF(COUNT(I278:M278)=5,MIN(I278+M278,ROUND(MAX(K278,I278*L278+M278),2)),"n.a.")</x:f>
        <x:v>0</x:v>
      </x:c>
      <x:c r="O278" s="30" t="n">
        <x:f>IF(COUNT($I$277:$I$281)&lt;&gt;5,"n.a.",IF(I278=0,6,IF('Inputs'!$D$5=1,COUNTIFS($I$277:$I$281,"&gt;0",$I$277:$I$281,"&lt;"&amp;I278)+COUNTIFS($I$277:I278,I278),COUNTIFS($I$277:$I$281,"&gt;0",$J$277:$J$281,"&gt;"&amp;J278)+COUNTIFS($I$277:I278,"&gt;0",$J$277:J278,J278))))</x:f>
        <x:v>6</x:v>
      </x:c>
      <x:c r="P278" s="22" t="n">
        <x:f>IF(T278="Ready",MIN(U278,MAX(0,G278-SUMIFS($U$277:$U$281,$O$277:$O$281,"&lt;"&amp;O278))),"n.a.")</x:f>
        <x:v>0</x:v>
      </x:c>
      <x:c r="Q278" s="22" t="n">
        <x:f>IF(T278="Ready",ROUND(N278+P278,2),"n.a.")</x:f>
        <x:v>0</x:v>
      </x:c>
      <x:c r="R278" s="22" t="n">
        <x:f>IF(T278="Ready",ROUND(Q278-M278,2),"n.a.")</x:f>
        <x:v>0</x:v>
      </x:c>
      <x:c r="S278" s="22" t="n">
        <x:f>IF(T278="Ready",MAX(0,ROUND(I278+M278-Q278,2)),"n.a.")</x:f>
        <x:v>0</x:v>
      </x:c>
      <x:c r="T278" s="22" t="str">
        <x:f>IF(AND(COUNT($I$277:$I$281)=5,COUNT(E278:F278)=2),IF(E278&gt;=F278,"Ready","Budget below minima"),"Check inputs")</x:f>
        <x:v>Ready</x:v>
      </x:c>
      <x:c r="U278" s="22" t="n">
        <x:f>IF(COUNT(I278,M278,N278)=3,MAX(0,ROUND(I278+M278-N278,2)),"n.a.")</x:f>
        <x:v>0</x:v>
      </x:c>
    </x:row>
    <x:row r="279" ht="22" customHeight="1">
      <x:c r="A279" s="2"/>
      <x:c r="B279" s="2"/>
      <x:c r="C279" s="27" t="n">
        <x:f>55</x:f>
        <x:v>55</x:v>
      </x:c>
      <x:c r="D279" s="28" t="n">
        <x:f>IF(ISNUMBER('Inputs'!$D$7),EDATE('Inputs'!$D$7,54),"n.a.")</x:f>
        <x:v>47969</x:v>
      </x:c>
      <x:c r="E279" s="26" t="n">
        <x:f>IF('Inputs'!$D$9&lt;&gt;"Ready","n.a.",IF(ISNUMBER('Inputs'!E73),IF('Inputs'!E73&gt;=0,'Inputs'!E73,"n.a."),IF('Inputs'!E73="",'Inputs'!$D$6,"n.a.")))</x:f>
        <x:v>500</x:v>
      </x:c>
      <x:c r="F279" s="22" t="n">
        <x:f>IF(COUNT($N$277:$N$281)=5,SUM($N$277:$N$281),"n.a.")</x:f>
        <x:v>0</x:v>
      </x:c>
      <x:c r="G279" s="22" t="n">
        <x:f>IF(COUNT(E279:F279)=2,MAX(0,E279-F279),"n.a.")</x:f>
        <x:v>500</x:v>
      </x:c>
      <x:c r="H279" s="26" t="str">
        <x:f>'Inputs'!C13</x:f>
        <x:v>Loan C</x:v>
      </x:c>
      <x:c r="I279" s="26" t="n">
        <x:f>S274</x:f>
        <x:v>0</x:v>
      </x:c>
      <x:c r="J279" s="29" t="n">
        <x:f>IF('Inputs'!$D$9="Ready",'Inputs'!E13,"n.a.")</x:f>
        <x:v>0.08</x:v>
      </x:c>
      <x:c r="K279" s="26" t="n">
        <x:f>IF('Inputs'!$D$9="Ready",'Inputs'!F13,"n.a.")</x:f>
        <x:v>150</x:v>
      </x:c>
      <x:c r="L279" s="29" t="n">
        <x:f>IF('Inputs'!$D$9="Ready",'Inputs'!G13,"n.a.")</x:f>
        <x:v>0</x:v>
      </x:c>
      <x:c r="M279" s="22" t="n">
        <x:f>IF(COUNT(I279:L279)=4,ROUND(I279*J279/12,2),"n.a.")</x:f>
        <x:v>0</x:v>
      </x:c>
      <x:c r="N279" s="22" t="n">
        <x:f>IF(COUNT(I279:M279)=5,MIN(I279+M279,ROUND(MAX(K279,I279*L279+M279),2)),"n.a.")</x:f>
        <x:v>0</x:v>
      </x:c>
      <x:c r="O279" s="30" t="n">
        <x:f>IF(COUNT($I$277:$I$281)&lt;&gt;5,"n.a.",IF(I279=0,6,IF('Inputs'!$D$5=1,COUNTIFS($I$277:$I$281,"&gt;0",$I$277:$I$281,"&lt;"&amp;I279)+COUNTIFS($I$277:I279,I279),COUNTIFS($I$277:$I$281,"&gt;0",$J$277:$J$281,"&gt;"&amp;J279)+COUNTIFS($I$277:I279,"&gt;0",$J$277:J279,J279))))</x:f>
        <x:v>6</x:v>
      </x:c>
      <x:c r="P279" s="22" t="n">
        <x:f>IF(T279="Ready",MIN(U279,MAX(0,G279-SUMIFS($U$277:$U$281,$O$277:$O$281,"&lt;"&amp;O279))),"n.a.")</x:f>
        <x:v>0</x:v>
      </x:c>
      <x:c r="Q279" s="22" t="n">
        <x:f>IF(T279="Ready",ROUND(N279+P279,2),"n.a.")</x:f>
        <x:v>0</x:v>
      </x:c>
      <x:c r="R279" s="22" t="n">
        <x:f>IF(T279="Ready",ROUND(Q279-M279,2),"n.a.")</x:f>
        <x:v>0</x:v>
      </x:c>
      <x:c r="S279" s="22" t="n">
        <x:f>IF(T279="Ready",MAX(0,ROUND(I279+M279-Q279,2)),"n.a.")</x:f>
        <x:v>0</x:v>
      </x:c>
      <x:c r="T279" s="22" t="str">
        <x:f>IF(AND(COUNT($I$277:$I$281)=5,COUNT(E279:F279)=2),IF(E279&gt;=F279,"Ready","Budget below minima"),"Check inputs")</x:f>
        <x:v>Ready</x:v>
      </x:c>
      <x:c r="U279" s="22" t="n">
        <x:f>IF(COUNT(I279,M279,N279)=3,MAX(0,ROUND(I279+M279-N279,2)),"n.a.")</x:f>
        <x:v>0</x:v>
      </x:c>
    </x:row>
    <x:row r="280" ht="22" customHeight="1">
      <x:c r="A280" s="2"/>
      <x:c r="B280" s="2"/>
      <x:c r="C280" s="27" t="n">
        <x:f>55</x:f>
        <x:v>55</x:v>
      </x:c>
      <x:c r="D280" s="28" t="n">
        <x:f>IF(ISNUMBER('Inputs'!$D$7),EDATE('Inputs'!$D$7,54),"n.a.")</x:f>
        <x:v>47969</x:v>
      </x:c>
      <x:c r="E280" s="26" t="n">
        <x:f>IF('Inputs'!$D$9&lt;&gt;"Ready","n.a.",IF(ISNUMBER('Inputs'!E73),IF('Inputs'!E73&gt;=0,'Inputs'!E73,"n.a."),IF('Inputs'!E73="",'Inputs'!$D$6,"n.a.")))</x:f>
        <x:v>500</x:v>
      </x:c>
      <x:c r="F280" s="22" t="n">
        <x:f>IF(COUNT($N$277:$N$281)=5,SUM($N$277:$N$281),"n.a.")</x:f>
        <x:v>0</x:v>
      </x:c>
      <x:c r="G280" s="22" t="n">
        <x:f>IF(COUNT(E280:F280)=2,MAX(0,E280-F280),"n.a.")</x:f>
        <x:v>500</x:v>
      </x:c>
      <x:c r="H280" s="26" t="str">
        <x:f>'Inputs'!C14</x:f>
        <x:v>Unused 4</x:v>
      </x:c>
      <x:c r="I280" s="26" t="n">
        <x:f>S275</x:f>
        <x:v>0</x:v>
      </x:c>
      <x:c r="J280" s="29" t="n">
        <x:f>IF('Inputs'!$D$9="Ready",'Inputs'!E14,"n.a.")</x:f>
        <x:v>0</x:v>
      </x:c>
      <x:c r="K280" s="26" t="n">
        <x:f>IF('Inputs'!$D$9="Ready",'Inputs'!F14,"n.a.")</x:f>
        <x:v>0</x:v>
      </x:c>
      <x:c r="L280" s="29" t="n">
        <x:f>IF('Inputs'!$D$9="Ready",'Inputs'!G14,"n.a.")</x:f>
        <x:v>0</x:v>
      </x:c>
      <x:c r="M280" s="22" t="n">
        <x:f>IF(COUNT(I280:L280)=4,ROUND(I280*J280/12,2),"n.a.")</x:f>
        <x:v>0</x:v>
      </x:c>
      <x:c r="N280" s="22" t="n">
        <x:f>IF(COUNT(I280:M280)=5,MIN(I280+M280,ROUND(MAX(K280,I280*L280+M280),2)),"n.a.")</x:f>
        <x:v>0</x:v>
      </x:c>
      <x:c r="O280" s="30" t="n">
        <x:f>IF(COUNT($I$277:$I$281)&lt;&gt;5,"n.a.",IF(I280=0,6,IF('Inputs'!$D$5=1,COUNTIFS($I$277:$I$281,"&gt;0",$I$277:$I$281,"&lt;"&amp;I280)+COUNTIFS($I$277:I280,I280),COUNTIFS($I$277:$I$281,"&gt;0",$J$277:$J$281,"&gt;"&amp;J280)+COUNTIFS($I$277:I280,"&gt;0",$J$277:J280,J280))))</x:f>
        <x:v>6</x:v>
      </x:c>
      <x:c r="P280" s="22" t="n">
        <x:f>IF(T280="Ready",MIN(U280,MAX(0,G280-SUMIFS($U$277:$U$281,$O$277:$O$281,"&lt;"&amp;O280))),"n.a.")</x:f>
        <x:v>0</x:v>
      </x:c>
      <x:c r="Q280" s="22" t="n">
        <x:f>IF(T280="Ready",ROUND(N280+P280,2),"n.a.")</x:f>
        <x:v>0</x:v>
      </x:c>
      <x:c r="R280" s="22" t="n">
        <x:f>IF(T280="Ready",ROUND(Q280-M280,2),"n.a.")</x:f>
        <x:v>0</x:v>
      </x:c>
      <x:c r="S280" s="22" t="n">
        <x:f>IF(T280="Ready",MAX(0,ROUND(I280+M280-Q280,2)),"n.a.")</x:f>
        <x:v>0</x:v>
      </x:c>
      <x:c r="T280" s="22" t="str">
        <x:f>IF(AND(COUNT($I$277:$I$281)=5,COUNT(E280:F280)=2),IF(E280&gt;=F280,"Ready","Budget below minima"),"Check inputs")</x:f>
        <x:v>Ready</x:v>
      </x:c>
      <x:c r="U280" s="22" t="n">
        <x:f>IF(COUNT(I280,M280,N280)=3,MAX(0,ROUND(I280+M280-N280,2)),"n.a.")</x:f>
        <x:v>0</x:v>
      </x:c>
    </x:row>
    <x:row r="281" ht="22" customHeight="1">
      <x:c r="A281" s="2"/>
      <x:c r="B281" s="2"/>
      <x:c r="C281" s="27" t="n">
        <x:f>55</x:f>
        <x:v>55</x:v>
      </x:c>
      <x:c r="D281" s="28" t="n">
        <x:f>IF(ISNUMBER('Inputs'!$D$7),EDATE('Inputs'!$D$7,54),"n.a.")</x:f>
        <x:v>47969</x:v>
      </x:c>
      <x:c r="E281" s="26" t="n">
        <x:f>IF('Inputs'!$D$9&lt;&gt;"Ready","n.a.",IF(ISNUMBER('Inputs'!E73),IF('Inputs'!E73&gt;=0,'Inputs'!E73,"n.a."),IF('Inputs'!E73="",'Inputs'!$D$6,"n.a.")))</x:f>
        <x:v>500</x:v>
      </x:c>
      <x:c r="F281" s="22" t="n">
        <x:f>IF(COUNT($N$277:$N$281)=5,SUM($N$277:$N$281),"n.a.")</x:f>
        <x:v>0</x:v>
      </x:c>
      <x:c r="G281" s="22" t="n">
        <x:f>IF(COUNT(E281:F281)=2,MAX(0,E281-F281),"n.a.")</x:f>
        <x:v>500</x:v>
      </x:c>
      <x:c r="H281" s="26" t="str">
        <x:f>'Inputs'!C15</x:f>
        <x:v>Unused 5</x:v>
      </x:c>
      <x:c r="I281" s="26" t="n">
        <x:f>S276</x:f>
        <x:v>0</x:v>
      </x:c>
      <x:c r="J281" s="29" t="n">
        <x:f>IF('Inputs'!$D$9="Ready",'Inputs'!E15,"n.a.")</x:f>
        <x:v>0</x:v>
      </x:c>
      <x:c r="K281" s="26" t="n">
        <x:f>IF('Inputs'!$D$9="Ready",'Inputs'!F15,"n.a.")</x:f>
        <x:v>0</x:v>
      </x:c>
      <x:c r="L281" s="29" t="n">
        <x:f>IF('Inputs'!$D$9="Ready",'Inputs'!G15,"n.a.")</x:f>
        <x:v>0</x:v>
      </x:c>
      <x:c r="M281" s="22" t="n">
        <x:f>IF(COUNT(I281:L281)=4,ROUND(I281*J281/12,2),"n.a.")</x:f>
        <x:v>0</x:v>
      </x:c>
      <x:c r="N281" s="22" t="n">
        <x:f>IF(COUNT(I281:M281)=5,MIN(I281+M281,ROUND(MAX(K281,I281*L281+M281),2)),"n.a.")</x:f>
        <x:v>0</x:v>
      </x:c>
      <x:c r="O281" s="30" t="n">
        <x:f>IF(COUNT($I$277:$I$281)&lt;&gt;5,"n.a.",IF(I281=0,6,IF('Inputs'!$D$5=1,COUNTIFS($I$277:$I$281,"&gt;0",$I$277:$I$281,"&lt;"&amp;I281)+COUNTIFS($I$277:I281,I281),COUNTIFS($I$277:$I$281,"&gt;0",$J$277:$J$281,"&gt;"&amp;J281)+COUNTIFS($I$277:I281,"&gt;0",$J$277:J281,J281))))</x:f>
        <x:v>6</x:v>
      </x:c>
      <x:c r="P281" s="22" t="n">
        <x:f>IF(T281="Ready",MIN(U281,MAX(0,G281-SUMIFS($U$277:$U$281,$O$277:$O$281,"&lt;"&amp;O281))),"n.a.")</x:f>
        <x:v>0</x:v>
      </x:c>
      <x:c r="Q281" s="22" t="n">
        <x:f>IF(T281="Ready",ROUND(N281+P281,2),"n.a.")</x:f>
        <x:v>0</x:v>
      </x:c>
      <x:c r="R281" s="22" t="n">
        <x:f>IF(T281="Ready",ROUND(Q281-M281,2),"n.a.")</x:f>
        <x:v>0</x:v>
      </x:c>
      <x:c r="S281" s="22" t="n">
        <x:f>IF(T281="Ready",MAX(0,ROUND(I281+M281-Q281,2)),"n.a.")</x:f>
        <x:v>0</x:v>
      </x:c>
      <x:c r="T281" s="22" t="str">
        <x:f>IF(AND(COUNT($I$277:$I$281)=5,COUNT(E281:F281)=2),IF(E281&gt;=F281,"Ready","Budget below minima"),"Check inputs")</x:f>
        <x:v>Ready</x:v>
      </x:c>
      <x:c r="U281" s="22" t="n">
        <x:f>IF(COUNT(I281,M281,N281)=3,MAX(0,ROUND(I281+M281-N281,2)),"n.a.")</x:f>
        <x:v>0</x:v>
      </x:c>
    </x:row>
    <x:row r="282" ht="22" customHeight="1">
      <x:c r="A282" s="2"/>
      <x:c r="B282" s="2"/>
      <x:c r="C282" s="27" t="n">
        <x:f>56</x:f>
        <x:v>56</x:v>
      </x:c>
      <x:c r="D282" s="28" t="n">
        <x:f>IF(ISNUMBER('Inputs'!$D$7),EDATE('Inputs'!$D$7,55),"n.a.")</x:f>
        <x:v>48000</x:v>
      </x:c>
      <x:c r="E282" s="26" t="n">
        <x:f>IF('Inputs'!$D$9&lt;&gt;"Ready","n.a.",IF(ISNUMBER('Inputs'!E74),IF('Inputs'!E74&gt;=0,'Inputs'!E74,"n.a."),IF('Inputs'!E74="",'Inputs'!$D$6,"n.a.")))</x:f>
        <x:v>500</x:v>
      </x:c>
      <x:c r="F282" s="22" t="n">
        <x:f>IF(COUNT($N$282:$N$286)=5,SUM($N$282:$N$286),"n.a.")</x:f>
        <x:v>0</x:v>
      </x:c>
      <x:c r="G282" s="22" t="n">
        <x:f>IF(COUNT(E282:F282)=2,MAX(0,E282-F282),"n.a.")</x:f>
        <x:v>500</x:v>
      </x:c>
      <x:c r="H282" s="26" t="str">
        <x:f>'Inputs'!C11</x:f>
        <x:v>Card A</x:v>
      </x:c>
      <x:c r="I282" s="26" t="n">
        <x:f>S277</x:f>
        <x:v>0</x:v>
      </x:c>
      <x:c r="J282" s="29" t="n">
        <x:f>IF('Inputs'!$D$9="Ready",'Inputs'!E11,"n.a.")</x:f>
        <x:v>0.24</x:v>
      </x:c>
      <x:c r="K282" s="26" t="n">
        <x:f>IF('Inputs'!$D$9="Ready",'Inputs'!F11,"n.a.")</x:f>
        <x:v>35</x:v>
      </x:c>
      <x:c r="L282" s="29" t="n">
        <x:f>IF('Inputs'!$D$9="Ready",'Inputs'!G11,"n.a.")</x:f>
        <x:v>0.02</x:v>
      </x:c>
      <x:c r="M282" s="22" t="n">
        <x:f>IF(COUNT(I282:L282)=4,ROUND(I282*J282/12,2),"n.a.")</x:f>
        <x:v>0</x:v>
      </x:c>
      <x:c r="N282" s="22" t="n">
        <x:f>IF(COUNT(I282:M282)=5,MIN(I282+M282,ROUND(MAX(K282,I282*L282+M282),2)),"n.a.")</x:f>
        <x:v>0</x:v>
      </x:c>
      <x:c r="O282" s="30" t="n">
        <x:f>IF(COUNT($I$282:$I$286)&lt;&gt;5,"n.a.",IF(I282=0,6,IF('Inputs'!$D$5=1,COUNTIFS($I$282:$I$286,"&gt;0",$I$282:$I$286,"&lt;"&amp;I282)+COUNTIFS($I$282:I282,I282),COUNTIFS($I$282:$I$286,"&gt;0",$J$282:$J$286,"&gt;"&amp;J282)+COUNTIFS($I$282:I282,"&gt;0",$J$282:J282,J282))))</x:f>
        <x:v>6</x:v>
      </x:c>
      <x:c r="P282" s="22" t="n">
        <x:f>IF(T282="Ready",MIN(U282,MAX(0,G282-SUMIFS($U$282:$U$286,$O$282:$O$286,"&lt;"&amp;O282))),"n.a.")</x:f>
        <x:v>0</x:v>
      </x:c>
      <x:c r="Q282" s="22" t="n">
        <x:f>IF(T282="Ready",ROUND(N282+P282,2),"n.a.")</x:f>
        <x:v>0</x:v>
      </x:c>
      <x:c r="R282" s="22" t="n">
        <x:f>IF(T282="Ready",ROUND(Q282-M282,2),"n.a.")</x:f>
        <x:v>0</x:v>
      </x:c>
      <x:c r="S282" s="22" t="n">
        <x:f>IF(T282="Ready",MAX(0,ROUND(I282+M282-Q282,2)),"n.a.")</x:f>
        <x:v>0</x:v>
      </x:c>
      <x:c r="T282" s="22" t="str">
        <x:f>IF(AND(COUNT($I$282:$I$286)=5,COUNT(E282:F282)=2),IF(E282&gt;=F282,"Ready","Budget below minima"),"Check inputs")</x:f>
        <x:v>Ready</x:v>
      </x:c>
      <x:c r="U282" s="22" t="n">
        <x:f>IF(COUNT(I282,M282,N282)=3,MAX(0,ROUND(I282+M282-N282,2)),"n.a.")</x:f>
        <x:v>0</x:v>
      </x:c>
    </x:row>
    <x:row r="283" ht="22" customHeight="1">
      <x:c r="A283" s="2"/>
      <x:c r="B283" s="2"/>
      <x:c r="C283" s="27" t="n">
        <x:f>56</x:f>
        <x:v>56</x:v>
      </x:c>
      <x:c r="D283" s="28" t="n">
        <x:f>IF(ISNUMBER('Inputs'!$D$7),EDATE('Inputs'!$D$7,55),"n.a.")</x:f>
        <x:v>48000</x:v>
      </x:c>
      <x:c r="E283" s="26" t="n">
        <x:f>IF('Inputs'!$D$9&lt;&gt;"Ready","n.a.",IF(ISNUMBER('Inputs'!E74),IF('Inputs'!E74&gt;=0,'Inputs'!E74,"n.a."),IF('Inputs'!E74="",'Inputs'!$D$6,"n.a.")))</x:f>
        <x:v>500</x:v>
      </x:c>
      <x:c r="F283" s="22" t="n">
        <x:f>IF(COUNT($N$282:$N$286)=5,SUM($N$282:$N$286),"n.a.")</x:f>
        <x:v>0</x:v>
      </x:c>
      <x:c r="G283" s="22" t="n">
        <x:f>IF(COUNT(E283:F283)=2,MAX(0,E283-F283),"n.a.")</x:f>
        <x:v>500</x:v>
      </x:c>
      <x:c r="H283" s="26" t="str">
        <x:f>'Inputs'!C12</x:f>
        <x:v>Card B</x:v>
      </x:c>
      <x:c r="I283" s="26" t="n">
        <x:f>S278</x:f>
        <x:v>0</x:v>
      </x:c>
      <x:c r="J283" s="29" t="n">
        <x:f>IF('Inputs'!$D$9="Ready",'Inputs'!E12,"n.a.")</x:f>
        <x:v>0.18</x:v>
      </x:c>
      <x:c r="K283" s="26" t="n">
        <x:f>IF('Inputs'!$D$9="Ready",'Inputs'!F12,"n.a.")</x:f>
        <x:v>60</x:v>
      </x:c>
      <x:c r="L283" s="29" t="n">
        <x:f>IF('Inputs'!$D$9="Ready",'Inputs'!G12,"n.a.")</x:f>
        <x:v>0.02</x:v>
      </x:c>
      <x:c r="M283" s="22" t="n">
        <x:f>IF(COUNT(I283:L283)=4,ROUND(I283*J283/12,2),"n.a.")</x:f>
        <x:v>0</x:v>
      </x:c>
      <x:c r="N283" s="22" t="n">
        <x:f>IF(COUNT(I283:M283)=5,MIN(I283+M283,ROUND(MAX(K283,I283*L283+M283),2)),"n.a.")</x:f>
        <x:v>0</x:v>
      </x:c>
      <x:c r="O283" s="30" t="n">
        <x:f>IF(COUNT($I$282:$I$286)&lt;&gt;5,"n.a.",IF(I283=0,6,IF('Inputs'!$D$5=1,COUNTIFS($I$282:$I$286,"&gt;0",$I$282:$I$286,"&lt;"&amp;I283)+COUNTIFS($I$282:I283,I283),COUNTIFS($I$282:$I$286,"&gt;0",$J$282:$J$286,"&gt;"&amp;J283)+COUNTIFS($I$282:I283,"&gt;0",$J$282:J283,J283))))</x:f>
        <x:v>6</x:v>
      </x:c>
      <x:c r="P283" s="22" t="n">
        <x:f>IF(T283="Ready",MIN(U283,MAX(0,G283-SUMIFS($U$282:$U$286,$O$282:$O$286,"&lt;"&amp;O283))),"n.a.")</x:f>
        <x:v>0</x:v>
      </x:c>
      <x:c r="Q283" s="22" t="n">
        <x:f>IF(T283="Ready",ROUND(N283+P283,2),"n.a.")</x:f>
        <x:v>0</x:v>
      </x:c>
      <x:c r="R283" s="22" t="n">
        <x:f>IF(T283="Ready",ROUND(Q283-M283,2),"n.a.")</x:f>
        <x:v>0</x:v>
      </x:c>
      <x:c r="S283" s="22" t="n">
        <x:f>IF(T283="Ready",MAX(0,ROUND(I283+M283-Q283,2)),"n.a.")</x:f>
        <x:v>0</x:v>
      </x:c>
      <x:c r="T283" s="22" t="str">
        <x:f>IF(AND(COUNT($I$282:$I$286)=5,COUNT(E283:F283)=2),IF(E283&gt;=F283,"Ready","Budget below minima"),"Check inputs")</x:f>
        <x:v>Ready</x:v>
      </x:c>
      <x:c r="U283" s="22" t="n">
        <x:f>IF(COUNT(I283,M283,N283)=3,MAX(0,ROUND(I283+M283-N283,2)),"n.a.")</x:f>
        <x:v>0</x:v>
      </x:c>
    </x:row>
    <x:row r="284" ht="22" customHeight="1">
      <x:c r="A284" s="2"/>
      <x:c r="B284" s="2"/>
      <x:c r="C284" s="27" t="n">
        <x:f>56</x:f>
        <x:v>56</x:v>
      </x:c>
      <x:c r="D284" s="28" t="n">
        <x:f>IF(ISNUMBER('Inputs'!$D$7),EDATE('Inputs'!$D$7,55),"n.a.")</x:f>
        <x:v>48000</x:v>
      </x:c>
      <x:c r="E284" s="26" t="n">
        <x:f>IF('Inputs'!$D$9&lt;&gt;"Ready","n.a.",IF(ISNUMBER('Inputs'!E74),IF('Inputs'!E74&gt;=0,'Inputs'!E74,"n.a."),IF('Inputs'!E74="",'Inputs'!$D$6,"n.a.")))</x:f>
        <x:v>500</x:v>
      </x:c>
      <x:c r="F284" s="22" t="n">
        <x:f>IF(COUNT($N$282:$N$286)=5,SUM($N$282:$N$286),"n.a.")</x:f>
        <x:v>0</x:v>
      </x:c>
      <x:c r="G284" s="22" t="n">
        <x:f>IF(COUNT(E284:F284)=2,MAX(0,E284-F284),"n.a.")</x:f>
        <x:v>500</x:v>
      </x:c>
      <x:c r="H284" s="26" t="str">
        <x:f>'Inputs'!C13</x:f>
        <x:v>Loan C</x:v>
      </x:c>
      <x:c r="I284" s="26" t="n">
        <x:f>S279</x:f>
        <x:v>0</x:v>
      </x:c>
      <x:c r="J284" s="29" t="n">
        <x:f>IF('Inputs'!$D$9="Ready",'Inputs'!E13,"n.a.")</x:f>
        <x:v>0.08</x:v>
      </x:c>
      <x:c r="K284" s="26" t="n">
        <x:f>IF('Inputs'!$D$9="Ready",'Inputs'!F13,"n.a.")</x:f>
        <x:v>150</x:v>
      </x:c>
      <x:c r="L284" s="29" t="n">
        <x:f>IF('Inputs'!$D$9="Ready",'Inputs'!G13,"n.a.")</x:f>
        <x:v>0</x:v>
      </x:c>
      <x:c r="M284" s="22" t="n">
        <x:f>IF(COUNT(I284:L284)=4,ROUND(I284*J284/12,2),"n.a.")</x:f>
        <x:v>0</x:v>
      </x:c>
      <x:c r="N284" s="22" t="n">
        <x:f>IF(COUNT(I284:M284)=5,MIN(I284+M284,ROUND(MAX(K284,I284*L284+M284),2)),"n.a.")</x:f>
        <x:v>0</x:v>
      </x:c>
      <x:c r="O284" s="30" t="n">
        <x:f>IF(COUNT($I$282:$I$286)&lt;&gt;5,"n.a.",IF(I284=0,6,IF('Inputs'!$D$5=1,COUNTIFS($I$282:$I$286,"&gt;0",$I$282:$I$286,"&lt;"&amp;I284)+COUNTIFS($I$282:I284,I284),COUNTIFS($I$282:$I$286,"&gt;0",$J$282:$J$286,"&gt;"&amp;J284)+COUNTIFS($I$282:I284,"&gt;0",$J$282:J284,J284))))</x:f>
        <x:v>6</x:v>
      </x:c>
      <x:c r="P284" s="22" t="n">
        <x:f>IF(T284="Ready",MIN(U284,MAX(0,G284-SUMIFS($U$282:$U$286,$O$282:$O$286,"&lt;"&amp;O284))),"n.a.")</x:f>
        <x:v>0</x:v>
      </x:c>
      <x:c r="Q284" s="22" t="n">
        <x:f>IF(T284="Ready",ROUND(N284+P284,2),"n.a.")</x:f>
        <x:v>0</x:v>
      </x:c>
      <x:c r="R284" s="22" t="n">
        <x:f>IF(T284="Ready",ROUND(Q284-M284,2),"n.a.")</x:f>
        <x:v>0</x:v>
      </x:c>
      <x:c r="S284" s="22" t="n">
        <x:f>IF(T284="Ready",MAX(0,ROUND(I284+M284-Q284,2)),"n.a.")</x:f>
        <x:v>0</x:v>
      </x:c>
      <x:c r="T284" s="22" t="str">
        <x:f>IF(AND(COUNT($I$282:$I$286)=5,COUNT(E284:F284)=2),IF(E284&gt;=F284,"Ready","Budget below minima"),"Check inputs")</x:f>
        <x:v>Ready</x:v>
      </x:c>
      <x:c r="U284" s="22" t="n">
        <x:f>IF(COUNT(I284,M284,N284)=3,MAX(0,ROUND(I284+M284-N284,2)),"n.a.")</x:f>
        <x:v>0</x:v>
      </x:c>
    </x:row>
    <x:row r="285" ht="22" customHeight="1">
      <x:c r="A285" s="2"/>
      <x:c r="B285" s="2"/>
      <x:c r="C285" s="27" t="n">
        <x:f>56</x:f>
        <x:v>56</x:v>
      </x:c>
      <x:c r="D285" s="28" t="n">
        <x:f>IF(ISNUMBER('Inputs'!$D$7),EDATE('Inputs'!$D$7,55),"n.a.")</x:f>
        <x:v>48000</x:v>
      </x:c>
      <x:c r="E285" s="26" t="n">
        <x:f>IF('Inputs'!$D$9&lt;&gt;"Ready","n.a.",IF(ISNUMBER('Inputs'!E74),IF('Inputs'!E74&gt;=0,'Inputs'!E74,"n.a."),IF('Inputs'!E74="",'Inputs'!$D$6,"n.a.")))</x:f>
        <x:v>500</x:v>
      </x:c>
      <x:c r="F285" s="22" t="n">
        <x:f>IF(COUNT($N$282:$N$286)=5,SUM($N$282:$N$286),"n.a.")</x:f>
        <x:v>0</x:v>
      </x:c>
      <x:c r="G285" s="22" t="n">
        <x:f>IF(COUNT(E285:F285)=2,MAX(0,E285-F285),"n.a.")</x:f>
        <x:v>500</x:v>
      </x:c>
      <x:c r="H285" s="26" t="str">
        <x:f>'Inputs'!C14</x:f>
        <x:v>Unused 4</x:v>
      </x:c>
      <x:c r="I285" s="26" t="n">
        <x:f>S280</x:f>
        <x:v>0</x:v>
      </x:c>
      <x:c r="J285" s="29" t="n">
        <x:f>IF('Inputs'!$D$9="Ready",'Inputs'!E14,"n.a.")</x:f>
        <x:v>0</x:v>
      </x:c>
      <x:c r="K285" s="26" t="n">
        <x:f>IF('Inputs'!$D$9="Ready",'Inputs'!F14,"n.a.")</x:f>
        <x:v>0</x:v>
      </x:c>
      <x:c r="L285" s="29" t="n">
        <x:f>IF('Inputs'!$D$9="Ready",'Inputs'!G14,"n.a.")</x:f>
        <x:v>0</x:v>
      </x:c>
      <x:c r="M285" s="22" t="n">
        <x:f>IF(COUNT(I285:L285)=4,ROUND(I285*J285/12,2),"n.a.")</x:f>
        <x:v>0</x:v>
      </x:c>
      <x:c r="N285" s="22" t="n">
        <x:f>IF(COUNT(I285:M285)=5,MIN(I285+M285,ROUND(MAX(K285,I285*L285+M285),2)),"n.a.")</x:f>
        <x:v>0</x:v>
      </x:c>
      <x:c r="O285" s="30" t="n">
        <x:f>IF(COUNT($I$282:$I$286)&lt;&gt;5,"n.a.",IF(I285=0,6,IF('Inputs'!$D$5=1,COUNTIFS($I$282:$I$286,"&gt;0",$I$282:$I$286,"&lt;"&amp;I285)+COUNTIFS($I$282:I285,I285),COUNTIFS($I$282:$I$286,"&gt;0",$J$282:$J$286,"&gt;"&amp;J285)+COUNTIFS($I$282:I285,"&gt;0",$J$282:J285,J285))))</x:f>
        <x:v>6</x:v>
      </x:c>
      <x:c r="P285" s="22" t="n">
        <x:f>IF(T285="Ready",MIN(U285,MAX(0,G285-SUMIFS($U$282:$U$286,$O$282:$O$286,"&lt;"&amp;O285))),"n.a.")</x:f>
        <x:v>0</x:v>
      </x:c>
      <x:c r="Q285" s="22" t="n">
        <x:f>IF(T285="Ready",ROUND(N285+P285,2),"n.a.")</x:f>
        <x:v>0</x:v>
      </x:c>
      <x:c r="R285" s="22" t="n">
        <x:f>IF(T285="Ready",ROUND(Q285-M285,2),"n.a.")</x:f>
        <x:v>0</x:v>
      </x:c>
      <x:c r="S285" s="22" t="n">
        <x:f>IF(T285="Ready",MAX(0,ROUND(I285+M285-Q285,2)),"n.a.")</x:f>
        <x:v>0</x:v>
      </x:c>
      <x:c r="T285" s="22" t="str">
        <x:f>IF(AND(COUNT($I$282:$I$286)=5,COUNT(E285:F285)=2),IF(E285&gt;=F285,"Ready","Budget below minima"),"Check inputs")</x:f>
        <x:v>Ready</x:v>
      </x:c>
      <x:c r="U285" s="22" t="n">
        <x:f>IF(COUNT(I285,M285,N285)=3,MAX(0,ROUND(I285+M285-N285,2)),"n.a.")</x:f>
        <x:v>0</x:v>
      </x:c>
    </x:row>
    <x:row r="286" ht="22" customHeight="1">
      <x:c r="A286" s="2"/>
      <x:c r="B286" s="2"/>
      <x:c r="C286" s="27" t="n">
        <x:f>56</x:f>
        <x:v>56</x:v>
      </x:c>
      <x:c r="D286" s="28" t="n">
        <x:f>IF(ISNUMBER('Inputs'!$D$7),EDATE('Inputs'!$D$7,55),"n.a.")</x:f>
        <x:v>48000</x:v>
      </x:c>
      <x:c r="E286" s="26" t="n">
        <x:f>IF('Inputs'!$D$9&lt;&gt;"Ready","n.a.",IF(ISNUMBER('Inputs'!E74),IF('Inputs'!E74&gt;=0,'Inputs'!E74,"n.a."),IF('Inputs'!E74="",'Inputs'!$D$6,"n.a.")))</x:f>
        <x:v>500</x:v>
      </x:c>
      <x:c r="F286" s="22" t="n">
        <x:f>IF(COUNT($N$282:$N$286)=5,SUM($N$282:$N$286),"n.a.")</x:f>
        <x:v>0</x:v>
      </x:c>
      <x:c r="G286" s="22" t="n">
        <x:f>IF(COUNT(E286:F286)=2,MAX(0,E286-F286),"n.a.")</x:f>
        <x:v>500</x:v>
      </x:c>
      <x:c r="H286" s="26" t="str">
        <x:f>'Inputs'!C15</x:f>
        <x:v>Unused 5</x:v>
      </x:c>
      <x:c r="I286" s="26" t="n">
        <x:f>S281</x:f>
        <x:v>0</x:v>
      </x:c>
      <x:c r="J286" s="29" t="n">
        <x:f>IF('Inputs'!$D$9="Ready",'Inputs'!E15,"n.a.")</x:f>
        <x:v>0</x:v>
      </x:c>
      <x:c r="K286" s="26" t="n">
        <x:f>IF('Inputs'!$D$9="Ready",'Inputs'!F15,"n.a.")</x:f>
        <x:v>0</x:v>
      </x:c>
      <x:c r="L286" s="29" t="n">
        <x:f>IF('Inputs'!$D$9="Ready",'Inputs'!G15,"n.a.")</x:f>
        <x:v>0</x:v>
      </x:c>
      <x:c r="M286" s="22" t="n">
        <x:f>IF(COUNT(I286:L286)=4,ROUND(I286*J286/12,2),"n.a.")</x:f>
        <x:v>0</x:v>
      </x:c>
      <x:c r="N286" s="22" t="n">
        <x:f>IF(COUNT(I286:M286)=5,MIN(I286+M286,ROUND(MAX(K286,I286*L286+M286),2)),"n.a.")</x:f>
        <x:v>0</x:v>
      </x:c>
      <x:c r="O286" s="30" t="n">
        <x:f>IF(COUNT($I$282:$I$286)&lt;&gt;5,"n.a.",IF(I286=0,6,IF('Inputs'!$D$5=1,COUNTIFS($I$282:$I$286,"&gt;0",$I$282:$I$286,"&lt;"&amp;I286)+COUNTIFS($I$282:I286,I286),COUNTIFS($I$282:$I$286,"&gt;0",$J$282:$J$286,"&gt;"&amp;J286)+COUNTIFS($I$282:I286,"&gt;0",$J$282:J286,J286))))</x:f>
        <x:v>6</x:v>
      </x:c>
      <x:c r="P286" s="22" t="n">
        <x:f>IF(T286="Ready",MIN(U286,MAX(0,G286-SUMIFS($U$282:$U$286,$O$282:$O$286,"&lt;"&amp;O286))),"n.a.")</x:f>
        <x:v>0</x:v>
      </x:c>
      <x:c r="Q286" s="22" t="n">
        <x:f>IF(T286="Ready",ROUND(N286+P286,2),"n.a.")</x:f>
        <x:v>0</x:v>
      </x:c>
      <x:c r="R286" s="22" t="n">
        <x:f>IF(T286="Ready",ROUND(Q286-M286,2),"n.a.")</x:f>
        <x:v>0</x:v>
      </x:c>
      <x:c r="S286" s="22" t="n">
        <x:f>IF(T286="Ready",MAX(0,ROUND(I286+M286-Q286,2)),"n.a.")</x:f>
        <x:v>0</x:v>
      </x:c>
      <x:c r="T286" s="22" t="str">
        <x:f>IF(AND(COUNT($I$282:$I$286)=5,COUNT(E286:F286)=2),IF(E286&gt;=F286,"Ready","Budget below minima"),"Check inputs")</x:f>
        <x:v>Ready</x:v>
      </x:c>
      <x:c r="U286" s="22" t="n">
        <x:f>IF(COUNT(I286,M286,N286)=3,MAX(0,ROUND(I286+M286-N286,2)),"n.a.")</x:f>
        <x:v>0</x:v>
      </x:c>
    </x:row>
    <x:row r="287" ht="22" customHeight="1">
      <x:c r="A287" s="2"/>
      <x:c r="B287" s="2"/>
      <x:c r="C287" s="27" t="n">
        <x:f>57</x:f>
        <x:v>57</x:v>
      </x:c>
      <x:c r="D287" s="28" t="n">
        <x:f>IF(ISNUMBER('Inputs'!$D$7),EDATE('Inputs'!$D$7,56),"n.a.")</x:f>
        <x:v>48030</x:v>
      </x:c>
      <x:c r="E287" s="26" t="n">
        <x:f>IF('Inputs'!$D$9&lt;&gt;"Ready","n.a.",IF(ISNUMBER('Inputs'!E75),IF('Inputs'!E75&gt;=0,'Inputs'!E75,"n.a."),IF('Inputs'!E75="",'Inputs'!$D$6,"n.a.")))</x:f>
        <x:v>500</x:v>
      </x:c>
      <x:c r="F287" s="22" t="n">
        <x:f>IF(COUNT($N$287:$N$291)=5,SUM($N$287:$N$291),"n.a.")</x:f>
        <x:v>0</x:v>
      </x:c>
      <x:c r="G287" s="22" t="n">
        <x:f>IF(COUNT(E287:F287)=2,MAX(0,E287-F287),"n.a.")</x:f>
        <x:v>500</x:v>
      </x:c>
      <x:c r="H287" s="26" t="str">
        <x:f>'Inputs'!C11</x:f>
        <x:v>Card A</x:v>
      </x:c>
      <x:c r="I287" s="26" t="n">
        <x:f>S282</x:f>
        <x:v>0</x:v>
      </x:c>
      <x:c r="J287" s="29" t="n">
        <x:f>IF('Inputs'!$D$9="Ready",'Inputs'!E11,"n.a.")</x:f>
        <x:v>0.24</x:v>
      </x:c>
      <x:c r="K287" s="26" t="n">
        <x:f>IF('Inputs'!$D$9="Ready",'Inputs'!F11,"n.a.")</x:f>
        <x:v>35</x:v>
      </x:c>
      <x:c r="L287" s="29" t="n">
        <x:f>IF('Inputs'!$D$9="Ready",'Inputs'!G11,"n.a.")</x:f>
        <x:v>0.02</x:v>
      </x:c>
      <x:c r="M287" s="22" t="n">
        <x:f>IF(COUNT(I287:L287)=4,ROUND(I287*J287/12,2),"n.a.")</x:f>
        <x:v>0</x:v>
      </x:c>
      <x:c r="N287" s="22" t="n">
        <x:f>IF(COUNT(I287:M287)=5,MIN(I287+M287,ROUND(MAX(K287,I287*L287+M287),2)),"n.a.")</x:f>
        <x:v>0</x:v>
      </x:c>
      <x:c r="O287" s="30" t="n">
        <x:f>IF(COUNT($I$287:$I$291)&lt;&gt;5,"n.a.",IF(I287=0,6,IF('Inputs'!$D$5=1,COUNTIFS($I$287:$I$291,"&gt;0",$I$287:$I$291,"&lt;"&amp;I287)+COUNTIFS($I$287:I287,I287),COUNTIFS($I$287:$I$291,"&gt;0",$J$287:$J$291,"&gt;"&amp;J287)+COUNTIFS($I$287:I287,"&gt;0",$J$287:J287,J287))))</x:f>
        <x:v>6</x:v>
      </x:c>
      <x:c r="P287" s="22" t="n">
        <x:f>IF(T287="Ready",MIN(U287,MAX(0,G287-SUMIFS($U$287:$U$291,$O$287:$O$291,"&lt;"&amp;O287))),"n.a.")</x:f>
        <x:v>0</x:v>
      </x:c>
      <x:c r="Q287" s="22" t="n">
        <x:f>IF(T287="Ready",ROUND(N287+P287,2),"n.a.")</x:f>
        <x:v>0</x:v>
      </x:c>
      <x:c r="R287" s="22" t="n">
        <x:f>IF(T287="Ready",ROUND(Q287-M287,2),"n.a.")</x:f>
        <x:v>0</x:v>
      </x:c>
      <x:c r="S287" s="22" t="n">
        <x:f>IF(T287="Ready",MAX(0,ROUND(I287+M287-Q287,2)),"n.a.")</x:f>
        <x:v>0</x:v>
      </x:c>
      <x:c r="T287" s="22" t="str">
        <x:f>IF(AND(COUNT($I$287:$I$291)=5,COUNT(E287:F287)=2),IF(E287&gt;=F287,"Ready","Budget below minima"),"Check inputs")</x:f>
        <x:v>Ready</x:v>
      </x:c>
      <x:c r="U287" s="22" t="n">
        <x:f>IF(COUNT(I287,M287,N287)=3,MAX(0,ROUND(I287+M287-N287,2)),"n.a.")</x:f>
        <x:v>0</x:v>
      </x:c>
    </x:row>
    <x:row r="288" ht="22" customHeight="1">
      <x:c r="A288" s="2"/>
      <x:c r="B288" s="2"/>
      <x:c r="C288" s="27" t="n">
        <x:f>57</x:f>
        <x:v>57</x:v>
      </x:c>
      <x:c r="D288" s="28" t="n">
        <x:f>IF(ISNUMBER('Inputs'!$D$7),EDATE('Inputs'!$D$7,56),"n.a.")</x:f>
        <x:v>48030</x:v>
      </x:c>
      <x:c r="E288" s="26" t="n">
        <x:f>IF('Inputs'!$D$9&lt;&gt;"Ready","n.a.",IF(ISNUMBER('Inputs'!E75),IF('Inputs'!E75&gt;=0,'Inputs'!E75,"n.a."),IF('Inputs'!E75="",'Inputs'!$D$6,"n.a.")))</x:f>
        <x:v>500</x:v>
      </x:c>
      <x:c r="F288" s="22" t="n">
        <x:f>IF(COUNT($N$287:$N$291)=5,SUM($N$287:$N$291),"n.a.")</x:f>
        <x:v>0</x:v>
      </x:c>
      <x:c r="G288" s="22" t="n">
        <x:f>IF(COUNT(E288:F288)=2,MAX(0,E288-F288),"n.a.")</x:f>
        <x:v>500</x:v>
      </x:c>
      <x:c r="H288" s="26" t="str">
        <x:f>'Inputs'!C12</x:f>
        <x:v>Card B</x:v>
      </x:c>
      <x:c r="I288" s="26" t="n">
        <x:f>S283</x:f>
        <x:v>0</x:v>
      </x:c>
      <x:c r="J288" s="29" t="n">
        <x:f>IF('Inputs'!$D$9="Ready",'Inputs'!E12,"n.a.")</x:f>
        <x:v>0.18</x:v>
      </x:c>
      <x:c r="K288" s="26" t="n">
        <x:f>IF('Inputs'!$D$9="Ready",'Inputs'!F12,"n.a.")</x:f>
        <x:v>60</x:v>
      </x:c>
      <x:c r="L288" s="29" t="n">
        <x:f>IF('Inputs'!$D$9="Ready",'Inputs'!G12,"n.a.")</x:f>
        <x:v>0.02</x:v>
      </x:c>
      <x:c r="M288" s="22" t="n">
        <x:f>IF(COUNT(I288:L288)=4,ROUND(I288*J288/12,2),"n.a.")</x:f>
        <x:v>0</x:v>
      </x:c>
      <x:c r="N288" s="22" t="n">
        <x:f>IF(COUNT(I288:M288)=5,MIN(I288+M288,ROUND(MAX(K288,I288*L288+M288),2)),"n.a.")</x:f>
        <x:v>0</x:v>
      </x:c>
      <x:c r="O288" s="30" t="n">
        <x:f>IF(COUNT($I$287:$I$291)&lt;&gt;5,"n.a.",IF(I288=0,6,IF('Inputs'!$D$5=1,COUNTIFS($I$287:$I$291,"&gt;0",$I$287:$I$291,"&lt;"&amp;I288)+COUNTIFS($I$287:I288,I288),COUNTIFS($I$287:$I$291,"&gt;0",$J$287:$J$291,"&gt;"&amp;J288)+COUNTIFS($I$287:I288,"&gt;0",$J$287:J288,J288))))</x:f>
        <x:v>6</x:v>
      </x:c>
      <x:c r="P288" s="22" t="n">
        <x:f>IF(T288="Ready",MIN(U288,MAX(0,G288-SUMIFS($U$287:$U$291,$O$287:$O$291,"&lt;"&amp;O288))),"n.a.")</x:f>
        <x:v>0</x:v>
      </x:c>
      <x:c r="Q288" s="22" t="n">
        <x:f>IF(T288="Ready",ROUND(N288+P288,2),"n.a.")</x:f>
        <x:v>0</x:v>
      </x:c>
      <x:c r="R288" s="22" t="n">
        <x:f>IF(T288="Ready",ROUND(Q288-M288,2),"n.a.")</x:f>
        <x:v>0</x:v>
      </x:c>
      <x:c r="S288" s="22" t="n">
        <x:f>IF(T288="Ready",MAX(0,ROUND(I288+M288-Q288,2)),"n.a.")</x:f>
        <x:v>0</x:v>
      </x:c>
      <x:c r="T288" s="22" t="str">
        <x:f>IF(AND(COUNT($I$287:$I$291)=5,COUNT(E288:F288)=2),IF(E288&gt;=F288,"Ready","Budget below minima"),"Check inputs")</x:f>
        <x:v>Ready</x:v>
      </x:c>
      <x:c r="U288" s="22" t="n">
        <x:f>IF(COUNT(I288,M288,N288)=3,MAX(0,ROUND(I288+M288-N288,2)),"n.a.")</x:f>
        <x:v>0</x:v>
      </x:c>
    </x:row>
    <x:row r="289" ht="22" customHeight="1">
      <x:c r="A289" s="2"/>
      <x:c r="B289" s="2"/>
      <x:c r="C289" s="27" t="n">
        <x:f>57</x:f>
        <x:v>57</x:v>
      </x:c>
      <x:c r="D289" s="28" t="n">
        <x:f>IF(ISNUMBER('Inputs'!$D$7),EDATE('Inputs'!$D$7,56),"n.a.")</x:f>
        <x:v>48030</x:v>
      </x:c>
      <x:c r="E289" s="26" t="n">
        <x:f>IF('Inputs'!$D$9&lt;&gt;"Ready","n.a.",IF(ISNUMBER('Inputs'!E75),IF('Inputs'!E75&gt;=0,'Inputs'!E75,"n.a."),IF('Inputs'!E75="",'Inputs'!$D$6,"n.a.")))</x:f>
        <x:v>500</x:v>
      </x:c>
      <x:c r="F289" s="22" t="n">
        <x:f>IF(COUNT($N$287:$N$291)=5,SUM($N$287:$N$291),"n.a.")</x:f>
        <x:v>0</x:v>
      </x:c>
      <x:c r="G289" s="22" t="n">
        <x:f>IF(COUNT(E289:F289)=2,MAX(0,E289-F289),"n.a.")</x:f>
        <x:v>500</x:v>
      </x:c>
      <x:c r="H289" s="26" t="str">
        <x:f>'Inputs'!C13</x:f>
        <x:v>Loan C</x:v>
      </x:c>
      <x:c r="I289" s="26" t="n">
        <x:f>S284</x:f>
        <x:v>0</x:v>
      </x:c>
      <x:c r="J289" s="29" t="n">
        <x:f>IF('Inputs'!$D$9="Ready",'Inputs'!E13,"n.a.")</x:f>
        <x:v>0.08</x:v>
      </x:c>
      <x:c r="K289" s="26" t="n">
        <x:f>IF('Inputs'!$D$9="Ready",'Inputs'!F13,"n.a.")</x:f>
        <x:v>150</x:v>
      </x:c>
      <x:c r="L289" s="29" t="n">
        <x:f>IF('Inputs'!$D$9="Ready",'Inputs'!G13,"n.a.")</x:f>
        <x:v>0</x:v>
      </x:c>
      <x:c r="M289" s="22" t="n">
        <x:f>IF(COUNT(I289:L289)=4,ROUND(I289*J289/12,2),"n.a.")</x:f>
        <x:v>0</x:v>
      </x:c>
      <x:c r="N289" s="22" t="n">
        <x:f>IF(COUNT(I289:M289)=5,MIN(I289+M289,ROUND(MAX(K289,I289*L289+M289),2)),"n.a.")</x:f>
        <x:v>0</x:v>
      </x:c>
      <x:c r="O289" s="30" t="n">
        <x:f>IF(COUNT($I$287:$I$291)&lt;&gt;5,"n.a.",IF(I289=0,6,IF('Inputs'!$D$5=1,COUNTIFS($I$287:$I$291,"&gt;0",$I$287:$I$291,"&lt;"&amp;I289)+COUNTIFS($I$287:I289,I289),COUNTIFS($I$287:$I$291,"&gt;0",$J$287:$J$291,"&gt;"&amp;J289)+COUNTIFS($I$287:I289,"&gt;0",$J$287:J289,J289))))</x:f>
        <x:v>6</x:v>
      </x:c>
      <x:c r="P289" s="22" t="n">
        <x:f>IF(T289="Ready",MIN(U289,MAX(0,G289-SUMIFS($U$287:$U$291,$O$287:$O$291,"&lt;"&amp;O289))),"n.a.")</x:f>
        <x:v>0</x:v>
      </x:c>
      <x:c r="Q289" s="22" t="n">
        <x:f>IF(T289="Ready",ROUND(N289+P289,2),"n.a.")</x:f>
        <x:v>0</x:v>
      </x:c>
      <x:c r="R289" s="22" t="n">
        <x:f>IF(T289="Ready",ROUND(Q289-M289,2),"n.a.")</x:f>
        <x:v>0</x:v>
      </x:c>
      <x:c r="S289" s="22" t="n">
        <x:f>IF(T289="Ready",MAX(0,ROUND(I289+M289-Q289,2)),"n.a.")</x:f>
        <x:v>0</x:v>
      </x:c>
      <x:c r="T289" s="22" t="str">
        <x:f>IF(AND(COUNT($I$287:$I$291)=5,COUNT(E289:F289)=2),IF(E289&gt;=F289,"Ready","Budget below minima"),"Check inputs")</x:f>
        <x:v>Ready</x:v>
      </x:c>
      <x:c r="U289" s="22" t="n">
        <x:f>IF(COUNT(I289,M289,N289)=3,MAX(0,ROUND(I289+M289-N289,2)),"n.a.")</x:f>
        <x:v>0</x:v>
      </x:c>
    </x:row>
    <x:row r="290" ht="22" customHeight="1">
      <x:c r="A290" s="2"/>
      <x:c r="B290" s="2"/>
      <x:c r="C290" s="27" t="n">
        <x:f>57</x:f>
        <x:v>57</x:v>
      </x:c>
      <x:c r="D290" s="28" t="n">
        <x:f>IF(ISNUMBER('Inputs'!$D$7),EDATE('Inputs'!$D$7,56),"n.a.")</x:f>
        <x:v>48030</x:v>
      </x:c>
      <x:c r="E290" s="26" t="n">
        <x:f>IF('Inputs'!$D$9&lt;&gt;"Ready","n.a.",IF(ISNUMBER('Inputs'!E75),IF('Inputs'!E75&gt;=0,'Inputs'!E75,"n.a."),IF('Inputs'!E75="",'Inputs'!$D$6,"n.a.")))</x:f>
        <x:v>500</x:v>
      </x:c>
      <x:c r="F290" s="22" t="n">
        <x:f>IF(COUNT($N$287:$N$291)=5,SUM($N$287:$N$291),"n.a.")</x:f>
        <x:v>0</x:v>
      </x:c>
      <x:c r="G290" s="22" t="n">
        <x:f>IF(COUNT(E290:F290)=2,MAX(0,E290-F290),"n.a.")</x:f>
        <x:v>500</x:v>
      </x:c>
      <x:c r="H290" s="26" t="str">
        <x:f>'Inputs'!C14</x:f>
        <x:v>Unused 4</x:v>
      </x:c>
      <x:c r="I290" s="26" t="n">
        <x:f>S285</x:f>
        <x:v>0</x:v>
      </x:c>
      <x:c r="J290" s="29" t="n">
        <x:f>IF('Inputs'!$D$9="Ready",'Inputs'!E14,"n.a.")</x:f>
        <x:v>0</x:v>
      </x:c>
      <x:c r="K290" s="26" t="n">
        <x:f>IF('Inputs'!$D$9="Ready",'Inputs'!F14,"n.a.")</x:f>
        <x:v>0</x:v>
      </x:c>
      <x:c r="L290" s="29" t="n">
        <x:f>IF('Inputs'!$D$9="Ready",'Inputs'!G14,"n.a.")</x:f>
        <x:v>0</x:v>
      </x:c>
      <x:c r="M290" s="22" t="n">
        <x:f>IF(COUNT(I290:L290)=4,ROUND(I290*J290/12,2),"n.a.")</x:f>
        <x:v>0</x:v>
      </x:c>
      <x:c r="N290" s="22" t="n">
        <x:f>IF(COUNT(I290:M290)=5,MIN(I290+M290,ROUND(MAX(K290,I290*L290+M290),2)),"n.a.")</x:f>
        <x:v>0</x:v>
      </x:c>
      <x:c r="O290" s="30" t="n">
        <x:f>IF(COUNT($I$287:$I$291)&lt;&gt;5,"n.a.",IF(I290=0,6,IF('Inputs'!$D$5=1,COUNTIFS($I$287:$I$291,"&gt;0",$I$287:$I$291,"&lt;"&amp;I290)+COUNTIFS($I$287:I290,I290),COUNTIFS($I$287:$I$291,"&gt;0",$J$287:$J$291,"&gt;"&amp;J290)+COUNTIFS($I$287:I290,"&gt;0",$J$287:J290,J290))))</x:f>
        <x:v>6</x:v>
      </x:c>
      <x:c r="P290" s="22" t="n">
        <x:f>IF(T290="Ready",MIN(U290,MAX(0,G290-SUMIFS($U$287:$U$291,$O$287:$O$291,"&lt;"&amp;O290))),"n.a.")</x:f>
        <x:v>0</x:v>
      </x:c>
      <x:c r="Q290" s="22" t="n">
        <x:f>IF(T290="Ready",ROUND(N290+P290,2),"n.a.")</x:f>
        <x:v>0</x:v>
      </x:c>
      <x:c r="R290" s="22" t="n">
        <x:f>IF(T290="Ready",ROUND(Q290-M290,2),"n.a.")</x:f>
        <x:v>0</x:v>
      </x:c>
      <x:c r="S290" s="22" t="n">
        <x:f>IF(T290="Ready",MAX(0,ROUND(I290+M290-Q290,2)),"n.a.")</x:f>
        <x:v>0</x:v>
      </x:c>
      <x:c r="T290" s="22" t="str">
        <x:f>IF(AND(COUNT($I$287:$I$291)=5,COUNT(E290:F290)=2),IF(E290&gt;=F290,"Ready","Budget below minima"),"Check inputs")</x:f>
        <x:v>Ready</x:v>
      </x:c>
      <x:c r="U290" s="22" t="n">
        <x:f>IF(COUNT(I290,M290,N290)=3,MAX(0,ROUND(I290+M290-N290,2)),"n.a.")</x:f>
        <x:v>0</x:v>
      </x:c>
    </x:row>
    <x:row r="291" ht="22" customHeight="1">
      <x:c r="A291" s="2"/>
      <x:c r="B291" s="2"/>
      <x:c r="C291" s="27" t="n">
        <x:f>57</x:f>
        <x:v>57</x:v>
      </x:c>
      <x:c r="D291" s="28" t="n">
        <x:f>IF(ISNUMBER('Inputs'!$D$7),EDATE('Inputs'!$D$7,56),"n.a.")</x:f>
        <x:v>48030</x:v>
      </x:c>
      <x:c r="E291" s="26" t="n">
        <x:f>IF('Inputs'!$D$9&lt;&gt;"Ready","n.a.",IF(ISNUMBER('Inputs'!E75),IF('Inputs'!E75&gt;=0,'Inputs'!E75,"n.a."),IF('Inputs'!E75="",'Inputs'!$D$6,"n.a.")))</x:f>
        <x:v>500</x:v>
      </x:c>
      <x:c r="F291" s="22" t="n">
        <x:f>IF(COUNT($N$287:$N$291)=5,SUM($N$287:$N$291),"n.a.")</x:f>
        <x:v>0</x:v>
      </x:c>
      <x:c r="G291" s="22" t="n">
        <x:f>IF(COUNT(E291:F291)=2,MAX(0,E291-F291),"n.a.")</x:f>
        <x:v>500</x:v>
      </x:c>
      <x:c r="H291" s="26" t="str">
        <x:f>'Inputs'!C15</x:f>
        <x:v>Unused 5</x:v>
      </x:c>
      <x:c r="I291" s="26" t="n">
        <x:f>S286</x:f>
        <x:v>0</x:v>
      </x:c>
      <x:c r="J291" s="29" t="n">
        <x:f>IF('Inputs'!$D$9="Ready",'Inputs'!E15,"n.a.")</x:f>
        <x:v>0</x:v>
      </x:c>
      <x:c r="K291" s="26" t="n">
        <x:f>IF('Inputs'!$D$9="Ready",'Inputs'!F15,"n.a.")</x:f>
        <x:v>0</x:v>
      </x:c>
      <x:c r="L291" s="29" t="n">
        <x:f>IF('Inputs'!$D$9="Ready",'Inputs'!G15,"n.a.")</x:f>
        <x:v>0</x:v>
      </x:c>
      <x:c r="M291" s="22" t="n">
        <x:f>IF(COUNT(I291:L291)=4,ROUND(I291*J291/12,2),"n.a.")</x:f>
        <x:v>0</x:v>
      </x:c>
      <x:c r="N291" s="22" t="n">
        <x:f>IF(COUNT(I291:M291)=5,MIN(I291+M291,ROUND(MAX(K291,I291*L291+M291),2)),"n.a.")</x:f>
        <x:v>0</x:v>
      </x:c>
      <x:c r="O291" s="30" t="n">
        <x:f>IF(COUNT($I$287:$I$291)&lt;&gt;5,"n.a.",IF(I291=0,6,IF('Inputs'!$D$5=1,COUNTIFS($I$287:$I$291,"&gt;0",$I$287:$I$291,"&lt;"&amp;I291)+COUNTIFS($I$287:I291,I291),COUNTIFS($I$287:$I$291,"&gt;0",$J$287:$J$291,"&gt;"&amp;J291)+COUNTIFS($I$287:I291,"&gt;0",$J$287:J291,J291))))</x:f>
        <x:v>6</x:v>
      </x:c>
      <x:c r="P291" s="22" t="n">
        <x:f>IF(T291="Ready",MIN(U291,MAX(0,G291-SUMIFS($U$287:$U$291,$O$287:$O$291,"&lt;"&amp;O291))),"n.a.")</x:f>
        <x:v>0</x:v>
      </x:c>
      <x:c r="Q291" s="22" t="n">
        <x:f>IF(T291="Ready",ROUND(N291+P291,2),"n.a.")</x:f>
        <x:v>0</x:v>
      </x:c>
      <x:c r="R291" s="22" t="n">
        <x:f>IF(T291="Ready",ROUND(Q291-M291,2),"n.a.")</x:f>
        <x:v>0</x:v>
      </x:c>
      <x:c r="S291" s="22" t="n">
        <x:f>IF(T291="Ready",MAX(0,ROUND(I291+M291-Q291,2)),"n.a.")</x:f>
        <x:v>0</x:v>
      </x:c>
      <x:c r="T291" s="22" t="str">
        <x:f>IF(AND(COUNT($I$287:$I$291)=5,COUNT(E291:F291)=2),IF(E291&gt;=F291,"Ready","Budget below minima"),"Check inputs")</x:f>
        <x:v>Ready</x:v>
      </x:c>
      <x:c r="U291" s="22" t="n">
        <x:f>IF(COUNT(I291,M291,N291)=3,MAX(0,ROUND(I291+M291-N291,2)),"n.a.")</x:f>
        <x:v>0</x:v>
      </x:c>
    </x:row>
    <x:row r="292" ht="22" customHeight="1">
      <x:c r="A292" s="2"/>
      <x:c r="B292" s="2"/>
      <x:c r="C292" s="27" t="n">
        <x:f>58</x:f>
        <x:v>58</x:v>
      </x:c>
      <x:c r="D292" s="28" t="n">
        <x:f>IF(ISNUMBER('Inputs'!$D$7),EDATE('Inputs'!$D$7,57),"n.a.")</x:f>
        <x:v>48061</x:v>
      </x:c>
      <x:c r="E292" s="26" t="n">
        <x:f>IF('Inputs'!$D$9&lt;&gt;"Ready","n.a.",IF(ISNUMBER('Inputs'!E76),IF('Inputs'!E76&gt;=0,'Inputs'!E76,"n.a."),IF('Inputs'!E76="",'Inputs'!$D$6,"n.a.")))</x:f>
        <x:v>500</x:v>
      </x:c>
      <x:c r="F292" s="22" t="n">
        <x:f>IF(COUNT($N$292:$N$296)=5,SUM($N$292:$N$296),"n.a.")</x:f>
        <x:v>0</x:v>
      </x:c>
      <x:c r="G292" s="22" t="n">
        <x:f>IF(COUNT(E292:F292)=2,MAX(0,E292-F292),"n.a.")</x:f>
        <x:v>500</x:v>
      </x:c>
      <x:c r="H292" s="26" t="str">
        <x:f>'Inputs'!C11</x:f>
        <x:v>Card A</x:v>
      </x:c>
      <x:c r="I292" s="26" t="n">
        <x:f>S287</x:f>
        <x:v>0</x:v>
      </x:c>
      <x:c r="J292" s="29" t="n">
        <x:f>IF('Inputs'!$D$9="Ready",'Inputs'!E11,"n.a.")</x:f>
        <x:v>0.24</x:v>
      </x:c>
      <x:c r="K292" s="26" t="n">
        <x:f>IF('Inputs'!$D$9="Ready",'Inputs'!F11,"n.a.")</x:f>
        <x:v>35</x:v>
      </x:c>
      <x:c r="L292" s="29" t="n">
        <x:f>IF('Inputs'!$D$9="Ready",'Inputs'!G11,"n.a.")</x:f>
        <x:v>0.02</x:v>
      </x:c>
      <x:c r="M292" s="22" t="n">
        <x:f>IF(COUNT(I292:L292)=4,ROUND(I292*J292/12,2),"n.a.")</x:f>
        <x:v>0</x:v>
      </x:c>
      <x:c r="N292" s="22" t="n">
        <x:f>IF(COUNT(I292:M292)=5,MIN(I292+M292,ROUND(MAX(K292,I292*L292+M292),2)),"n.a.")</x:f>
        <x:v>0</x:v>
      </x:c>
      <x:c r="O292" s="30" t="n">
        <x:f>IF(COUNT($I$292:$I$296)&lt;&gt;5,"n.a.",IF(I292=0,6,IF('Inputs'!$D$5=1,COUNTIFS($I$292:$I$296,"&gt;0",$I$292:$I$296,"&lt;"&amp;I292)+COUNTIFS($I$292:I292,I292),COUNTIFS($I$292:$I$296,"&gt;0",$J$292:$J$296,"&gt;"&amp;J292)+COUNTIFS($I$292:I292,"&gt;0",$J$292:J292,J292))))</x:f>
        <x:v>6</x:v>
      </x:c>
      <x:c r="P292" s="22" t="n">
        <x:f>IF(T292="Ready",MIN(U292,MAX(0,G292-SUMIFS($U$292:$U$296,$O$292:$O$296,"&lt;"&amp;O292))),"n.a.")</x:f>
        <x:v>0</x:v>
      </x:c>
      <x:c r="Q292" s="22" t="n">
        <x:f>IF(T292="Ready",ROUND(N292+P292,2),"n.a.")</x:f>
        <x:v>0</x:v>
      </x:c>
      <x:c r="R292" s="22" t="n">
        <x:f>IF(T292="Ready",ROUND(Q292-M292,2),"n.a.")</x:f>
        <x:v>0</x:v>
      </x:c>
      <x:c r="S292" s="22" t="n">
        <x:f>IF(T292="Ready",MAX(0,ROUND(I292+M292-Q292,2)),"n.a.")</x:f>
        <x:v>0</x:v>
      </x:c>
      <x:c r="T292" s="22" t="str">
        <x:f>IF(AND(COUNT($I$292:$I$296)=5,COUNT(E292:F292)=2),IF(E292&gt;=F292,"Ready","Budget below minima"),"Check inputs")</x:f>
        <x:v>Ready</x:v>
      </x:c>
      <x:c r="U292" s="22" t="n">
        <x:f>IF(COUNT(I292,M292,N292)=3,MAX(0,ROUND(I292+M292-N292,2)),"n.a.")</x:f>
        <x:v>0</x:v>
      </x:c>
    </x:row>
    <x:row r="293" ht="22" customHeight="1">
      <x:c r="A293" s="2"/>
      <x:c r="B293" s="2"/>
      <x:c r="C293" s="27" t="n">
        <x:f>58</x:f>
        <x:v>58</x:v>
      </x:c>
      <x:c r="D293" s="28" t="n">
        <x:f>IF(ISNUMBER('Inputs'!$D$7),EDATE('Inputs'!$D$7,57),"n.a.")</x:f>
        <x:v>48061</x:v>
      </x:c>
      <x:c r="E293" s="26" t="n">
        <x:f>IF('Inputs'!$D$9&lt;&gt;"Ready","n.a.",IF(ISNUMBER('Inputs'!E76),IF('Inputs'!E76&gt;=0,'Inputs'!E76,"n.a."),IF('Inputs'!E76="",'Inputs'!$D$6,"n.a.")))</x:f>
        <x:v>500</x:v>
      </x:c>
      <x:c r="F293" s="22" t="n">
        <x:f>IF(COUNT($N$292:$N$296)=5,SUM($N$292:$N$296),"n.a.")</x:f>
        <x:v>0</x:v>
      </x:c>
      <x:c r="G293" s="22" t="n">
        <x:f>IF(COUNT(E293:F293)=2,MAX(0,E293-F293),"n.a.")</x:f>
        <x:v>500</x:v>
      </x:c>
      <x:c r="H293" s="26" t="str">
        <x:f>'Inputs'!C12</x:f>
        <x:v>Card B</x:v>
      </x:c>
      <x:c r="I293" s="26" t="n">
        <x:f>S288</x:f>
        <x:v>0</x:v>
      </x:c>
      <x:c r="J293" s="29" t="n">
        <x:f>IF('Inputs'!$D$9="Ready",'Inputs'!E12,"n.a.")</x:f>
        <x:v>0.18</x:v>
      </x:c>
      <x:c r="K293" s="26" t="n">
        <x:f>IF('Inputs'!$D$9="Ready",'Inputs'!F12,"n.a.")</x:f>
        <x:v>60</x:v>
      </x:c>
      <x:c r="L293" s="29" t="n">
        <x:f>IF('Inputs'!$D$9="Ready",'Inputs'!G12,"n.a.")</x:f>
        <x:v>0.02</x:v>
      </x:c>
      <x:c r="M293" s="22" t="n">
        <x:f>IF(COUNT(I293:L293)=4,ROUND(I293*J293/12,2),"n.a.")</x:f>
        <x:v>0</x:v>
      </x:c>
      <x:c r="N293" s="22" t="n">
        <x:f>IF(COUNT(I293:M293)=5,MIN(I293+M293,ROUND(MAX(K293,I293*L293+M293),2)),"n.a.")</x:f>
        <x:v>0</x:v>
      </x:c>
      <x:c r="O293" s="30" t="n">
        <x:f>IF(COUNT($I$292:$I$296)&lt;&gt;5,"n.a.",IF(I293=0,6,IF('Inputs'!$D$5=1,COUNTIFS($I$292:$I$296,"&gt;0",$I$292:$I$296,"&lt;"&amp;I293)+COUNTIFS($I$292:I293,I293),COUNTIFS($I$292:$I$296,"&gt;0",$J$292:$J$296,"&gt;"&amp;J293)+COUNTIFS($I$292:I293,"&gt;0",$J$292:J293,J293))))</x:f>
        <x:v>6</x:v>
      </x:c>
      <x:c r="P293" s="22" t="n">
        <x:f>IF(T293="Ready",MIN(U293,MAX(0,G293-SUMIFS($U$292:$U$296,$O$292:$O$296,"&lt;"&amp;O293))),"n.a.")</x:f>
        <x:v>0</x:v>
      </x:c>
      <x:c r="Q293" s="22" t="n">
        <x:f>IF(T293="Ready",ROUND(N293+P293,2),"n.a.")</x:f>
        <x:v>0</x:v>
      </x:c>
      <x:c r="R293" s="22" t="n">
        <x:f>IF(T293="Ready",ROUND(Q293-M293,2),"n.a.")</x:f>
        <x:v>0</x:v>
      </x:c>
      <x:c r="S293" s="22" t="n">
        <x:f>IF(T293="Ready",MAX(0,ROUND(I293+M293-Q293,2)),"n.a.")</x:f>
        <x:v>0</x:v>
      </x:c>
      <x:c r="T293" s="22" t="str">
        <x:f>IF(AND(COUNT($I$292:$I$296)=5,COUNT(E293:F293)=2),IF(E293&gt;=F293,"Ready","Budget below minima"),"Check inputs")</x:f>
        <x:v>Ready</x:v>
      </x:c>
      <x:c r="U293" s="22" t="n">
        <x:f>IF(COUNT(I293,M293,N293)=3,MAX(0,ROUND(I293+M293-N293,2)),"n.a.")</x:f>
        <x:v>0</x:v>
      </x:c>
    </x:row>
    <x:row r="294" ht="22" customHeight="1">
      <x:c r="A294" s="2"/>
      <x:c r="B294" s="2"/>
      <x:c r="C294" s="27" t="n">
        <x:f>58</x:f>
        <x:v>58</x:v>
      </x:c>
      <x:c r="D294" s="28" t="n">
        <x:f>IF(ISNUMBER('Inputs'!$D$7),EDATE('Inputs'!$D$7,57),"n.a.")</x:f>
        <x:v>48061</x:v>
      </x:c>
      <x:c r="E294" s="26" t="n">
        <x:f>IF('Inputs'!$D$9&lt;&gt;"Ready","n.a.",IF(ISNUMBER('Inputs'!E76),IF('Inputs'!E76&gt;=0,'Inputs'!E76,"n.a."),IF('Inputs'!E76="",'Inputs'!$D$6,"n.a.")))</x:f>
        <x:v>500</x:v>
      </x:c>
      <x:c r="F294" s="22" t="n">
        <x:f>IF(COUNT($N$292:$N$296)=5,SUM($N$292:$N$296),"n.a.")</x:f>
        <x:v>0</x:v>
      </x:c>
      <x:c r="G294" s="22" t="n">
        <x:f>IF(COUNT(E294:F294)=2,MAX(0,E294-F294),"n.a.")</x:f>
        <x:v>500</x:v>
      </x:c>
      <x:c r="H294" s="26" t="str">
        <x:f>'Inputs'!C13</x:f>
        <x:v>Loan C</x:v>
      </x:c>
      <x:c r="I294" s="26" t="n">
        <x:f>S289</x:f>
        <x:v>0</x:v>
      </x:c>
      <x:c r="J294" s="29" t="n">
        <x:f>IF('Inputs'!$D$9="Ready",'Inputs'!E13,"n.a.")</x:f>
        <x:v>0.08</x:v>
      </x:c>
      <x:c r="K294" s="26" t="n">
        <x:f>IF('Inputs'!$D$9="Ready",'Inputs'!F13,"n.a.")</x:f>
        <x:v>150</x:v>
      </x:c>
      <x:c r="L294" s="29" t="n">
        <x:f>IF('Inputs'!$D$9="Ready",'Inputs'!G13,"n.a.")</x:f>
        <x:v>0</x:v>
      </x:c>
      <x:c r="M294" s="22" t="n">
        <x:f>IF(COUNT(I294:L294)=4,ROUND(I294*J294/12,2),"n.a.")</x:f>
        <x:v>0</x:v>
      </x:c>
      <x:c r="N294" s="22" t="n">
        <x:f>IF(COUNT(I294:M294)=5,MIN(I294+M294,ROUND(MAX(K294,I294*L294+M294),2)),"n.a.")</x:f>
        <x:v>0</x:v>
      </x:c>
      <x:c r="O294" s="30" t="n">
        <x:f>IF(COUNT($I$292:$I$296)&lt;&gt;5,"n.a.",IF(I294=0,6,IF('Inputs'!$D$5=1,COUNTIFS($I$292:$I$296,"&gt;0",$I$292:$I$296,"&lt;"&amp;I294)+COUNTIFS($I$292:I294,I294),COUNTIFS($I$292:$I$296,"&gt;0",$J$292:$J$296,"&gt;"&amp;J294)+COUNTIFS($I$292:I294,"&gt;0",$J$292:J294,J294))))</x:f>
        <x:v>6</x:v>
      </x:c>
      <x:c r="P294" s="22" t="n">
        <x:f>IF(T294="Ready",MIN(U294,MAX(0,G294-SUMIFS($U$292:$U$296,$O$292:$O$296,"&lt;"&amp;O294))),"n.a.")</x:f>
        <x:v>0</x:v>
      </x:c>
      <x:c r="Q294" s="22" t="n">
        <x:f>IF(T294="Ready",ROUND(N294+P294,2),"n.a.")</x:f>
        <x:v>0</x:v>
      </x:c>
      <x:c r="R294" s="22" t="n">
        <x:f>IF(T294="Ready",ROUND(Q294-M294,2),"n.a.")</x:f>
        <x:v>0</x:v>
      </x:c>
      <x:c r="S294" s="22" t="n">
        <x:f>IF(T294="Ready",MAX(0,ROUND(I294+M294-Q294,2)),"n.a.")</x:f>
        <x:v>0</x:v>
      </x:c>
      <x:c r="T294" s="22" t="str">
        <x:f>IF(AND(COUNT($I$292:$I$296)=5,COUNT(E294:F294)=2),IF(E294&gt;=F294,"Ready","Budget below minima"),"Check inputs")</x:f>
        <x:v>Ready</x:v>
      </x:c>
      <x:c r="U294" s="22" t="n">
        <x:f>IF(COUNT(I294,M294,N294)=3,MAX(0,ROUND(I294+M294-N294,2)),"n.a.")</x:f>
        <x:v>0</x:v>
      </x:c>
    </x:row>
    <x:row r="295" ht="22" customHeight="1">
      <x:c r="A295" s="2"/>
      <x:c r="B295" s="2"/>
      <x:c r="C295" s="27" t="n">
        <x:f>58</x:f>
        <x:v>58</x:v>
      </x:c>
      <x:c r="D295" s="28" t="n">
        <x:f>IF(ISNUMBER('Inputs'!$D$7),EDATE('Inputs'!$D$7,57),"n.a.")</x:f>
        <x:v>48061</x:v>
      </x:c>
      <x:c r="E295" s="26" t="n">
        <x:f>IF('Inputs'!$D$9&lt;&gt;"Ready","n.a.",IF(ISNUMBER('Inputs'!E76),IF('Inputs'!E76&gt;=0,'Inputs'!E76,"n.a."),IF('Inputs'!E76="",'Inputs'!$D$6,"n.a.")))</x:f>
        <x:v>500</x:v>
      </x:c>
      <x:c r="F295" s="22" t="n">
        <x:f>IF(COUNT($N$292:$N$296)=5,SUM($N$292:$N$296),"n.a.")</x:f>
        <x:v>0</x:v>
      </x:c>
      <x:c r="G295" s="22" t="n">
        <x:f>IF(COUNT(E295:F295)=2,MAX(0,E295-F295),"n.a.")</x:f>
        <x:v>500</x:v>
      </x:c>
      <x:c r="H295" s="26" t="str">
        <x:f>'Inputs'!C14</x:f>
        <x:v>Unused 4</x:v>
      </x:c>
      <x:c r="I295" s="26" t="n">
        <x:f>S290</x:f>
        <x:v>0</x:v>
      </x:c>
      <x:c r="J295" s="29" t="n">
        <x:f>IF('Inputs'!$D$9="Ready",'Inputs'!E14,"n.a.")</x:f>
        <x:v>0</x:v>
      </x:c>
      <x:c r="K295" s="26" t="n">
        <x:f>IF('Inputs'!$D$9="Ready",'Inputs'!F14,"n.a.")</x:f>
        <x:v>0</x:v>
      </x:c>
      <x:c r="L295" s="29" t="n">
        <x:f>IF('Inputs'!$D$9="Ready",'Inputs'!G14,"n.a.")</x:f>
        <x:v>0</x:v>
      </x:c>
      <x:c r="M295" s="22" t="n">
        <x:f>IF(COUNT(I295:L295)=4,ROUND(I295*J295/12,2),"n.a.")</x:f>
        <x:v>0</x:v>
      </x:c>
      <x:c r="N295" s="22" t="n">
        <x:f>IF(COUNT(I295:M295)=5,MIN(I295+M295,ROUND(MAX(K295,I295*L295+M295),2)),"n.a.")</x:f>
        <x:v>0</x:v>
      </x:c>
      <x:c r="O295" s="30" t="n">
        <x:f>IF(COUNT($I$292:$I$296)&lt;&gt;5,"n.a.",IF(I295=0,6,IF('Inputs'!$D$5=1,COUNTIFS($I$292:$I$296,"&gt;0",$I$292:$I$296,"&lt;"&amp;I295)+COUNTIFS($I$292:I295,I295),COUNTIFS($I$292:$I$296,"&gt;0",$J$292:$J$296,"&gt;"&amp;J295)+COUNTIFS($I$292:I295,"&gt;0",$J$292:J295,J295))))</x:f>
        <x:v>6</x:v>
      </x:c>
      <x:c r="P295" s="22" t="n">
        <x:f>IF(T295="Ready",MIN(U295,MAX(0,G295-SUMIFS($U$292:$U$296,$O$292:$O$296,"&lt;"&amp;O295))),"n.a.")</x:f>
        <x:v>0</x:v>
      </x:c>
      <x:c r="Q295" s="22" t="n">
        <x:f>IF(T295="Ready",ROUND(N295+P295,2),"n.a.")</x:f>
        <x:v>0</x:v>
      </x:c>
      <x:c r="R295" s="22" t="n">
        <x:f>IF(T295="Ready",ROUND(Q295-M295,2),"n.a.")</x:f>
        <x:v>0</x:v>
      </x:c>
      <x:c r="S295" s="22" t="n">
        <x:f>IF(T295="Ready",MAX(0,ROUND(I295+M295-Q295,2)),"n.a.")</x:f>
        <x:v>0</x:v>
      </x:c>
      <x:c r="T295" s="22" t="str">
        <x:f>IF(AND(COUNT($I$292:$I$296)=5,COUNT(E295:F295)=2),IF(E295&gt;=F295,"Ready","Budget below minima"),"Check inputs")</x:f>
        <x:v>Ready</x:v>
      </x:c>
      <x:c r="U295" s="22" t="n">
        <x:f>IF(COUNT(I295,M295,N295)=3,MAX(0,ROUND(I295+M295-N295,2)),"n.a.")</x:f>
        <x:v>0</x:v>
      </x:c>
    </x:row>
    <x:row r="296" ht="22" customHeight="1">
      <x:c r="A296" s="2"/>
      <x:c r="B296" s="2"/>
      <x:c r="C296" s="27" t="n">
        <x:f>58</x:f>
        <x:v>58</x:v>
      </x:c>
      <x:c r="D296" s="28" t="n">
        <x:f>IF(ISNUMBER('Inputs'!$D$7),EDATE('Inputs'!$D$7,57),"n.a.")</x:f>
        <x:v>48061</x:v>
      </x:c>
      <x:c r="E296" s="26" t="n">
        <x:f>IF('Inputs'!$D$9&lt;&gt;"Ready","n.a.",IF(ISNUMBER('Inputs'!E76),IF('Inputs'!E76&gt;=0,'Inputs'!E76,"n.a."),IF('Inputs'!E76="",'Inputs'!$D$6,"n.a.")))</x:f>
        <x:v>500</x:v>
      </x:c>
      <x:c r="F296" s="22" t="n">
        <x:f>IF(COUNT($N$292:$N$296)=5,SUM($N$292:$N$296),"n.a.")</x:f>
        <x:v>0</x:v>
      </x:c>
      <x:c r="G296" s="22" t="n">
        <x:f>IF(COUNT(E296:F296)=2,MAX(0,E296-F296),"n.a.")</x:f>
        <x:v>500</x:v>
      </x:c>
      <x:c r="H296" s="26" t="str">
        <x:f>'Inputs'!C15</x:f>
        <x:v>Unused 5</x:v>
      </x:c>
      <x:c r="I296" s="26" t="n">
        <x:f>S291</x:f>
        <x:v>0</x:v>
      </x:c>
      <x:c r="J296" s="29" t="n">
        <x:f>IF('Inputs'!$D$9="Ready",'Inputs'!E15,"n.a.")</x:f>
        <x:v>0</x:v>
      </x:c>
      <x:c r="K296" s="26" t="n">
        <x:f>IF('Inputs'!$D$9="Ready",'Inputs'!F15,"n.a.")</x:f>
        <x:v>0</x:v>
      </x:c>
      <x:c r="L296" s="29" t="n">
        <x:f>IF('Inputs'!$D$9="Ready",'Inputs'!G15,"n.a.")</x:f>
        <x:v>0</x:v>
      </x:c>
      <x:c r="M296" s="22" t="n">
        <x:f>IF(COUNT(I296:L296)=4,ROUND(I296*J296/12,2),"n.a.")</x:f>
        <x:v>0</x:v>
      </x:c>
      <x:c r="N296" s="22" t="n">
        <x:f>IF(COUNT(I296:M296)=5,MIN(I296+M296,ROUND(MAX(K296,I296*L296+M296),2)),"n.a.")</x:f>
        <x:v>0</x:v>
      </x:c>
      <x:c r="O296" s="30" t="n">
        <x:f>IF(COUNT($I$292:$I$296)&lt;&gt;5,"n.a.",IF(I296=0,6,IF('Inputs'!$D$5=1,COUNTIFS($I$292:$I$296,"&gt;0",$I$292:$I$296,"&lt;"&amp;I296)+COUNTIFS($I$292:I296,I296),COUNTIFS($I$292:$I$296,"&gt;0",$J$292:$J$296,"&gt;"&amp;J296)+COUNTIFS($I$292:I296,"&gt;0",$J$292:J296,J296))))</x:f>
        <x:v>6</x:v>
      </x:c>
      <x:c r="P296" s="22" t="n">
        <x:f>IF(T296="Ready",MIN(U296,MAX(0,G296-SUMIFS($U$292:$U$296,$O$292:$O$296,"&lt;"&amp;O296))),"n.a.")</x:f>
        <x:v>0</x:v>
      </x:c>
      <x:c r="Q296" s="22" t="n">
        <x:f>IF(T296="Ready",ROUND(N296+P296,2),"n.a.")</x:f>
        <x:v>0</x:v>
      </x:c>
      <x:c r="R296" s="22" t="n">
        <x:f>IF(T296="Ready",ROUND(Q296-M296,2),"n.a.")</x:f>
        <x:v>0</x:v>
      </x:c>
      <x:c r="S296" s="22" t="n">
        <x:f>IF(T296="Ready",MAX(0,ROUND(I296+M296-Q296,2)),"n.a.")</x:f>
        <x:v>0</x:v>
      </x:c>
      <x:c r="T296" s="22" t="str">
        <x:f>IF(AND(COUNT($I$292:$I$296)=5,COUNT(E296:F296)=2),IF(E296&gt;=F296,"Ready","Budget below minima"),"Check inputs")</x:f>
        <x:v>Ready</x:v>
      </x:c>
      <x:c r="U296" s="22" t="n">
        <x:f>IF(COUNT(I296,M296,N296)=3,MAX(0,ROUND(I296+M296-N296,2)),"n.a.")</x:f>
        <x:v>0</x:v>
      </x:c>
    </x:row>
    <x:row r="297" ht="22" customHeight="1">
      <x:c r="A297" s="2"/>
      <x:c r="B297" s="2"/>
      <x:c r="C297" s="27" t="n">
        <x:f>59</x:f>
        <x:v>59</x:v>
      </x:c>
      <x:c r="D297" s="28" t="n">
        <x:f>IF(ISNUMBER('Inputs'!$D$7),EDATE('Inputs'!$D$7,58),"n.a.")</x:f>
        <x:v>48092</x:v>
      </x:c>
      <x:c r="E297" s="26" t="n">
        <x:f>IF('Inputs'!$D$9&lt;&gt;"Ready","n.a.",IF(ISNUMBER('Inputs'!E77),IF('Inputs'!E77&gt;=0,'Inputs'!E77,"n.a."),IF('Inputs'!E77="",'Inputs'!$D$6,"n.a.")))</x:f>
        <x:v>500</x:v>
      </x:c>
      <x:c r="F297" s="22" t="n">
        <x:f>IF(COUNT($N$297:$N$301)=5,SUM($N$297:$N$301),"n.a.")</x:f>
        <x:v>0</x:v>
      </x:c>
      <x:c r="G297" s="22" t="n">
        <x:f>IF(COUNT(E297:F297)=2,MAX(0,E297-F297),"n.a.")</x:f>
        <x:v>500</x:v>
      </x:c>
      <x:c r="H297" s="26" t="str">
        <x:f>'Inputs'!C11</x:f>
        <x:v>Card A</x:v>
      </x:c>
      <x:c r="I297" s="26" t="n">
        <x:f>S292</x:f>
        <x:v>0</x:v>
      </x:c>
      <x:c r="J297" s="29" t="n">
        <x:f>IF('Inputs'!$D$9="Ready",'Inputs'!E11,"n.a.")</x:f>
        <x:v>0.24</x:v>
      </x:c>
      <x:c r="K297" s="26" t="n">
        <x:f>IF('Inputs'!$D$9="Ready",'Inputs'!F11,"n.a.")</x:f>
        <x:v>35</x:v>
      </x:c>
      <x:c r="L297" s="29" t="n">
        <x:f>IF('Inputs'!$D$9="Ready",'Inputs'!G11,"n.a.")</x:f>
        <x:v>0.02</x:v>
      </x:c>
      <x:c r="M297" s="22" t="n">
        <x:f>IF(COUNT(I297:L297)=4,ROUND(I297*J297/12,2),"n.a.")</x:f>
        <x:v>0</x:v>
      </x:c>
      <x:c r="N297" s="22" t="n">
        <x:f>IF(COUNT(I297:M297)=5,MIN(I297+M297,ROUND(MAX(K297,I297*L297+M297),2)),"n.a.")</x:f>
        <x:v>0</x:v>
      </x:c>
      <x:c r="O297" s="30" t="n">
        <x:f>IF(COUNT($I$297:$I$301)&lt;&gt;5,"n.a.",IF(I297=0,6,IF('Inputs'!$D$5=1,COUNTIFS($I$297:$I$301,"&gt;0",$I$297:$I$301,"&lt;"&amp;I297)+COUNTIFS($I$297:I297,I297),COUNTIFS($I$297:$I$301,"&gt;0",$J$297:$J$301,"&gt;"&amp;J297)+COUNTIFS($I$297:I297,"&gt;0",$J$297:J297,J297))))</x:f>
        <x:v>6</x:v>
      </x:c>
      <x:c r="P297" s="22" t="n">
        <x:f>IF(T297="Ready",MIN(U297,MAX(0,G297-SUMIFS($U$297:$U$301,$O$297:$O$301,"&lt;"&amp;O297))),"n.a.")</x:f>
        <x:v>0</x:v>
      </x:c>
      <x:c r="Q297" s="22" t="n">
        <x:f>IF(T297="Ready",ROUND(N297+P297,2),"n.a.")</x:f>
        <x:v>0</x:v>
      </x:c>
      <x:c r="R297" s="22" t="n">
        <x:f>IF(T297="Ready",ROUND(Q297-M297,2),"n.a.")</x:f>
        <x:v>0</x:v>
      </x:c>
      <x:c r="S297" s="22" t="n">
        <x:f>IF(T297="Ready",MAX(0,ROUND(I297+M297-Q297,2)),"n.a.")</x:f>
        <x:v>0</x:v>
      </x:c>
      <x:c r="T297" s="22" t="str">
        <x:f>IF(AND(COUNT($I$297:$I$301)=5,COUNT(E297:F297)=2),IF(E297&gt;=F297,"Ready","Budget below minima"),"Check inputs")</x:f>
        <x:v>Ready</x:v>
      </x:c>
      <x:c r="U297" s="22" t="n">
        <x:f>IF(COUNT(I297,M297,N297)=3,MAX(0,ROUND(I297+M297-N297,2)),"n.a.")</x:f>
        <x:v>0</x:v>
      </x:c>
    </x:row>
    <x:row r="298" ht="22" customHeight="1">
      <x:c r="A298" s="2"/>
      <x:c r="B298" s="2"/>
      <x:c r="C298" s="27" t="n">
        <x:f>59</x:f>
        <x:v>59</x:v>
      </x:c>
      <x:c r="D298" s="28" t="n">
        <x:f>IF(ISNUMBER('Inputs'!$D$7),EDATE('Inputs'!$D$7,58),"n.a.")</x:f>
        <x:v>48092</x:v>
      </x:c>
      <x:c r="E298" s="26" t="n">
        <x:f>IF('Inputs'!$D$9&lt;&gt;"Ready","n.a.",IF(ISNUMBER('Inputs'!E77),IF('Inputs'!E77&gt;=0,'Inputs'!E77,"n.a."),IF('Inputs'!E77="",'Inputs'!$D$6,"n.a.")))</x:f>
        <x:v>500</x:v>
      </x:c>
      <x:c r="F298" s="22" t="n">
        <x:f>IF(COUNT($N$297:$N$301)=5,SUM($N$297:$N$301),"n.a.")</x:f>
        <x:v>0</x:v>
      </x:c>
      <x:c r="G298" s="22" t="n">
        <x:f>IF(COUNT(E298:F298)=2,MAX(0,E298-F298),"n.a.")</x:f>
        <x:v>500</x:v>
      </x:c>
      <x:c r="H298" s="26" t="str">
        <x:f>'Inputs'!C12</x:f>
        <x:v>Card B</x:v>
      </x:c>
      <x:c r="I298" s="26" t="n">
        <x:f>S293</x:f>
        <x:v>0</x:v>
      </x:c>
      <x:c r="J298" s="29" t="n">
        <x:f>IF('Inputs'!$D$9="Ready",'Inputs'!E12,"n.a.")</x:f>
        <x:v>0.18</x:v>
      </x:c>
      <x:c r="K298" s="26" t="n">
        <x:f>IF('Inputs'!$D$9="Ready",'Inputs'!F12,"n.a.")</x:f>
        <x:v>60</x:v>
      </x:c>
      <x:c r="L298" s="29" t="n">
        <x:f>IF('Inputs'!$D$9="Ready",'Inputs'!G12,"n.a.")</x:f>
        <x:v>0.02</x:v>
      </x:c>
      <x:c r="M298" s="22" t="n">
        <x:f>IF(COUNT(I298:L298)=4,ROUND(I298*J298/12,2),"n.a.")</x:f>
        <x:v>0</x:v>
      </x:c>
      <x:c r="N298" s="22" t="n">
        <x:f>IF(COUNT(I298:M298)=5,MIN(I298+M298,ROUND(MAX(K298,I298*L298+M298),2)),"n.a.")</x:f>
        <x:v>0</x:v>
      </x:c>
      <x:c r="O298" s="30" t="n">
        <x:f>IF(COUNT($I$297:$I$301)&lt;&gt;5,"n.a.",IF(I298=0,6,IF('Inputs'!$D$5=1,COUNTIFS($I$297:$I$301,"&gt;0",$I$297:$I$301,"&lt;"&amp;I298)+COUNTIFS($I$297:I298,I298),COUNTIFS($I$297:$I$301,"&gt;0",$J$297:$J$301,"&gt;"&amp;J298)+COUNTIFS($I$297:I298,"&gt;0",$J$297:J298,J298))))</x:f>
        <x:v>6</x:v>
      </x:c>
      <x:c r="P298" s="22" t="n">
        <x:f>IF(T298="Ready",MIN(U298,MAX(0,G298-SUMIFS($U$297:$U$301,$O$297:$O$301,"&lt;"&amp;O298))),"n.a.")</x:f>
        <x:v>0</x:v>
      </x:c>
      <x:c r="Q298" s="22" t="n">
        <x:f>IF(T298="Ready",ROUND(N298+P298,2),"n.a.")</x:f>
        <x:v>0</x:v>
      </x:c>
      <x:c r="R298" s="22" t="n">
        <x:f>IF(T298="Ready",ROUND(Q298-M298,2),"n.a.")</x:f>
        <x:v>0</x:v>
      </x:c>
      <x:c r="S298" s="22" t="n">
        <x:f>IF(T298="Ready",MAX(0,ROUND(I298+M298-Q298,2)),"n.a.")</x:f>
        <x:v>0</x:v>
      </x:c>
      <x:c r="T298" s="22" t="str">
        <x:f>IF(AND(COUNT($I$297:$I$301)=5,COUNT(E298:F298)=2),IF(E298&gt;=F298,"Ready","Budget below minima"),"Check inputs")</x:f>
        <x:v>Ready</x:v>
      </x:c>
      <x:c r="U298" s="22" t="n">
        <x:f>IF(COUNT(I298,M298,N298)=3,MAX(0,ROUND(I298+M298-N298,2)),"n.a.")</x:f>
        <x:v>0</x:v>
      </x:c>
    </x:row>
    <x:row r="299" ht="22" customHeight="1">
      <x:c r="A299" s="2"/>
      <x:c r="B299" s="2"/>
      <x:c r="C299" s="27" t="n">
        <x:f>59</x:f>
        <x:v>59</x:v>
      </x:c>
      <x:c r="D299" s="28" t="n">
        <x:f>IF(ISNUMBER('Inputs'!$D$7),EDATE('Inputs'!$D$7,58),"n.a.")</x:f>
        <x:v>48092</x:v>
      </x:c>
      <x:c r="E299" s="26" t="n">
        <x:f>IF('Inputs'!$D$9&lt;&gt;"Ready","n.a.",IF(ISNUMBER('Inputs'!E77),IF('Inputs'!E77&gt;=0,'Inputs'!E77,"n.a."),IF('Inputs'!E77="",'Inputs'!$D$6,"n.a.")))</x:f>
        <x:v>500</x:v>
      </x:c>
      <x:c r="F299" s="22" t="n">
        <x:f>IF(COUNT($N$297:$N$301)=5,SUM($N$297:$N$301),"n.a.")</x:f>
        <x:v>0</x:v>
      </x:c>
      <x:c r="G299" s="22" t="n">
        <x:f>IF(COUNT(E299:F299)=2,MAX(0,E299-F299),"n.a.")</x:f>
        <x:v>500</x:v>
      </x:c>
      <x:c r="H299" s="26" t="str">
        <x:f>'Inputs'!C13</x:f>
        <x:v>Loan C</x:v>
      </x:c>
      <x:c r="I299" s="26" t="n">
        <x:f>S294</x:f>
        <x:v>0</x:v>
      </x:c>
      <x:c r="J299" s="29" t="n">
        <x:f>IF('Inputs'!$D$9="Ready",'Inputs'!E13,"n.a.")</x:f>
        <x:v>0.08</x:v>
      </x:c>
      <x:c r="K299" s="26" t="n">
        <x:f>IF('Inputs'!$D$9="Ready",'Inputs'!F13,"n.a.")</x:f>
        <x:v>150</x:v>
      </x:c>
      <x:c r="L299" s="29" t="n">
        <x:f>IF('Inputs'!$D$9="Ready",'Inputs'!G13,"n.a.")</x:f>
        <x:v>0</x:v>
      </x:c>
      <x:c r="M299" s="22" t="n">
        <x:f>IF(COUNT(I299:L299)=4,ROUND(I299*J299/12,2),"n.a.")</x:f>
        <x:v>0</x:v>
      </x:c>
      <x:c r="N299" s="22" t="n">
        <x:f>IF(COUNT(I299:M299)=5,MIN(I299+M299,ROUND(MAX(K299,I299*L299+M299),2)),"n.a.")</x:f>
        <x:v>0</x:v>
      </x:c>
      <x:c r="O299" s="30" t="n">
        <x:f>IF(COUNT($I$297:$I$301)&lt;&gt;5,"n.a.",IF(I299=0,6,IF('Inputs'!$D$5=1,COUNTIFS($I$297:$I$301,"&gt;0",$I$297:$I$301,"&lt;"&amp;I299)+COUNTIFS($I$297:I299,I299),COUNTIFS($I$297:$I$301,"&gt;0",$J$297:$J$301,"&gt;"&amp;J299)+COUNTIFS($I$297:I299,"&gt;0",$J$297:J299,J299))))</x:f>
        <x:v>6</x:v>
      </x:c>
      <x:c r="P299" s="22" t="n">
        <x:f>IF(T299="Ready",MIN(U299,MAX(0,G299-SUMIFS($U$297:$U$301,$O$297:$O$301,"&lt;"&amp;O299))),"n.a.")</x:f>
        <x:v>0</x:v>
      </x:c>
      <x:c r="Q299" s="22" t="n">
        <x:f>IF(T299="Ready",ROUND(N299+P299,2),"n.a.")</x:f>
        <x:v>0</x:v>
      </x:c>
      <x:c r="R299" s="22" t="n">
        <x:f>IF(T299="Ready",ROUND(Q299-M299,2),"n.a.")</x:f>
        <x:v>0</x:v>
      </x:c>
      <x:c r="S299" s="22" t="n">
        <x:f>IF(T299="Ready",MAX(0,ROUND(I299+M299-Q299,2)),"n.a.")</x:f>
        <x:v>0</x:v>
      </x:c>
      <x:c r="T299" s="22" t="str">
        <x:f>IF(AND(COUNT($I$297:$I$301)=5,COUNT(E299:F299)=2),IF(E299&gt;=F299,"Ready","Budget below minima"),"Check inputs")</x:f>
        <x:v>Ready</x:v>
      </x:c>
      <x:c r="U299" s="22" t="n">
        <x:f>IF(COUNT(I299,M299,N299)=3,MAX(0,ROUND(I299+M299-N299,2)),"n.a.")</x:f>
        <x:v>0</x:v>
      </x:c>
    </x:row>
    <x:row r="300" ht="22" customHeight="1">
      <x:c r="A300" s="2"/>
      <x:c r="B300" s="2"/>
      <x:c r="C300" s="27" t="n">
        <x:f>59</x:f>
        <x:v>59</x:v>
      </x:c>
      <x:c r="D300" s="28" t="n">
        <x:f>IF(ISNUMBER('Inputs'!$D$7),EDATE('Inputs'!$D$7,58),"n.a.")</x:f>
        <x:v>48092</x:v>
      </x:c>
      <x:c r="E300" s="26" t="n">
        <x:f>IF('Inputs'!$D$9&lt;&gt;"Ready","n.a.",IF(ISNUMBER('Inputs'!E77),IF('Inputs'!E77&gt;=0,'Inputs'!E77,"n.a."),IF('Inputs'!E77="",'Inputs'!$D$6,"n.a.")))</x:f>
        <x:v>500</x:v>
      </x:c>
      <x:c r="F300" s="22" t="n">
        <x:f>IF(COUNT($N$297:$N$301)=5,SUM($N$297:$N$301),"n.a.")</x:f>
        <x:v>0</x:v>
      </x:c>
      <x:c r="G300" s="22" t="n">
        <x:f>IF(COUNT(E300:F300)=2,MAX(0,E300-F300),"n.a.")</x:f>
        <x:v>500</x:v>
      </x:c>
      <x:c r="H300" s="26" t="str">
        <x:f>'Inputs'!C14</x:f>
        <x:v>Unused 4</x:v>
      </x:c>
      <x:c r="I300" s="26" t="n">
        <x:f>S295</x:f>
        <x:v>0</x:v>
      </x:c>
      <x:c r="J300" s="29" t="n">
        <x:f>IF('Inputs'!$D$9="Ready",'Inputs'!E14,"n.a.")</x:f>
        <x:v>0</x:v>
      </x:c>
      <x:c r="K300" s="26" t="n">
        <x:f>IF('Inputs'!$D$9="Ready",'Inputs'!F14,"n.a.")</x:f>
        <x:v>0</x:v>
      </x:c>
      <x:c r="L300" s="29" t="n">
        <x:f>IF('Inputs'!$D$9="Ready",'Inputs'!G14,"n.a.")</x:f>
        <x:v>0</x:v>
      </x:c>
      <x:c r="M300" s="22" t="n">
        <x:f>IF(COUNT(I300:L300)=4,ROUND(I300*J300/12,2),"n.a.")</x:f>
        <x:v>0</x:v>
      </x:c>
      <x:c r="N300" s="22" t="n">
        <x:f>IF(COUNT(I300:M300)=5,MIN(I300+M300,ROUND(MAX(K300,I300*L300+M300),2)),"n.a.")</x:f>
        <x:v>0</x:v>
      </x:c>
      <x:c r="O300" s="30" t="n">
        <x:f>IF(COUNT($I$297:$I$301)&lt;&gt;5,"n.a.",IF(I300=0,6,IF('Inputs'!$D$5=1,COUNTIFS($I$297:$I$301,"&gt;0",$I$297:$I$301,"&lt;"&amp;I300)+COUNTIFS($I$297:I300,I300),COUNTIFS($I$297:$I$301,"&gt;0",$J$297:$J$301,"&gt;"&amp;J300)+COUNTIFS($I$297:I300,"&gt;0",$J$297:J300,J300))))</x:f>
        <x:v>6</x:v>
      </x:c>
      <x:c r="P300" s="22" t="n">
        <x:f>IF(T300="Ready",MIN(U300,MAX(0,G300-SUMIFS($U$297:$U$301,$O$297:$O$301,"&lt;"&amp;O300))),"n.a.")</x:f>
        <x:v>0</x:v>
      </x:c>
      <x:c r="Q300" s="22" t="n">
        <x:f>IF(T300="Ready",ROUND(N300+P300,2),"n.a.")</x:f>
        <x:v>0</x:v>
      </x:c>
      <x:c r="R300" s="22" t="n">
        <x:f>IF(T300="Ready",ROUND(Q300-M300,2),"n.a.")</x:f>
        <x:v>0</x:v>
      </x:c>
      <x:c r="S300" s="22" t="n">
        <x:f>IF(T300="Ready",MAX(0,ROUND(I300+M300-Q300,2)),"n.a.")</x:f>
        <x:v>0</x:v>
      </x:c>
      <x:c r="T300" s="22" t="str">
        <x:f>IF(AND(COUNT($I$297:$I$301)=5,COUNT(E300:F300)=2),IF(E300&gt;=F300,"Ready","Budget below minima"),"Check inputs")</x:f>
        <x:v>Ready</x:v>
      </x:c>
      <x:c r="U300" s="22" t="n">
        <x:f>IF(COUNT(I300,M300,N300)=3,MAX(0,ROUND(I300+M300-N300,2)),"n.a.")</x:f>
        <x:v>0</x:v>
      </x:c>
    </x:row>
    <x:row r="301" ht="22" customHeight="1">
      <x:c r="A301" s="2"/>
      <x:c r="B301" s="2"/>
      <x:c r="C301" s="27" t="n">
        <x:f>59</x:f>
        <x:v>59</x:v>
      </x:c>
      <x:c r="D301" s="28" t="n">
        <x:f>IF(ISNUMBER('Inputs'!$D$7),EDATE('Inputs'!$D$7,58),"n.a.")</x:f>
        <x:v>48092</x:v>
      </x:c>
      <x:c r="E301" s="26" t="n">
        <x:f>IF('Inputs'!$D$9&lt;&gt;"Ready","n.a.",IF(ISNUMBER('Inputs'!E77),IF('Inputs'!E77&gt;=0,'Inputs'!E77,"n.a."),IF('Inputs'!E77="",'Inputs'!$D$6,"n.a.")))</x:f>
        <x:v>500</x:v>
      </x:c>
      <x:c r="F301" s="22" t="n">
        <x:f>IF(COUNT($N$297:$N$301)=5,SUM($N$297:$N$301),"n.a.")</x:f>
        <x:v>0</x:v>
      </x:c>
      <x:c r="G301" s="22" t="n">
        <x:f>IF(COUNT(E301:F301)=2,MAX(0,E301-F301),"n.a.")</x:f>
        <x:v>500</x:v>
      </x:c>
      <x:c r="H301" s="26" t="str">
        <x:f>'Inputs'!C15</x:f>
        <x:v>Unused 5</x:v>
      </x:c>
      <x:c r="I301" s="26" t="n">
        <x:f>S296</x:f>
        <x:v>0</x:v>
      </x:c>
      <x:c r="J301" s="29" t="n">
        <x:f>IF('Inputs'!$D$9="Ready",'Inputs'!E15,"n.a.")</x:f>
        <x:v>0</x:v>
      </x:c>
      <x:c r="K301" s="26" t="n">
        <x:f>IF('Inputs'!$D$9="Ready",'Inputs'!F15,"n.a.")</x:f>
        <x:v>0</x:v>
      </x:c>
      <x:c r="L301" s="29" t="n">
        <x:f>IF('Inputs'!$D$9="Ready",'Inputs'!G15,"n.a.")</x:f>
        <x:v>0</x:v>
      </x:c>
      <x:c r="M301" s="22" t="n">
        <x:f>IF(COUNT(I301:L301)=4,ROUND(I301*J301/12,2),"n.a.")</x:f>
        <x:v>0</x:v>
      </x:c>
      <x:c r="N301" s="22" t="n">
        <x:f>IF(COUNT(I301:M301)=5,MIN(I301+M301,ROUND(MAX(K301,I301*L301+M301),2)),"n.a.")</x:f>
        <x:v>0</x:v>
      </x:c>
      <x:c r="O301" s="30" t="n">
        <x:f>IF(COUNT($I$297:$I$301)&lt;&gt;5,"n.a.",IF(I301=0,6,IF('Inputs'!$D$5=1,COUNTIFS($I$297:$I$301,"&gt;0",$I$297:$I$301,"&lt;"&amp;I301)+COUNTIFS($I$297:I301,I301),COUNTIFS($I$297:$I$301,"&gt;0",$J$297:$J$301,"&gt;"&amp;J301)+COUNTIFS($I$297:I301,"&gt;0",$J$297:J301,J301))))</x:f>
        <x:v>6</x:v>
      </x:c>
      <x:c r="P301" s="22" t="n">
        <x:f>IF(T301="Ready",MIN(U301,MAX(0,G301-SUMIFS($U$297:$U$301,$O$297:$O$301,"&lt;"&amp;O301))),"n.a.")</x:f>
        <x:v>0</x:v>
      </x:c>
      <x:c r="Q301" s="22" t="n">
        <x:f>IF(T301="Ready",ROUND(N301+P301,2),"n.a.")</x:f>
        <x:v>0</x:v>
      </x:c>
      <x:c r="R301" s="22" t="n">
        <x:f>IF(T301="Ready",ROUND(Q301-M301,2),"n.a.")</x:f>
        <x:v>0</x:v>
      </x:c>
      <x:c r="S301" s="22" t="n">
        <x:f>IF(T301="Ready",MAX(0,ROUND(I301+M301-Q301,2)),"n.a.")</x:f>
        <x:v>0</x:v>
      </x:c>
      <x:c r="T301" s="22" t="str">
        <x:f>IF(AND(COUNT($I$297:$I$301)=5,COUNT(E301:F301)=2),IF(E301&gt;=F301,"Ready","Budget below minima"),"Check inputs")</x:f>
        <x:v>Ready</x:v>
      </x:c>
      <x:c r="U301" s="22" t="n">
        <x:f>IF(COUNT(I301,M301,N301)=3,MAX(0,ROUND(I301+M301-N301,2)),"n.a.")</x:f>
        <x:v>0</x:v>
      </x:c>
    </x:row>
    <x:row r="302" ht="22" customHeight="1">
      <x:c r="A302" s="2"/>
      <x:c r="B302" s="2"/>
      <x:c r="C302" s="27" t="n">
        <x:f>60</x:f>
        <x:v>60</x:v>
      </x:c>
      <x:c r="D302" s="28" t="n">
        <x:f>IF(ISNUMBER('Inputs'!$D$7),EDATE('Inputs'!$D$7,59),"n.a.")</x:f>
        <x:v>48122</x:v>
      </x:c>
      <x:c r="E302" s="26" t="n">
        <x:f>IF('Inputs'!$D$9&lt;&gt;"Ready","n.a.",IF(ISNUMBER('Inputs'!E78),IF('Inputs'!E78&gt;=0,'Inputs'!E78,"n.a."),IF('Inputs'!E78="",'Inputs'!$D$6,"n.a.")))</x:f>
        <x:v>500</x:v>
      </x:c>
      <x:c r="F302" s="22" t="n">
        <x:f>IF(COUNT($N$302:$N$306)=5,SUM($N$302:$N$306),"n.a.")</x:f>
        <x:v>0</x:v>
      </x:c>
      <x:c r="G302" s="22" t="n">
        <x:f>IF(COUNT(E302:F302)=2,MAX(0,E302-F302),"n.a.")</x:f>
        <x:v>500</x:v>
      </x:c>
      <x:c r="H302" s="26" t="str">
        <x:f>'Inputs'!C11</x:f>
        <x:v>Card A</x:v>
      </x:c>
      <x:c r="I302" s="26" t="n">
        <x:f>S297</x:f>
        <x:v>0</x:v>
      </x:c>
      <x:c r="J302" s="29" t="n">
        <x:f>IF('Inputs'!$D$9="Ready",'Inputs'!E11,"n.a.")</x:f>
        <x:v>0.24</x:v>
      </x:c>
      <x:c r="K302" s="26" t="n">
        <x:f>IF('Inputs'!$D$9="Ready",'Inputs'!F11,"n.a.")</x:f>
        <x:v>35</x:v>
      </x:c>
      <x:c r="L302" s="29" t="n">
        <x:f>IF('Inputs'!$D$9="Ready",'Inputs'!G11,"n.a.")</x:f>
        <x:v>0.02</x:v>
      </x:c>
      <x:c r="M302" s="22" t="n">
        <x:f>IF(COUNT(I302:L302)=4,ROUND(I302*J302/12,2),"n.a.")</x:f>
        <x:v>0</x:v>
      </x:c>
      <x:c r="N302" s="22" t="n">
        <x:f>IF(COUNT(I302:M302)=5,MIN(I302+M302,ROUND(MAX(K302,I302*L302+M302),2)),"n.a.")</x:f>
        <x:v>0</x:v>
      </x:c>
      <x:c r="O302" s="30" t="n">
        <x:f>IF(COUNT($I$302:$I$306)&lt;&gt;5,"n.a.",IF(I302=0,6,IF('Inputs'!$D$5=1,COUNTIFS($I$302:$I$306,"&gt;0",$I$302:$I$306,"&lt;"&amp;I302)+COUNTIFS($I$302:I302,I302),COUNTIFS($I$302:$I$306,"&gt;0",$J$302:$J$306,"&gt;"&amp;J302)+COUNTIFS($I$302:I302,"&gt;0",$J$302:J302,J302))))</x:f>
        <x:v>6</x:v>
      </x:c>
      <x:c r="P302" s="22" t="n">
        <x:f>IF(T302="Ready",MIN(U302,MAX(0,G302-SUMIFS($U$302:$U$306,$O$302:$O$306,"&lt;"&amp;O302))),"n.a.")</x:f>
        <x:v>0</x:v>
      </x:c>
      <x:c r="Q302" s="22" t="n">
        <x:f>IF(T302="Ready",ROUND(N302+P302,2),"n.a.")</x:f>
        <x:v>0</x:v>
      </x:c>
      <x:c r="R302" s="22" t="n">
        <x:f>IF(T302="Ready",ROUND(Q302-M302,2),"n.a.")</x:f>
        <x:v>0</x:v>
      </x:c>
      <x:c r="S302" s="22" t="n">
        <x:f>IF(T302="Ready",MAX(0,ROUND(I302+M302-Q302,2)),"n.a.")</x:f>
        <x:v>0</x:v>
      </x:c>
      <x:c r="T302" s="22" t="str">
        <x:f>IF(AND(COUNT($I$302:$I$306)=5,COUNT(E302:F302)=2),IF(E302&gt;=F302,"Ready","Budget below minima"),"Check inputs")</x:f>
        <x:v>Ready</x:v>
      </x:c>
      <x:c r="U302" s="22" t="n">
        <x:f>IF(COUNT(I302,M302,N302)=3,MAX(0,ROUND(I302+M302-N302,2)),"n.a.")</x:f>
        <x:v>0</x:v>
      </x:c>
    </x:row>
    <x:row r="303" ht="22" customHeight="1">
      <x:c r="A303" s="2"/>
      <x:c r="B303" s="2"/>
      <x:c r="C303" s="27" t="n">
        <x:f>60</x:f>
        <x:v>60</x:v>
      </x:c>
      <x:c r="D303" s="28" t="n">
        <x:f>IF(ISNUMBER('Inputs'!$D$7),EDATE('Inputs'!$D$7,59),"n.a.")</x:f>
        <x:v>48122</x:v>
      </x:c>
      <x:c r="E303" s="26" t="n">
        <x:f>IF('Inputs'!$D$9&lt;&gt;"Ready","n.a.",IF(ISNUMBER('Inputs'!E78),IF('Inputs'!E78&gt;=0,'Inputs'!E78,"n.a."),IF('Inputs'!E78="",'Inputs'!$D$6,"n.a.")))</x:f>
        <x:v>500</x:v>
      </x:c>
      <x:c r="F303" s="22" t="n">
        <x:f>IF(COUNT($N$302:$N$306)=5,SUM($N$302:$N$306),"n.a.")</x:f>
        <x:v>0</x:v>
      </x:c>
      <x:c r="G303" s="22" t="n">
        <x:f>IF(COUNT(E303:F303)=2,MAX(0,E303-F303),"n.a.")</x:f>
        <x:v>500</x:v>
      </x:c>
      <x:c r="H303" s="26" t="str">
        <x:f>'Inputs'!C12</x:f>
        <x:v>Card B</x:v>
      </x:c>
      <x:c r="I303" s="26" t="n">
        <x:f>S298</x:f>
        <x:v>0</x:v>
      </x:c>
      <x:c r="J303" s="29" t="n">
        <x:f>IF('Inputs'!$D$9="Ready",'Inputs'!E12,"n.a.")</x:f>
        <x:v>0.18</x:v>
      </x:c>
      <x:c r="K303" s="26" t="n">
        <x:f>IF('Inputs'!$D$9="Ready",'Inputs'!F12,"n.a.")</x:f>
        <x:v>60</x:v>
      </x:c>
      <x:c r="L303" s="29" t="n">
        <x:f>IF('Inputs'!$D$9="Ready",'Inputs'!G12,"n.a.")</x:f>
        <x:v>0.02</x:v>
      </x:c>
      <x:c r="M303" s="22" t="n">
        <x:f>IF(COUNT(I303:L303)=4,ROUND(I303*J303/12,2),"n.a.")</x:f>
        <x:v>0</x:v>
      </x:c>
      <x:c r="N303" s="22" t="n">
        <x:f>IF(COUNT(I303:M303)=5,MIN(I303+M303,ROUND(MAX(K303,I303*L303+M303),2)),"n.a.")</x:f>
        <x:v>0</x:v>
      </x:c>
      <x:c r="O303" s="30" t="n">
        <x:f>IF(COUNT($I$302:$I$306)&lt;&gt;5,"n.a.",IF(I303=0,6,IF('Inputs'!$D$5=1,COUNTIFS($I$302:$I$306,"&gt;0",$I$302:$I$306,"&lt;"&amp;I303)+COUNTIFS($I$302:I303,I303),COUNTIFS($I$302:$I$306,"&gt;0",$J$302:$J$306,"&gt;"&amp;J303)+COUNTIFS($I$302:I303,"&gt;0",$J$302:J303,J303))))</x:f>
        <x:v>6</x:v>
      </x:c>
      <x:c r="P303" s="22" t="n">
        <x:f>IF(T303="Ready",MIN(U303,MAX(0,G303-SUMIFS($U$302:$U$306,$O$302:$O$306,"&lt;"&amp;O303))),"n.a.")</x:f>
        <x:v>0</x:v>
      </x:c>
      <x:c r="Q303" s="22" t="n">
        <x:f>IF(T303="Ready",ROUND(N303+P303,2),"n.a.")</x:f>
        <x:v>0</x:v>
      </x:c>
      <x:c r="R303" s="22" t="n">
        <x:f>IF(T303="Ready",ROUND(Q303-M303,2),"n.a.")</x:f>
        <x:v>0</x:v>
      </x:c>
      <x:c r="S303" s="22" t="n">
        <x:f>IF(T303="Ready",MAX(0,ROUND(I303+M303-Q303,2)),"n.a.")</x:f>
        <x:v>0</x:v>
      </x:c>
      <x:c r="T303" s="22" t="str">
        <x:f>IF(AND(COUNT($I$302:$I$306)=5,COUNT(E303:F303)=2),IF(E303&gt;=F303,"Ready","Budget below minima"),"Check inputs")</x:f>
        <x:v>Ready</x:v>
      </x:c>
      <x:c r="U303" s="22" t="n">
        <x:f>IF(COUNT(I303,M303,N303)=3,MAX(0,ROUND(I303+M303-N303,2)),"n.a.")</x:f>
        <x:v>0</x:v>
      </x:c>
    </x:row>
    <x:row r="304" ht="22" customHeight="1">
      <x:c r="A304" s="2"/>
      <x:c r="B304" s="2"/>
      <x:c r="C304" s="27" t="n">
        <x:f>60</x:f>
        <x:v>60</x:v>
      </x:c>
      <x:c r="D304" s="28" t="n">
        <x:f>IF(ISNUMBER('Inputs'!$D$7),EDATE('Inputs'!$D$7,59),"n.a.")</x:f>
        <x:v>48122</x:v>
      </x:c>
      <x:c r="E304" s="26" t="n">
        <x:f>IF('Inputs'!$D$9&lt;&gt;"Ready","n.a.",IF(ISNUMBER('Inputs'!E78),IF('Inputs'!E78&gt;=0,'Inputs'!E78,"n.a."),IF('Inputs'!E78="",'Inputs'!$D$6,"n.a.")))</x:f>
        <x:v>500</x:v>
      </x:c>
      <x:c r="F304" s="22" t="n">
        <x:f>IF(COUNT($N$302:$N$306)=5,SUM($N$302:$N$306),"n.a.")</x:f>
        <x:v>0</x:v>
      </x:c>
      <x:c r="G304" s="22" t="n">
        <x:f>IF(COUNT(E304:F304)=2,MAX(0,E304-F304),"n.a.")</x:f>
        <x:v>500</x:v>
      </x:c>
      <x:c r="H304" s="26" t="str">
        <x:f>'Inputs'!C13</x:f>
        <x:v>Loan C</x:v>
      </x:c>
      <x:c r="I304" s="26" t="n">
        <x:f>S299</x:f>
        <x:v>0</x:v>
      </x:c>
      <x:c r="J304" s="29" t="n">
        <x:f>IF('Inputs'!$D$9="Ready",'Inputs'!E13,"n.a.")</x:f>
        <x:v>0.08</x:v>
      </x:c>
      <x:c r="K304" s="26" t="n">
        <x:f>IF('Inputs'!$D$9="Ready",'Inputs'!F13,"n.a.")</x:f>
        <x:v>150</x:v>
      </x:c>
      <x:c r="L304" s="29" t="n">
        <x:f>IF('Inputs'!$D$9="Ready",'Inputs'!G13,"n.a.")</x:f>
        <x:v>0</x:v>
      </x:c>
      <x:c r="M304" s="22" t="n">
        <x:f>IF(COUNT(I304:L304)=4,ROUND(I304*J304/12,2),"n.a.")</x:f>
        <x:v>0</x:v>
      </x:c>
      <x:c r="N304" s="22" t="n">
        <x:f>IF(COUNT(I304:M304)=5,MIN(I304+M304,ROUND(MAX(K304,I304*L304+M304),2)),"n.a.")</x:f>
        <x:v>0</x:v>
      </x:c>
      <x:c r="O304" s="30" t="n">
        <x:f>IF(COUNT($I$302:$I$306)&lt;&gt;5,"n.a.",IF(I304=0,6,IF('Inputs'!$D$5=1,COUNTIFS($I$302:$I$306,"&gt;0",$I$302:$I$306,"&lt;"&amp;I304)+COUNTIFS($I$302:I304,I304),COUNTIFS($I$302:$I$306,"&gt;0",$J$302:$J$306,"&gt;"&amp;J304)+COUNTIFS($I$302:I304,"&gt;0",$J$302:J304,J304))))</x:f>
        <x:v>6</x:v>
      </x:c>
      <x:c r="P304" s="22" t="n">
        <x:f>IF(T304="Ready",MIN(U304,MAX(0,G304-SUMIFS($U$302:$U$306,$O$302:$O$306,"&lt;"&amp;O304))),"n.a.")</x:f>
        <x:v>0</x:v>
      </x:c>
      <x:c r="Q304" s="22" t="n">
        <x:f>IF(T304="Ready",ROUND(N304+P304,2),"n.a.")</x:f>
        <x:v>0</x:v>
      </x:c>
      <x:c r="R304" s="22" t="n">
        <x:f>IF(T304="Ready",ROUND(Q304-M304,2),"n.a.")</x:f>
        <x:v>0</x:v>
      </x:c>
      <x:c r="S304" s="22" t="n">
        <x:f>IF(T304="Ready",MAX(0,ROUND(I304+M304-Q304,2)),"n.a.")</x:f>
        <x:v>0</x:v>
      </x:c>
      <x:c r="T304" s="22" t="str">
        <x:f>IF(AND(COUNT($I$302:$I$306)=5,COUNT(E304:F304)=2),IF(E304&gt;=F304,"Ready","Budget below minima"),"Check inputs")</x:f>
        <x:v>Ready</x:v>
      </x:c>
      <x:c r="U304" s="22" t="n">
        <x:f>IF(COUNT(I304,M304,N304)=3,MAX(0,ROUND(I304+M304-N304,2)),"n.a.")</x:f>
        <x:v>0</x:v>
      </x:c>
    </x:row>
    <x:row r="305" ht="22" customHeight="1">
      <x:c r="A305" s="2"/>
      <x:c r="B305" s="2"/>
      <x:c r="C305" s="27" t="n">
        <x:f>60</x:f>
        <x:v>60</x:v>
      </x:c>
      <x:c r="D305" s="28" t="n">
        <x:f>IF(ISNUMBER('Inputs'!$D$7),EDATE('Inputs'!$D$7,59),"n.a.")</x:f>
        <x:v>48122</x:v>
      </x:c>
      <x:c r="E305" s="26" t="n">
        <x:f>IF('Inputs'!$D$9&lt;&gt;"Ready","n.a.",IF(ISNUMBER('Inputs'!E78),IF('Inputs'!E78&gt;=0,'Inputs'!E78,"n.a."),IF('Inputs'!E78="",'Inputs'!$D$6,"n.a.")))</x:f>
        <x:v>500</x:v>
      </x:c>
      <x:c r="F305" s="22" t="n">
        <x:f>IF(COUNT($N$302:$N$306)=5,SUM($N$302:$N$306),"n.a.")</x:f>
        <x:v>0</x:v>
      </x:c>
      <x:c r="G305" s="22" t="n">
        <x:f>IF(COUNT(E305:F305)=2,MAX(0,E305-F305),"n.a.")</x:f>
        <x:v>500</x:v>
      </x:c>
      <x:c r="H305" s="26" t="str">
        <x:f>'Inputs'!C14</x:f>
        <x:v>Unused 4</x:v>
      </x:c>
      <x:c r="I305" s="26" t="n">
        <x:f>S300</x:f>
        <x:v>0</x:v>
      </x:c>
      <x:c r="J305" s="29" t="n">
        <x:f>IF('Inputs'!$D$9="Ready",'Inputs'!E14,"n.a.")</x:f>
        <x:v>0</x:v>
      </x:c>
      <x:c r="K305" s="26" t="n">
        <x:f>IF('Inputs'!$D$9="Ready",'Inputs'!F14,"n.a.")</x:f>
        <x:v>0</x:v>
      </x:c>
      <x:c r="L305" s="29" t="n">
        <x:f>IF('Inputs'!$D$9="Ready",'Inputs'!G14,"n.a.")</x:f>
        <x:v>0</x:v>
      </x:c>
      <x:c r="M305" s="22" t="n">
        <x:f>IF(COUNT(I305:L305)=4,ROUND(I305*J305/12,2),"n.a.")</x:f>
        <x:v>0</x:v>
      </x:c>
      <x:c r="N305" s="22" t="n">
        <x:f>IF(COUNT(I305:M305)=5,MIN(I305+M305,ROUND(MAX(K305,I305*L305+M305),2)),"n.a.")</x:f>
        <x:v>0</x:v>
      </x:c>
      <x:c r="O305" s="30" t="n">
        <x:f>IF(COUNT($I$302:$I$306)&lt;&gt;5,"n.a.",IF(I305=0,6,IF('Inputs'!$D$5=1,COUNTIFS($I$302:$I$306,"&gt;0",$I$302:$I$306,"&lt;"&amp;I305)+COUNTIFS($I$302:I305,I305),COUNTIFS($I$302:$I$306,"&gt;0",$J$302:$J$306,"&gt;"&amp;J305)+COUNTIFS($I$302:I305,"&gt;0",$J$302:J305,J305))))</x:f>
        <x:v>6</x:v>
      </x:c>
      <x:c r="P305" s="22" t="n">
        <x:f>IF(T305="Ready",MIN(U305,MAX(0,G305-SUMIFS($U$302:$U$306,$O$302:$O$306,"&lt;"&amp;O305))),"n.a.")</x:f>
        <x:v>0</x:v>
      </x:c>
      <x:c r="Q305" s="22" t="n">
        <x:f>IF(T305="Ready",ROUND(N305+P305,2),"n.a.")</x:f>
        <x:v>0</x:v>
      </x:c>
      <x:c r="R305" s="22" t="n">
        <x:f>IF(T305="Ready",ROUND(Q305-M305,2),"n.a.")</x:f>
        <x:v>0</x:v>
      </x:c>
      <x:c r="S305" s="22" t="n">
        <x:f>IF(T305="Ready",MAX(0,ROUND(I305+M305-Q305,2)),"n.a.")</x:f>
        <x:v>0</x:v>
      </x:c>
      <x:c r="T305" s="22" t="str">
        <x:f>IF(AND(COUNT($I$302:$I$306)=5,COUNT(E305:F305)=2),IF(E305&gt;=F305,"Ready","Budget below minima"),"Check inputs")</x:f>
        <x:v>Ready</x:v>
      </x:c>
      <x:c r="U305" s="22" t="n">
        <x:f>IF(COUNT(I305,M305,N305)=3,MAX(0,ROUND(I305+M305-N305,2)),"n.a.")</x:f>
        <x:v>0</x:v>
      </x:c>
    </x:row>
    <x:row r="306" ht="22" customHeight="1">
      <x:c r="A306" s="2"/>
      <x:c r="B306" s="2"/>
      <x:c r="C306" s="27" t="n">
        <x:f>60</x:f>
        <x:v>60</x:v>
      </x:c>
      <x:c r="D306" s="28" t="n">
        <x:f>IF(ISNUMBER('Inputs'!$D$7),EDATE('Inputs'!$D$7,59),"n.a.")</x:f>
        <x:v>48122</x:v>
      </x:c>
      <x:c r="E306" s="26" t="n">
        <x:f>IF('Inputs'!$D$9&lt;&gt;"Ready","n.a.",IF(ISNUMBER('Inputs'!E78),IF('Inputs'!E78&gt;=0,'Inputs'!E78,"n.a."),IF('Inputs'!E78="",'Inputs'!$D$6,"n.a.")))</x:f>
        <x:v>500</x:v>
      </x:c>
      <x:c r="F306" s="22" t="n">
        <x:f>IF(COUNT($N$302:$N$306)=5,SUM($N$302:$N$306),"n.a.")</x:f>
        <x:v>0</x:v>
      </x:c>
      <x:c r="G306" s="22" t="n">
        <x:f>IF(COUNT(E306:F306)=2,MAX(0,E306-F306),"n.a.")</x:f>
        <x:v>500</x:v>
      </x:c>
      <x:c r="H306" s="26" t="str">
        <x:f>'Inputs'!C15</x:f>
        <x:v>Unused 5</x:v>
      </x:c>
      <x:c r="I306" s="26" t="n">
        <x:f>S301</x:f>
        <x:v>0</x:v>
      </x:c>
      <x:c r="J306" s="29" t="n">
        <x:f>IF('Inputs'!$D$9="Ready",'Inputs'!E15,"n.a.")</x:f>
        <x:v>0</x:v>
      </x:c>
      <x:c r="K306" s="26" t="n">
        <x:f>IF('Inputs'!$D$9="Ready",'Inputs'!F15,"n.a.")</x:f>
        <x:v>0</x:v>
      </x:c>
      <x:c r="L306" s="29" t="n">
        <x:f>IF('Inputs'!$D$9="Ready",'Inputs'!G15,"n.a.")</x:f>
        <x:v>0</x:v>
      </x:c>
      <x:c r="M306" s="22" t="n">
        <x:f>IF(COUNT(I306:L306)=4,ROUND(I306*J306/12,2),"n.a.")</x:f>
        <x:v>0</x:v>
      </x:c>
      <x:c r="N306" s="22" t="n">
        <x:f>IF(COUNT(I306:M306)=5,MIN(I306+M306,ROUND(MAX(K306,I306*L306+M306),2)),"n.a.")</x:f>
        <x:v>0</x:v>
      </x:c>
      <x:c r="O306" s="30" t="n">
        <x:f>IF(COUNT($I$302:$I$306)&lt;&gt;5,"n.a.",IF(I306=0,6,IF('Inputs'!$D$5=1,COUNTIFS($I$302:$I$306,"&gt;0",$I$302:$I$306,"&lt;"&amp;I306)+COUNTIFS($I$302:I306,I306),COUNTIFS($I$302:$I$306,"&gt;0",$J$302:$J$306,"&gt;"&amp;J306)+COUNTIFS($I$302:I306,"&gt;0",$J$302:J306,J306))))</x:f>
        <x:v>6</x:v>
      </x:c>
      <x:c r="P306" s="22" t="n">
        <x:f>IF(T306="Ready",MIN(U306,MAX(0,G306-SUMIFS($U$302:$U$306,$O$302:$O$306,"&lt;"&amp;O306))),"n.a.")</x:f>
        <x:v>0</x:v>
      </x:c>
      <x:c r="Q306" s="22" t="n">
        <x:f>IF(T306="Ready",ROUND(N306+P306,2),"n.a.")</x:f>
        <x:v>0</x:v>
      </x:c>
      <x:c r="R306" s="22" t="n">
        <x:f>IF(T306="Ready",ROUND(Q306-M306,2),"n.a.")</x:f>
        <x:v>0</x:v>
      </x:c>
      <x:c r="S306" s="22" t="n">
        <x:f>IF(T306="Ready",MAX(0,ROUND(I306+M306-Q306,2)),"n.a.")</x:f>
        <x:v>0</x:v>
      </x:c>
      <x:c r="T306" s="22" t="str">
        <x:f>IF(AND(COUNT($I$302:$I$306)=5,COUNT(E306:F306)=2),IF(E306&gt;=F306,"Ready","Budget below minima"),"Check inputs")</x:f>
        <x:v>Ready</x:v>
      </x:c>
      <x:c r="U306" s="22" t="n">
        <x:f>IF(COUNT(I306,M306,N306)=3,MAX(0,ROUND(I306+M306-N306,2)),"n.a.")</x:f>
        <x:v>0</x:v>
      </x:c>
    </x:row>
    <x:row r="307" ht="22" customHeight="1">
      <x:c r="A307" s="2"/>
      <x:c r="B307" s="2"/>
      <x:c r="C307" s="27" t="n">
        <x:f>61</x:f>
        <x:v>61</x:v>
      </x:c>
      <x:c r="D307" s="28" t="n">
        <x:f>IF(ISNUMBER('Inputs'!$D$7),EDATE('Inputs'!$D$7,60),"n.a.")</x:f>
        <x:v>48153</x:v>
      </x:c>
      <x:c r="E307" s="26" t="n">
        <x:f>IF('Inputs'!$D$9&lt;&gt;"Ready","n.a.",IF(ISNUMBER('Inputs'!E79),IF('Inputs'!E79&gt;=0,'Inputs'!E79,"n.a."),IF('Inputs'!E79="",'Inputs'!$D$6,"n.a.")))</x:f>
        <x:v>500</x:v>
      </x:c>
      <x:c r="F307" s="22" t="n">
        <x:f>IF(COUNT($N$307:$N$311)=5,SUM($N$307:$N$311),"n.a.")</x:f>
        <x:v>0</x:v>
      </x:c>
      <x:c r="G307" s="22" t="n">
        <x:f>IF(COUNT(E307:F307)=2,MAX(0,E307-F307),"n.a.")</x:f>
        <x:v>500</x:v>
      </x:c>
      <x:c r="H307" s="26" t="str">
        <x:f>'Inputs'!C11</x:f>
        <x:v>Card A</x:v>
      </x:c>
      <x:c r="I307" s="26" t="n">
        <x:f>S302</x:f>
        <x:v>0</x:v>
      </x:c>
      <x:c r="J307" s="29" t="n">
        <x:f>IF('Inputs'!$D$9="Ready",'Inputs'!E11,"n.a.")</x:f>
        <x:v>0.24</x:v>
      </x:c>
      <x:c r="K307" s="26" t="n">
        <x:f>IF('Inputs'!$D$9="Ready",'Inputs'!F11,"n.a.")</x:f>
        <x:v>35</x:v>
      </x:c>
      <x:c r="L307" s="29" t="n">
        <x:f>IF('Inputs'!$D$9="Ready",'Inputs'!G11,"n.a.")</x:f>
        <x:v>0.02</x:v>
      </x:c>
      <x:c r="M307" s="22" t="n">
        <x:f>IF(COUNT(I307:L307)=4,ROUND(I307*J307/12,2),"n.a.")</x:f>
        <x:v>0</x:v>
      </x:c>
      <x:c r="N307" s="22" t="n">
        <x:f>IF(COUNT(I307:M307)=5,MIN(I307+M307,ROUND(MAX(K307,I307*L307+M307),2)),"n.a.")</x:f>
        <x:v>0</x:v>
      </x:c>
      <x:c r="O307" s="30" t="n">
        <x:f>IF(COUNT($I$307:$I$311)&lt;&gt;5,"n.a.",IF(I307=0,6,IF('Inputs'!$D$5=1,COUNTIFS($I$307:$I$311,"&gt;0",$I$307:$I$311,"&lt;"&amp;I307)+COUNTIFS($I$307:I307,I307),COUNTIFS($I$307:$I$311,"&gt;0",$J$307:$J$311,"&gt;"&amp;J307)+COUNTIFS($I$307:I307,"&gt;0",$J$307:J307,J307))))</x:f>
        <x:v>6</x:v>
      </x:c>
      <x:c r="P307" s="22" t="n">
        <x:f>IF(T307="Ready",MIN(U307,MAX(0,G307-SUMIFS($U$307:$U$311,$O$307:$O$311,"&lt;"&amp;O307))),"n.a.")</x:f>
        <x:v>0</x:v>
      </x:c>
      <x:c r="Q307" s="22" t="n">
        <x:f>IF(T307="Ready",ROUND(N307+P307,2),"n.a.")</x:f>
        <x:v>0</x:v>
      </x:c>
      <x:c r="R307" s="22" t="n">
        <x:f>IF(T307="Ready",ROUND(Q307-M307,2),"n.a.")</x:f>
        <x:v>0</x:v>
      </x:c>
      <x:c r="S307" s="22" t="n">
        <x:f>IF(T307="Ready",MAX(0,ROUND(I307+M307-Q307,2)),"n.a.")</x:f>
        <x:v>0</x:v>
      </x:c>
      <x:c r="T307" s="22" t="str">
        <x:f>IF(AND(COUNT($I$307:$I$311)=5,COUNT(E307:F307)=2),IF(E307&gt;=F307,"Ready","Budget below minima"),"Check inputs")</x:f>
        <x:v>Ready</x:v>
      </x:c>
      <x:c r="U307" s="22" t="n">
        <x:f>IF(COUNT(I307,M307,N307)=3,MAX(0,ROUND(I307+M307-N307,2)),"n.a.")</x:f>
        <x:v>0</x:v>
      </x:c>
    </x:row>
    <x:row r="308" ht="22" customHeight="1">
      <x:c r="A308" s="2"/>
      <x:c r="B308" s="2"/>
      <x:c r="C308" s="27" t="n">
        <x:f>61</x:f>
        <x:v>61</x:v>
      </x:c>
      <x:c r="D308" s="28" t="n">
        <x:f>IF(ISNUMBER('Inputs'!$D$7),EDATE('Inputs'!$D$7,60),"n.a.")</x:f>
        <x:v>48153</x:v>
      </x:c>
      <x:c r="E308" s="26" t="n">
        <x:f>IF('Inputs'!$D$9&lt;&gt;"Ready","n.a.",IF(ISNUMBER('Inputs'!E79),IF('Inputs'!E79&gt;=0,'Inputs'!E79,"n.a."),IF('Inputs'!E79="",'Inputs'!$D$6,"n.a.")))</x:f>
        <x:v>500</x:v>
      </x:c>
      <x:c r="F308" s="22" t="n">
        <x:f>IF(COUNT($N$307:$N$311)=5,SUM($N$307:$N$311),"n.a.")</x:f>
        <x:v>0</x:v>
      </x:c>
      <x:c r="G308" s="22" t="n">
        <x:f>IF(COUNT(E308:F308)=2,MAX(0,E308-F308),"n.a.")</x:f>
        <x:v>500</x:v>
      </x:c>
      <x:c r="H308" s="26" t="str">
        <x:f>'Inputs'!C12</x:f>
        <x:v>Card B</x:v>
      </x:c>
      <x:c r="I308" s="26" t="n">
        <x:f>S303</x:f>
        <x:v>0</x:v>
      </x:c>
      <x:c r="J308" s="29" t="n">
        <x:f>IF('Inputs'!$D$9="Ready",'Inputs'!E12,"n.a.")</x:f>
        <x:v>0.18</x:v>
      </x:c>
      <x:c r="K308" s="26" t="n">
        <x:f>IF('Inputs'!$D$9="Ready",'Inputs'!F12,"n.a.")</x:f>
        <x:v>60</x:v>
      </x:c>
      <x:c r="L308" s="29" t="n">
        <x:f>IF('Inputs'!$D$9="Ready",'Inputs'!G12,"n.a.")</x:f>
        <x:v>0.02</x:v>
      </x:c>
      <x:c r="M308" s="22" t="n">
        <x:f>IF(COUNT(I308:L308)=4,ROUND(I308*J308/12,2),"n.a.")</x:f>
        <x:v>0</x:v>
      </x:c>
      <x:c r="N308" s="22" t="n">
        <x:f>IF(COUNT(I308:M308)=5,MIN(I308+M308,ROUND(MAX(K308,I308*L308+M308),2)),"n.a.")</x:f>
        <x:v>0</x:v>
      </x:c>
      <x:c r="O308" s="30" t="n">
        <x:f>IF(COUNT($I$307:$I$311)&lt;&gt;5,"n.a.",IF(I308=0,6,IF('Inputs'!$D$5=1,COUNTIFS($I$307:$I$311,"&gt;0",$I$307:$I$311,"&lt;"&amp;I308)+COUNTIFS($I$307:I308,I308),COUNTIFS($I$307:$I$311,"&gt;0",$J$307:$J$311,"&gt;"&amp;J308)+COUNTIFS($I$307:I308,"&gt;0",$J$307:J308,J308))))</x:f>
        <x:v>6</x:v>
      </x:c>
      <x:c r="P308" s="22" t="n">
        <x:f>IF(T308="Ready",MIN(U308,MAX(0,G308-SUMIFS($U$307:$U$311,$O$307:$O$311,"&lt;"&amp;O308))),"n.a.")</x:f>
        <x:v>0</x:v>
      </x:c>
      <x:c r="Q308" s="22" t="n">
        <x:f>IF(T308="Ready",ROUND(N308+P308,2),"n.a.")</x:f>
        <x:v>0</x:v>
      </x:c>
      <x:c r="R308" s="22" t="n">
        <x:f>IF(T308="Ready",ROUND(Q308-M308,2),"n.a.")</x:f>
        <x:v>0</x:v>
      </x:c>
      <x:c r="S308" s="22" t="n">
        <x:f>IF(T308="Ready",MAX(0,ROUND(I308+M308-Q308,2)),"n.a.")</x:f>
        <x:v>0</x:v>
      </x:c>
      <x:c r="T308" s="22" t="str">
        <x:f>IF(AND(COUNT($I$307:$I$311)=5,COUNT(E308:F308)=2),IF(E308&gt;=F308,"Ready","Budget below minima"),"Check inputs")</x:f>
        <x:v>Ready</x:v>
      </x:c>
      <x:c r="U308" s="22" t="n">
        <x:f>IF(COUNT(I308,M308,N308)=3,MAX(0,ROUND(I308+M308-N308,2)),"n.a.")</x:f>
        <x:v>0</x:v>
      </x:c>
    </x:row>
    <x:row r="309" ht="22" customHeight="1">
      <x:c r="A309" s="2"/>
      <x:c r="B309" s="2"/>
      <x:c r="C309" s="27" t="n">
        <x:f>61</x:f>
        <x:v>61</x:v>
      </x:c>
      <x:c r="D309" s="28" t="n">
        <x:f>IF(ISNUMBER('Inputs'!$D$7),EDATE('Inputs'!$D$7,60),"n.a.")</x:f>
        <x:v>48153</x:v>
      </x:c>
      <x:c r="E309" s="26" t="n">
        <x:f>IF('Inputs'!$D$9&lt;&gt;"Ready","n.a.",IF(ISNUMBER('Inputs'!E79),IF('Inputs'!E79&gt;=0,'Inputs'!E79,"n.a."),IF('Inputs'!E79="",'Inputs'!$D$6,"n.a.")))</x:f>
        <x:v>500</x:v>
      </x:c>
      <x:c r="F309" s="22" t="n">
        <x:f>IF(COUNT($N$307:$N$311)=5,SUM($N$307:$N$311),"n.a.")</x:f>
        <x:v>0</x:v>
      </x:c>
      <x:c r="G309" s="22" t="n">
        <x:f>IF(COUNT(E309:F309)=2,MAX(0,E309-F309),"n.a.")</x:f>
        <x:v>500</x:v>
      </x:c>
      <x:c r="H309" s="26" t="str">
        <x:f>'Inputs'!C13</x:f>
        <x:v>Loan C</x:v>
      </x:c>
      <x:c r="I309" s="26" t="n">
        <x:f>S304</x:f>
        <x:v>0</x:v>
      </x:c>
      <x:c r="J309" s="29" t="n">
        <x:f>IF('Inputs'!$D$9="Ready",'Inputs'!E13,"n.a.")</x:f>
        <x:v>0.08</x:v>
      </x:c>
      <x:c r="K309" s="26" t="n">
        <x:f>IF('Inputs'!$D$9="Ready",'Inputs'!F13,"n.a.")</x:f>
        <x:v>150</x:v>
      </x:c>
      <x:c r="L309" s="29" t="n">
        <x:f>IF('Inputs'!$D$9="Ready",'Inputs'!G13,"n.a.")</x:f>
        <x:v>0</x:v>
      </x:c>
      <x:c r="M309" s="22" t="n">
        <x:f>IF(COUNT(I309:L309)=4,ROUND(I309*J309/12,2),"n.a.")</x:f>
        <x:v>0</x:v>
      </x:c>
      <x:c r="N309" s="22" t="n">
        <x:f>IF(COUNT(I309:M309)=5,MIN(I309+M309,ROUND(MAX(K309,I309*L309+M309),2)),"n.a.")</x:f>
        <x:v>0</x:v>
      </x:c>
      <x:c r="O309" s="30" t="n">
        <x:f>IF(COUNT($I$307:$I$311)&lt;&gt;5,"n.a.",IF(I309=0,6,IF('Inputs'!$D$5=1,COUNTIFS($I$307:$I$311,"&gt;0",$I$307:$I$311,"&lt;"&amp;I309)+COUNTIFS($I$307:I309,I309),COUNTIFS($I$307:$I$311,"&gt;0",$J$307:$J$311,"&gt;"&amp;J309)+COUNTIFS($I$307:I309,"&gt;0",$J$307:J309,J309))))</x:f>
        <x:v>6</x:v>
      </x:c>
      <x:c r="P309" s="22" t="n">
        <x:f>IF(T309="Ready",MIN(U309,MAX(0,G309-SUMIFS($U$307:$U$311,$O$307:$O$311,"&lt;"&amp;O309))),"n.a.")</x:f>
        <x:v>0</x:v>
      </x:c>
      <x:c r="Q309" s="22" t="n">
        <x:f>IF(T309="Ready",ROUND(N309+P309,2),"n.a.")</x:f>
        <x:v>0</x:v>
      </x:c>
      <x:c r="R309" s="22" t="n">
        <x:f>IF(T309="Ready",ROUND(Q309-M309,2),"n.a.")</x:f>
        <x:v>0</x:v>
      </x:c>
      <x:c r="S309" s="22" t="n">
        <x:f>IF(T309="Ready",MAX(0,ROUND(I309+M309-Q309,2)),"n.a.")</x:f>
        <x:v>0</x:v>
      </x:c>
      <x:c r="T309" s="22" t="str">
        <x:f>IF(AND(COUNT($I$307:$I$311)=5,COUNT(E309:F309)=2),IF(E309&gt;=F309,"Ready","Budget below minima"),"Check inputs")</x:f>
        <x:v>Ready</x:v>
      </x:c>
      <x:c r="U309" s="22" t="n">
        <x:f>IF(COUNT(I309,M309,N309)=3,MAX(0,ROUND(I309+M309-N309,2)),"n.a.")</x:f>
        <x:v>0</x:v>
      </x:c>
    </x:row>
    <x:row r="310" ht="22" customHeight="1">
      <x:c r="A310" s="2"/>
      <x:c r="B310" s="2"/>
      <x:c r="C310" s="27" t="n">
        <x:f>61</x:f>
        <x:v>61</x:v>
      </x:c>
      <x:c r="D310" s="28" t="n">
        <x:f>IF(ISNUMBER('Inputs'!$D$7),EDATE('Inputs'!$D$7,60),"n.a.")</x:f>
        <x:v>48153</x:v>
      </x:c>
      <x:c r="E310" s="26" t="n">
        <x:f>IF('Inputs'!$D$9&lt;&gt;"Ready","n.a.",IF(ISNUMBER('Inputs'!E79),IF('Inputs'!E79&gt;=0,'Inputs'!E79,"n.a."),IF('Inputs'!E79="",'Inputs'!$D$6,"n.a.")))</x:f>
        <x:v>500</x:v>
      </x:c>
      <x:c r="F310" s="22" t="n">
        <x:f>IF(COUNT($N$307:$N$311)=5,SUM($N$307:$N$311),"n.a.")</x:f>
        <x:v>0</x:v>
      </x:c>
      <x:c r="G310" s="22" t="n">
        <x:f>IF(COUNT(E310:F310)=2,MAX(0,E310-F310),"n.a.")</x:f>
        <x:v>500</x:v>
      </x:c>
      <x:c r="H310" s="26" t="str">
        <x:f>'Inputs'!C14</x:f>
        <x:v>Unused 4</x:v>
      </x:c>
      <x:c r="I310" s="26" t="n">
        <x:f>S305</x:f>
        <x:v>0</x:v>
      </x:c>
      <x:c r="J310" s="29" t="n">
        <x:f>IF('Inputs'!$D$9="Ready",'Inputs'!E14,"n.a.")</x:f>
        <x:v>0</x:v>
      </x:c>
      <x:c r="K310" s="26" t="n">
        <x:f>IF('Inputs'!$D$9="Ready",'Inputs'!F14,"n.a.")</x:f>
        <x:v>0</x:v>
      </x:c>
      <x:c r="L310" s="29" t="n">
        <x:f>IF('Inputs'!$D$9="Ready",'Inputs'!G14,"n.a.")</x:f>
        <x:v>0</x:v>
      </x:c>
      <x:c r="M310" s="22" t="n">
        <x:f>IF(COUNT(I310:L310)=4,ROUND(I310*J310/12,2),"n.a.")</x:f>
        <x:v>0</x:v>
      </x:c>
      <x:c r="N310" s="22" t="n">
        <x:f>IF(COUNT(I310:M310)=5,MIN(I310+M310,ROUND(MAX(K310,I310*L310+M310),2)),"n.a.")</x:f>
        <x:v>0</x:v>
      </x:c>
      <x:c r="O310" s="30" t="n">
        <x:f>IF(COUNT($I$307:$I$311)&lt;&gt;5,"n.a.",IF(I310=0,6,IF('Inputs'!$D$5=1,COUNTIFS($I$307:$I$311,"&gt;0",$I$307:$I$311,"&lt;"&amp;I310)+COUNTIFS($I$307:I310,I310),COUNTIFS($I$307:$I$311,"&gt;0",$J$307:$J$311,"&gt;"&amp;J310)+COUNTIFS($I$307:I310,"&gt;0",$J$307:J310,J310))))</x:f>
        <x:v>6</x:v>
      </x:c>
      <x:c r="P310" s="22" t="n">
        <x:f>IF(T310="Ready",MIN(U310,MAX(0,G310-SUMIFS($U$307:$U$311,$O$307:$O$311,"&lt;"&amp;O310))),"n.a.")</x:f>
        <x:v>0</x:v>
      </x:c>
      <x:c r="Q310" s="22" t="n">
        <x:f>IF(T310="Ready",ROUND(N310+P310,2),"n.a.")</x:f>
        <x:v>0</x:v>
      </x:c>
      <x:c r="R310" s="22" t="n">
        <x:f>IF(T310="Ready",ROUND(Q310-M310,2),"n.a.")</x:f>
        <x:v>0</x:v>
      </x:c>
      <x:c r="S310" s="22" t="n">
        <x:f>IF(T310="Ready",MAX(0,ROUND(I310+M310-Q310,2)),"n.a.")</x:f>
        <x:v>0</x:v>
      </x:c>
      <x:c r="T310" s="22" t="str">
        <x:f>IF(AND(COUNT($I$307:$I$311)=5,COUNT(E310:F310)=2),IF(E310&gt;=F310,"Ready","Budget below minima"),"Check inputs")</x:f>
        <x:v>Ready</x:v>
      </x:c>
      <x:c r="U310" s="22" t="n">
        <x:f>IF(COUNT(I310,M310,N310)=3,MAX(0,ROUND(I310+M310-N310,2)),"n.a.")</x:f>
        <x:v>0</x:v>
      </x:c>
    </x:row>
    <x:row r="311" ht="22" customHeight="1">
      <x:c r="A311" s="2"/>
      <x:c r="B311" s="2"/>
      <x:c r="C311" s="27" t="n">
        <x:f>61</x:f>
        <x:v>61</x:v>
      </x:c>
      <x:c r="D311" s="28" t="n">
        <x:f>IF(ISNUMBER('Inputs'!$D$7),EDATE('Inputs'!$D$7,60),"n.a.")</x:f>
        <x:v>48153</x:v>
      </x:c>
      <x:c r="E311" s="26" t="n">
        <x:f>IF('Inputs'!$D$9&lt;&gt;"Ready","n.a.",IF(ISNUMBER('Inputs'!E79),IF('Inputs'!E79&gt;=0,'Inputs'!E79,"n.a."),IF('Inputs'!E79="",'Inputs'!$D$6,"n.a.")))</x:f>
        <x:v>500</x:v>
      </x:c>
      <x:c r="F311" s="22" t="n">
        <x:f>IF(COUNT($N$307:$N$311)=5,SUM($N$307:$N$311),"n.a.")</x:f>
        <x:v>0</x:v>
      </x:c>
      <x:c r="G311" s="22" t="n">
        <x:f>IF(COUNT(E311:F311)=2,MAX(0,E311-F311),"n.a.")</x:f>
        <x:v>500</x:v>
      </x:c>
      <x:c r="H311" s="26" t="str">
        <x:f>'Inputs'!C15</x:f>
        <x:v>Unused 5</x:v>
      </x:c>
      <x:c r="I311" s="26" t="n">
        <x:f>S306</x:f>
        <x:v>0</x:v>
      </x:c>
      <x:c r="J311" s="29" t="n">
        <x:f>IF('Inputs'!$D$9="Ready",'Inputs'!E15,"n.a.")</x:f>
        <x:v>0</x:v>
      </x:c>
      <x:c r="K311" s="26" t="n">
        <x:f>IF('Inputs'!$D$9="Ready",'Inputs'!F15,"n.a.")</x:f>
        <x:v>0</x:v>
      </x:c>
      <x:c r="L311" s="29" t="n">
        <x:f>IF('Inputs'!$D$9="Ready",'Inputs'!G15,"n.a.")</x:f>
        <x:v>0</x:v>
      </x:c>
      <x:c r="M311" s="22" t="n">
        <x:f>IF(COUNT(I311:L311)=4,ROUND(I311*J311/12,2),"n.a.")</x:f>
        <x:v>0</x:v>
      </x:c>
      <x:c r="N311" s="22" t="n">
        <x:f>IF(COUNT(I311:M311)=5,MIN(I311+M311,ROUND(MAX(K311,I311*L311+M311),2)),"n.a.")</x:f>
        <x:v>0</x:v>
      </x:c>
      <x:c r="O311" s="30" t="n">
        <x:f>IF(COUNT($I$307:$I$311)&lt;&gt;5,"n.a.",IF(I311=0,6,IF('Inputs'!$D$5=1,COUNTIFS($I$307:$I$311,"&gt;0",$I$307:$I$311,"&lt;"&amp;I311)+COUNTIFS($I$307:I311,I311),COUNTIFS($I$307:$I$311,"&gt;0",$J$307:$J$311,"&gt;"&amp;J311)+COUNTIFS($I$307:I311,"&gt;0",$J$307:J311,J311))))</x:f>
        <x:v>6</x:v>
      </x:c>
      <x:c r="P311" s="22" t="n">
        <x:f>IF(T311="Ready",MIN(U311,MAX(0,G311-SUMIFS($U$307:$U$311,$O$307:$O$311,"&lt;"&amp;O311))),"n.a.")</x:f>
        <x:v>0</x:v>
      </x:c>
      <x:c r="Q311" s="22" t="n">
        <x:f>IF(T311="Ready",ROUND(N311+P311,2),"n.a.")</x:f>
        <x:v>0</x:v>
      </x:c>
      <x:c r="R311" s="22" t="n">
        <x:f>IF(T311="Ready",ROUND(Q311-M311,2),"n.a.")</x:f>
        <x:v>0</x:v>
      </x:c>
      <x:c r="S311" s="22" t="n">
        <x:f>IF(T311="Ready",MAX(0,ROUND(I311+M311-Q311,2)),"n.a.")</x:f>
        <x:v>0</x:v>
      </x:c>
      <x:c r="T311" s="22" t="str">
        <x:f>IF(AND(COUNT($I$307:$I$311)=5,COUNT(E311:F311)=2),IF(E311&gt;=F311,"Ready","Budget below minima"),"Check inputs")</x:f>
        <x:v>Ready</x:v>
      </x:c>
      <x:c r="U311" s="22" t="n">
        <x:f>IF(COUNT(I311,M311,N311)=3,MAX(0,ROUND(I311+M311-N311,2)),"n.a.")</x:f>
        <x:v>0</x:v>
      </x:c>
    </x:row>
    <x:row r="312" ht="22" customHeight="1">
      <x:c r="A312" s="2"/>
      <x:c r="B312" s="2"/>
      <x:c r="C312" s="27" t="n">
        <x:f>62</x:f>
        <x:v>62</x:v>
      </x:c>
      <x:c r="D312" s="28" t="n">
        <x:f>IF(ISNUMBER('Inputs'!$D$7),EDATE('Inputs'!$D$7,61),"n.a.")</x:f>
        <x:v>48183</x:v>
      </x:c>
      <x:c r="E312" s="26" t="n">
        <x:f>IF('Inputs'!$D$9&lt;&gt;"Ready","n.a.",IF(ISNUMBER('Inputs'!E80),IF('Inputs'!E80&gt;=0,'Inputs'!E80,"n.a."),IF('Inputs'!E80="",'Inputs'!$D$6,"n.a.")))</x:f>
        <x:v>500</x:v>
      </x:c>
      <x:c r="F312" s="22" t="n">
        <x:f>IF(COUNT($N$312:$N$316)=5,SUM($N$312:$N$316),"n.a.")</x:f>
        <x:v>0</x:v>
      </x:c>
      <x:c r="G312" s="22" t="n">
        <x:f>IF(COUNT(E312:F312)=2,MAX(0,E312-F312),"n.a.")</x:f>
        <x:v>500</x:v>
      </x:c>
      <x:c r="H312" s="26" t="str">
        <x:f>'Inputs'!C11</x:f>
        <x:v>Card A</x:v>
      </x:c>
      <x:c r="I312" s="26" t="n">
        <x:f>S307</x:f>
        <x:v>0</x:v>
      </x:c>
      <x:c r="J312" s="29" t="n">
        <x:f>IF('Inputs'!$D$9="Ready",'Inputs'!E11,"n.a.")</x:f>
        <x:v>0.24</x:v>
      </x:c>
      <x:c r="K312" s="26" t="n">
        <x:f>IF('Inputs'!$D$9="Ready",'Inputs'!F11,"n.a.")</x:f>
        <x:v>35</x:v>
      </x:c>
      <x:c r="L312" s="29" t="n">
        <x:f>IF('Inputs'!$D$9="Ready",'Inputs'!G11,"n.a.")</x:f>
        <x:v>0.02</x:v>
      </x:c>
      <x:c r="M312" s="22" t="n">
        <x:f>IF(COUNT(I312:L312)=4,ROUND(I312*J312/12,2),"n.a.")</x:f>
        <x:v>0</x:v>
      </x:c>
      <x:c r="N312" s="22" t="n">
        <x:f>IF(COUNT(I312:M312)=5,MIN(I312+M312,ROUND(MAX(K312,I312*L312+M312),2)),"n.a.")</x:f>
        <x:v>0</x:v>
      </x:c>
      <x:c r="O312" s="30" t="n">
        <x:f>IF(COUNT($I$312:$I$316)&lt;&gt;5,"n.a.",IF(I312=0,6,IF('Inputs'!$D$5=1,COUNTIFS($I$312:$I$316,"&gt;0",$I$312:$I$316,"&lt;"&amp;I312)+COUNTIFS($I$312:I312,I312),COUNTIFS($I$312:$I$316,"&gt;0",$J$312:$J$316,"&gt;"&amp;J312)+COUNTIFS($I$312:I312,"&gt;0",$J$312:J312,J312))))</x:f>
        <x:v>6</x:v>
      </x:c>
      <x:c r="P312" s="22" t="n">
        <x:f>IF(T312="Ready",MIN(U312,MAX(0,G312-SUMIFS($U$312:$U$316,$O$312:$O$316,"&lt;"&amp;O312))),"n.a.")</x:f>
        <x:v>0</x:v>
      </x:c>
      <x:c r="Q312" s="22" t="n">
        <x:f>IF(T312="Ready",ROUND(N312+P312,2),"n.a.")</x:f>
        <x:v>0</x:v>
      </x:c>
      <x:c r="R312" s="22" t="n">
        <x:f>IF(T312="Ready",ROUND(Q312-M312,2),"n.a.")</x:f>
        <x:v>0</x:v>
      </x:c>
      <x:c r="S312" s="22" t="n">
        <x:f>IF(T312="Ready",MAX(0,ROUND(I312+M312-Q312,2)),"n.a.")</x:f>
        <x:v>0</x:v>
      </x:c>
      <x:c r="T312" s="22" t="str">
        <x:f>IF(AND(COUNT($I$312:$I$316)=5,COUNT(E312:F312)=2),IF(E312&gt;=F312,"Ready","Budget below minima"),"Check inputs")</x:f>
        <x:v>Ready</x:v>
      </x:c>
      <x:c r="U312" s="22" t="n">
        <x:f>IF(COUNT(I312,M312,N312)=3,MAX(0,ROUND(I312+M312-N312,2)),"n.a.")</x:f>
        <x:v>0</x:v>
      </x:c>
    </x:row>
    <x:row r="313" ht="22" customHeight="1">
      <x:c r="A313" s="2"/>
      <x:c r="B313" s="2"/>
      <x:c r="C313" s="27" t="n">
        <x:f>62</x:f>
        <x:v>62</x:v>
      </x:c>
      <x:c r="D313" s="28" t="n">
        <x:f>IF(ISNUMBER('Inputs'!$D$7),EDATE('Inputs'!$D$7,61),"n.a.")</x:f>
        <x:v>48183</x:v>
      </x:c>
      <x:c r="E313" s="26" t="n">
        <x:f>IF('Inputs'!$D$9&lt;&gt;"Ready","n.a.",IF(ISNUMBER('Inputs'!E80),IF('Inputs'!E80&gt;=0,'Inputs'!E80,"n.a."),IF('Inputs'!E80="",'Inputs'!$D$6,"n.a.")))</x:f>
        <x:v>500</x:v>
      </x:c>
      <x:c r="F313" s="22" t="n">
        <x:f>IF(COUNT($N$312:$N$316)=5,SUM($N$312:$N$316),"n.a.")</x:f>
        <x:v>0</x:v>
      </x:c>
      <x:c r="G313" s="22" t="n">
        <x:f>IF(COUNT(E313:F313)=2,MAX(0,E313-F313),"n.a.")</x:f>
        <x:v>500</x:v>
      </x:c>
      <x:c r="H313" s="26" t="str">
        <x:f>'Inputs'!C12</x:f>
        <x:v>Card B</x:v>
      </x:c>
      <x:c r="I313" s="26" t="n">
        <x:f>S308</x:f>
        <x:v>0</x:v>
      </x:c>
      <x:c r="J313" s="29" t="n">
        <x:f>IF('Inputs'!$D$9="Ready",'Inputs'!E12,"n.a.")</x:f>
        <x:v>0.18</x:v>
      </x:c>
      <x:c r="K313" s="26" t="n">
        <x:f>IF('Inputs'!$D$9="Ready",'Inputs'!F12,"n.a.")</x:f>
        <x:v>60</x:v>
      </x:c>
      <x:c r="L313" s="29" t="n">
        <x:f>IF('Inputs'!$D$9="Ready",'Inputs'!G12,"n.a.")</x:f>
        <x:v>0.02</x:v>
      </x:c>
      <x:c r="M313" s="22" t="n">
        <x:f>IF(COUNT(I313:L313)=4,ROUND(I313*J313/12,2),"n.a.")</x:f>
        <x:v>0</x:v>
      </x:c>
      <x:c r="N313" s="22" t="n">
        <x:f>IF(COUNT(I313:M313)=5,MIN(I313+M313,ROUND(MAX(K313,I313*L313+M313),2)),"n.a.")</x:f>
        <x:v>0</x:v>
      </x:c>
      <x:c r="O313" s="30" t="n">
        <x:f>IF(COUNT($I$312:$I$316)&lt;&gt;5,"n.a.",IF(I313=0,6,IF('Inputs'!$D$5=1,COUNTIFS($I$312:$I$316,"&gt;0",$I$312:$I$316,"&lt;"&amp;I313)+COUNTIFS($I$312:I313,I313),COUNTIFS($I$312:$I$316,"&gt;0",$J$312:$J$316,"&gt;"&amp;J313)+COUNTIFS($I$312:I313,"&gt;0",$J$312:J313,J313))))</x:f>
        <x:v>6</x:v>
      </x:c>
      <x:c r="P313" s="22" t="n">
        <x:f>IF(T313="Ready",MIN(U313,MAX(0,G313-SUMIFS($U$312:$U$316,$O$312:$O$316,"&lt;"&amp;O313))),"n.a.")</x:f>
        <x:v>0</x:v>
      </x:c>
      <x:c r="Q313" s="22" t="n">
        <x:f>IF(T313="Ready",ROUND(N313+P313,2),"n.a.")</x:f>
        <x:v>0</x:v>
      </x:c>
      <x:c r="R313" s="22" t="n">
        <x:f>IF(T313="Ready",ROUND(Q313-M313,2),"n.a.")</x:f>
        <x:v>0</x:v>
      </x:c>
      <x:c r="S313" s="22" t="n">
        <x:f>IF(T313="Ready",MAX(0,ROUND(I313+M313-Q313,2)),"n.a.")</x:f>
        <x:v>0</x:v>
      </x:c>
      <x:c r="T313" s="22" t="str">
        <x:f>IF(AND(COUNT($I$312:$I$316)=5,COUNT(E313:F313)=2),IF(E313&gt;=F313,"Ready","Budget below minima"),"Check inputs")</x:f>
        <x:v>Ready</x:v>
      </x:c>
      <x:c r="U313" s="22" t="n">
        <x:f>IF(COUNT(I313,M313,N313)=3,MAX(0,ROUND(I313+M313-N313,2)),"n.a.")</x:f>
        <x:v>0</x:v>
      </x:c>
    </x:row>
    <x:row r="314" ht="22" customHeight="1">
      <x:c r="A314" s="2"/>
      <x:c r="B314" s="2"/>
      <x:c r="C314" s="27" t="n">
        <x:f>62</x:f>
        <x:v>62</x:v>
      </x:c>
      <x:c r="D314" s="28" t="n">
        <x:f>IF(ISNUMBER('Inputs'!$D$7),EDATE('Inputs'!$D$7,61),"n.a.")</x:f>
        <x:v>48183</x:v>
      </x:c>
      <x:c r="E314" s="26" t="n">
        <x:f>IF('Inputs'!$D$9&lt;&gt;"Ready","n.a.",IF(ISNUMBER('Inputs'!E80),IF('Inputs'!E80&gt;=0,'Inputs'!E80,"n.a."),IF('Inputs'!E80="",'Inputs'!$D$6,"n.a.")))</x:f>
        <x:v>500</x:v>
      </x:c>
      <x:c r="F314" s="22" t="n">
        <x:f>IF(COUNT($N$312:$N$316)=5,SUM($N$312:$N$316),"n.a.")</x:f>
        <x:v>0</x:v>
      </x:c>
      <x:c r="G314" s="22" t="n">
        <x:f>IF(COUNT(E314:F314)=2,MAX(0,E314-F314),"n.a.")</x:f>
        <x:v>500</x:v>
      </x:c>
      <x:c r="H314" s="26" t="str">
        <x:f>'Inputs'!C13</x:f>
        <x:v>Loan C</x:v>
      </x:c>
      <x:c r="I314" s="26" t="n">
        <x:f>S309</x:f>
        <x:v>0</x:v>
      </x:c>
      <x:c r="J314" s="29" t="n">
        <x:f>IF('Inputs'!$D$9="Ready",'Inputs'!E13,"n.a.")</x:f>
        <x:v>0.08</x:v>
      </x:c>
      <x:c r="K314" s="26" t="n">
        <x:f>IF('Inputs'!$D$9="Ready",'Inputs'!F13,"n.a.")</x:f>
        <x:v>150</x:v>
      </x:c>
      <x:c r="L314" s="29" t="n">
        <x:f>IF('Inputs'!$D$9="Ready",'Inputs'!G13,"n.a.")</x:f>
        <x:v>0</x:v>
      </x:c>
      <x:c r="M314" s="22" t="n">
        <x:f>IF(COUNT(I314:L314)=4,ROUND(I314*J314/12,2),"n.a.")</x:f>
        <x:v>0</x:v>
      </x:c>
      <x:c r="N314" s="22" t="n">
        <x:f>IF(COUNT(I314:M314)=5,MIN(I314+M314,ROUND(MAX(K314,I314*L314+M314),2)),"n.a.")</x:f>
        <x:v>0</x:v>
      </x:c>
      <x:c r="O314" s="30" t="n">
        <x:f>IF(COUNT($I$312:$I$316)&lt;&gt;5,"n.a.",IF(I314=0,6,IF('Inputs'!$D$5=1,COUNTIFS($I$312:$I$316,"&gt;0",$I$312:$I$316,"&lt;"&amp;I314)+COUNTIFS($I$312:I314,I314),COUNTIFS($I$312:$I$316,"&gt;0",$J$312:$J$316,"&gt;"&amp;J314)+COUNTIFS($I$312:I314,"&gt;0",$J$312:J314,J314))))</x:f>
        <x:v>6</x:v>
      </x:c>
      <x:c r="P314" s="22" t="n">
        <x:f>IF(T314="Ready",MIN(U314,MAX(0,G314-SUMIFS($U$312:$U$316,$O$312:$O$316,"&lt;"&amp;O314))),"n.a.")</x:f>
        <x:v>0</x:v>
      </x:c>
      <x:c r="Q314" s="22" t="n">
        <x:f>IF(T314="Ready",ROUND(N314+P314,2),"n.a.")</x:f>
        <x:v>0</x:v>
      </x:c>
      <x:c r="R314" s="22" t="n">
        <x:f>IF(T314="Ready",ROUND(Q314-M314,2),"n.a.")</x:f>
        <x:v>0</x:v>
      </x:c>
      <x:c r="S314" s="22" t="n">
        <x:f>IF(T314="Ready",MAX(0,ROUND(I314+M314-Q314,2)),"n.a.")</x:f>
        <x:v>0</x:v>
      </x:c>
      <x:c r="T314" s="22" t="str">
        <x:f>IF(AND(COUNT($I$312:$I$316)=5,COUNT(E314:F314)=2),IF(E314&gt;=F314,"Ready","Budget below minima"),"Check inputs")</x:f>
        <x:v>Ready</x:v>
      </x:c>
      <x:c r="U314" s="22" t="n">
        <x:f>IF(COUNT(I314,M314,N314)=3,MAX(0,ROUND(I314+M314-N314,2)),"n.a.")</x:f>
        <x:v>0</x:v>
      </x:c>
    </x:row>
    <x:row r="315" ht="22" customHeight="1">
      <x:c r="A315" s="2"/>
      <x:c r="B315" s="2"/>
      <x:c r="C315" s="27" t="n">
        <x:f>62</x:f>
        <x:v>62</x:v>
      </x:c>
      <x:c r="D315" s="28" t="n">
        <x:f>IF(ISNUMBER('Inputs'!$D$7),EDATE('Inputs'!$D$7,61),"n.a.")</x:f>
        <x:v>48183</x:v>
      </x:c>
      <x:c r="E315" s="26" t="n">
        <x:f>IF('Inputs'!$D$9&lt;&gt;"Ready","n.a.",IF(ISNUMBER('Inputs'!E80),IF('Inputs'!E80&gt;=0,'Inputs'!E80,"n.a."),IF('Inputs'!E80="",'Inputs'!$D$6,"n.a.")))</x:f>
        <x:v>500</x:v>
      </x:c>
      <x:c r="F315" s="22" t="n">
        <x:f>IF(COUNT($N$312:$N$316)=5,SUM($N$312:$N$316),"n.a.")</x:f>
        <x:v>0</x:v>
      </x:c>
      <x:c r="G315" s="22" t="n">
        <x:f>IF(COUNT(E315:F315)=2,MAX(0,E315-F315),"n.a.")</x:f>
        <x:v>500</x:v>
      </x:c>
      <x:c r="H315" s="26" t="str">
        <x:f>'Inputs'!C14</x:f>
        <x:v>Unused 4</x:v>
      </x:c>
      <x:c r="I315" s="26" t="n">
        <x:f>S310</x:f>
        <x:v>0</x:v>
      </x:c>
      <x:c r="J315" s="29" t="n">
        <x:f>IF('Inputs'!$D$9="Ready",'Inputs'!E14,"n.a.")</x:f>
        <x:v>0</x:v>
      </x:c>
      <x:c r="K315" s="26" t="n">
        <x:f>IF('Inputs'!$D$9="Ready",'Inputs'!F14,"n.a.")</x:f>
        <x:v>0</x:v>
      </x:c>
      <x:c r="L315" s="29" t="n">
        <x:f>IF('Inputs'!$D$9="Ready",'Inputs'!G14,"n.a.")</x:f>
        <x:v>0</x:v>
      </x:c>
      <x:c r="M315" s="22" t="n">
        <x:f>IF(COUNT(I315:L315)=4,ROUND(I315*J315/12,2),"n.a.")</x:f>
        <x:v>0</x:v>
      </x:c>
      <x:c r="N315" s="22" t="n">
        <x:f>IF(COUNT(I315:M315)=5,MIN(I315+M315,ROUND(MAX(K315,I315*L315+M315),2)),"n.a.")</x:f>
        <x:v>0</x:v>
      </x:c>
      <x:c r="O315" s="30" t="n">
        <x:f>IF(COUNT($I$312:$I$316)&lt;&gt;5,"n.a.",IF(I315=0,6,IF('Inputs'!$D$5=1,COUNTIFS($I$312:$I$316,"&gt;0",$I$312:$I$316,"&lt;"&amp;I315)+COUNTIFS($I$312:I315,I315),COUNTIFS($I$312:$I$316,"&gt;0",$J$312:$J$316,"&gt;"&amp;J315)+COUNTIFS($I$312:I315,"&gt;0",$J$312:J315,J315))))</x:f>
        <x:v>6</x:v>
      </x:c>
      <x:c r="P315" s="22" t="n">
        <x:f>IF(T315="Ready",MIN(U315,MAX(0,G315-SUMIFS($U$312:$U$316,$O$312:$O$316,"&lt;"&amp;O315))),"n.a.")</x:f>
        <x:v>0</x:v>
      </x:c>
      <x:c r="Q315" s="22" t="n">
        <x:f>IF(T315="Ready",ROUND(N315+P315,2),"n.a.")</x:f>
        <x:v>0</x:v>
      </x:c>
      <x:c r="R315" s="22" t="n">
        <x:f>IF(T315="Ready",ROUND(Q315-M315,2),"n.a.")</x:f>
        <x:v>0</x:v>
      </x:c>
      <x:c r="S315" s="22" t="n">
        <x:f>IF(T315="Ready",MAX(0,ROUND(I315+M315-Q315,2)),"n.a.")</x:f>
        <x:v>0</x:v>
      </x:c>
      <x:c r="T315" s="22" t="str">
        <x:f>IF(AND(COUNT($I$312:$I$316)=5,COUNT(E315:F315)=2),IF(E315&gt;=F315,"Ready","Budget below minima"),"Check inputs")</x:f>
        <x:v>Ready</x:v>
      </x:c>
      <x:c r="U315" s="22" t="n">
        <x:f>IF(COUNT(I315,M315,N315)=3,MAX(0,ROUND(I315+M315-N315,2)),"n.a.")</x:f>
        <x:v>0</x:v>
      </x:c>
    </x:row>
    <x:row r="316" ht="22" customHeight="1">
      <x:c r="A316" s="2"/>
      <x:c r="B316" s="2"/>
      <x:c r="C316" s="27" t="n">
        <x:f>62</x:f>
        <x:v>62</x:v>
      </x:c>
      <x:c r="D316" s="28" t="n">
        <x:f>IF(ISNUMBER('Inputs'!$D$7),EDATE('Inputs'!$D$7,61),"n.a.")</x:f>
        <x:v>48183</x:v>
      </x:c>
      <x:c r="E316" s="26" t="n">
        <x:f>IF('Inputs'!$D$9&lt;&gt;"Ready","n.a.",IF(ISNUMBER('Inputs'!E80),IF('Inputs'!E80&gt;=0,'Inputs'!E80,"n.a."),IF('Inputs'!E80="",'Inputs'!$D$6,"n.a.")))</x:f>
        <x:v>500</x:v>
      </x:c>
      <x:c r="F316" s="22" t="n">
        <x:f>IF(COUNT($N$312:$N$316)=5,SUM($N$312:$N$316),"n.a.")</x:f>
        <x:v>0</x:v>
      </x:c>
      <x:c r="G316" s="22" t="n">
        <x:f>IF(COUNT(E316:F316)=2,MAX(0,E316-F316),"n.a.")</x:f>
        <x:v>500</x:v>
      </x:c>
      <x:c r="H316" s="26" t="str">
        <x:f>'Inputs'!C15</x:f>
        <x:v>Unused 5</x:v>
      </x:c>
      <x:c r="I316" s="26" t="n">
        <x:f>S311</x:f>
        <x:v>0</x:v>
      </x:c>
      <x:c r="J316" s="29" t="n">
        <x:f>IF('Inputs'!$D$9="Ready",'Inputs'!E15,"n.a.")</x:f>
        <x:v>0</x:v>
      </x:c>
      <x:c r="K316" s="26" t="n">
        <x:f>IF('Inputs'!$D$9="Ready",'Inputs'!F15,"n.a.")</x:f>
        <x:v>0</x:v>
      </x:c>
      <x:c r="L316" s="29" t="n">
        <x:f>IF('Inputs'!$D$9="Ready",'Inputs'!G15,"n.a.")</x:f>
        <x:v>0</x:v>
      </x:c>
      <x:c r="M316" s="22" t="n">
        <x:f>IF(COUNT(I316:L316)=4,ROUND(I316*J316/12,2),"n.a.")</x:f>
        <x:v>0</x:v>
      </x:c>
      <x:c r="N316" s="22" t="n">
        <x:f>IF(COUNT(I316:M316)=5,MIN(I316+M316,ROUND(MAX(K316,I316*L316+M316),2)),"n.a.")</x:f>
        <x:v>0</x:v>
      </x:c>
      <x:c r="O316" s="30" t="n">
        <x:f>IF(COUNT($I$312:$I$316)&lt;&gt;5,"n.a.",IF(I316=0,6,IF('Inputs'!$D$5=1,COUNTIFS($I$312:$I$316,"&gt;0",$I$312:$I$316,"&lt;"&amp;I316)+COUNTIFS($I$312:I316,I316),COUNTIFS($I$312:$I$316,"&gt;0",$J$312:$J$316,"&gt;"&amp;J316)+COUNTIFS($I$312:I316,"&gt;0",$J$312:J316,J316))))</x:f>
        <x:v>6</x:v>
      </x:c>
      <x:c r="P316" s="22" t="n">
        <x:f>IF(T316="Ready",MIN(U316,MAX(0,G316-SUMIFS($U$312:$U$316,$O$312:$O$316,"&lt;"&amp;O316))),"n.a.")</x:f>
        <x:v>0</x:v>
      </x:c>
      <x:c r="Q316" s="22" t="n">
        <x:f>IF(T316="Ready",ROUND(N316+P316,2),"n.a.")</x:f>
        <x:v>0</x:v>
      </x:c>
      <x:c r="R316" s="22" t="n">
        <x:f>IF(T316="Ready",ROUND(Q316-M316,2),"n.a.")</x:f>
        <x:v>0</x:v>
      </x:c>
      <x:c r="S316" s="22" t="n">
        <x:f>IF(T316="Ready",MAX(0,ROUND(I316+M316-Q316,2)),"n.a.")</x:f>
        <x:v>0</x:v>
      </x:c>
      <x:c r="T316" s="22" t="str">
        <x:f>IF(AND(COUNT($I$312:$I$316)=5,COUNT(E316:F316)=2),IF(E316&gt;=F316,"Ready","Budget below minima"),"Check inputs")</x:f>
        <x:v>Ready</x:v>
      </x:c>
      <x:c r="U316" s="22" t="n">
        <x:f>IF(COUNT(I316,M316,N316)=3,MAX(0,ROUND(I316+M316-N316,2)),"n.a.")</x:f>
        <x:v>0</x:v>
      </x:c>
    </x:row>
    <x:row r="317" ht="22" customHeight="1">
      <x:c r="A317" s="2"/>
      <x:c r="B317" s="2"/>
      <x:c r="C317" s="27" t="n">
        <x:f>63</x:f>
        <x:v>63</x:v>
      </x:c>
      <x:c r="D317" s="28" t="n">
        <x:f>IF(ISNUMBER('Inputs'!$D$7),EDATE('Inputs'!$D$7,62),"n.a.")</x:f>
        <x:v>48214</x:v>
      </x:c>
      <x:c r="E317" s="26" t="n">
        <x:f>IF('Inputs'!$D$9&lt;&gt;"Ready","n.a.",IF(ISNUMBER('Inputs'!E81),IF('Inputs'!E81&gt;=0,'Inputs'!E81,"n.a."),IF('Inputs'!E81="",'Inputs'!$D$6,"n.a.")))</x:f>
        <x:v>500</x:v>
      </x:c>
      <x:c r="F317" s="22" t="n">
        <x:f>IF(COUNT($N$317:$N$321)=5,SUM($N$317:$N$321),"n.a.")</x:f>
        <x:v>0</x:v>
      </x:c>
      <x:c r="G317" s="22" t="n">
        <x:f>IF(COUNT(E317:F317)=2,MAX(0,E317-F317),"n.a.")</x:f>
        <x:v>500</x:v>
      </x:c>
      <x:c r="H317" s="26" t="str">
        <x:f>'Inputs'!C11</x:f>
        <x:v>Card A</x:v>
      </x:c>
      <x:c r="I317" s="26" t="n">
        <x:f>S312</x:f>
        <x:v>0</x:v>
      </x:c>
      <x:c r="J317" s="29" t="n">
        <x:f>IF('Inputs'!$D$9="Ready",'Inputs'!E11,"n.a.")</x:f>
        <x:v>0.24</x:v>
      </x:c>
      <x:c r="K317" s="26" t="n">
        <x:f>IF('Inputs'!$D$9="Ready",'Inputs'!F11,"n.a.")</x:f>
        <x:v>35</x:v>
      </x:c>
      <x:c r="L317" s="29" t="n">
        <x:f>IF('Inputs'!$D$9="Ready",'Inputs'!G11,"n.a.")</x:f>
        <x:v>0.02</x:v>
      </x:c>
      <x:c r="M317" s="22" t="n">
        <x:f>IF(COUNT(I317:L317)=4,ROUND(I317*J317/12,2),"n.a.")</x:f>
        <x:v>0</x:v>
      </x:c>
      <x:c r="N317" s="22" t="n">
        <x:f>IF(COUNT(I317:M317)=5,MIN(I317+M317,ROUND(MAX(K317,I317*L317+M317),2)),"n.a.")</x:f>
        <x:v>0</x:v>
      </x:c>
      <x:c r="O317" s="30" t="n">
        <x:f>IF(COUNT($I$317:$I$321)&lt;&gt;5,"n.a.",IF(I317=0,6,IF('Inputs'!$D$5=1,COUNTIFS($I$317:$I$321,"&gt;0",$I$317:$I$321,"&lt;"&amp;I317)+COUNTIFS($I$317:I317,I317),COUNTIFS($I$317:$I$321,"&gt;0",$J$317:$J$321,"&gt;"&amp;J317)+COUNTIFS($I$317:I317,"&gt;0",$J$317:J317,J317))))</x:f>
        <x:v>6</x:v>
      </x:c>
      <x:c r="P317" s="22" t="n">
        <x:f>IF(T317="Ready",MIN(U317,MAX(0,G317-SUMIFS($U$317:$U$321,$O$317:$O$321,"&lt;"&amp;O317))),"n.a.")</x:f>
        <x:v>0</x:v>
      </x:c>
      <x:c r="Q317" s="22" t="n">
        <x:f>IF(T317="Ready",ROUND(N317+P317,2),"n.a.")</x:f>
        <x:v>0</x:v>
      </x:c>
      <x:c r="R317" s="22" t="n">
        <x:f>IF(T317="Ready",ROUND(Q317-M317,2),"n.a.")</x:f>
        <x:v>0</x:v>
      </x:c>
      <x:c r="S317" s="22" t="n">
        <x:f>IF(T317="Ready",MAX(0,ROUND(I317+M317-Q317,2)),"n.a.")</x:f>
        <x:v>0</x:v>
      </x:c>
      <x:c r="T317" s="22" t="str">
        <x:f>IF(AND(COUNT($I$317:$I$321)=5,COUNT(E317:F317)=2),IF(E317&gt;=F317,"Ready","Budget below minima"),"Check inputs")</x:f>
        <x:v>Ready</x:v>
      </x:c>
      <x:c r="U317" s="22" t="n">
        <x:f>IF(COUNT(I317,M317,N317)=3,MAX(0,ROUND(I317+M317-N317,2)),"n.a.")</x:f>
        <x:v>0</x:v>
      </x:c>
    </x:row>
    <x:row r="318" ht="22" customHeight="1">
      <x:c r="A318" s="2"/>
      <x:c r="B318" s="2"/>
      <x:c r="C318" s="27" t="n">
        <x:f>63</x:f>
        <x:v>63</x:v>
      </x:c>
      <x:c r="D318" s="28" t="n">
        <x:f>IF(ISNUMBER('Inputs'!$D$7),EDATE('Inputs'!$D$7,62),"n.a.")</x:f>
        <x:v>48214</x:v>
      </x:c>
      <x:c r="E318" s="26" t="n">
        <x:f>IF('Inputs'!$D$9&lt;&gt;"Ready","n.a.",IF(ISNUMBER('Inputs'!E81),IF('Inputs'!E81&gt;=0,'Inputs'!E81,"n.a."),IF('Inputs'!E81="",'Inputs'!$D$6,"n.a.")))</x:f>
        <x:v>500</x:v>
      </x:c>
      <x:c r="F318" s="22" t="n">
        <x:f>IF(COUNT($N$317:$N$321)=5,SUM($N$317:$N$321),"n.a.")</x:f>
        <x:v>0</x:v>
      </x:c>
      <x:c r="G318" s="22" t="n">
        <x:f>IF(COUNT(E318:F318)=2,MAX(0,E318-F318),"n.a.")</x:f>
        <x:v>500</x:v>
      </x:c>
      <x:c r="H318" s="26" t="str">
        <x:f>'Inputs'!C12</x:f>
        <x:v>Card B</x:v>
      </x:c>
      <x:c r="I318" s="26" t="n">
        <x:f>S313</x:f>
        <x:v>0</x:v>
      </x:c>
      <x:c r="J318" s="29" t="n">
        <x:f>IF('Inputs'!$D$9="Ready",'Inputs'!E12,"n.a.")</x:f>
        <x:v>0.18</x:v>
      </x:c>
      <x:c r="K318" s="26" t="n">
        <x:f>IF('Inputs'!$D$9="Ready",'Inputs'!F12,"n.a.")</x:f>
        <x:v>60</x:v>
      </x:c>
      <x:c r="L318" s="29" t="n">
        <x:f>IF('Inputs'!$D$9="Ready",'Inputs'!G12,"n.a.")</x:f>
        <x:v>0.02</x:v>
      </x:c>
      <x:c r="M318" s="22" t="n">
        <x:f>IF(COUNT(I318:L318)=4,ROUND(I318*J318/12,2),"n.a.")</x:f>
        <x:v>0</x:v>
      </x:c>
      <x:c r="N318" s="22" t="n">
        <x:f>IF(COUNT(I318:M318)=5,MIN(I318+M318,ROUND(MAX(K318,I318*L318+M318),2)),"n.a.")</x:f>
        <x:v>0</x:v>
      </x:c>
      <x:c r="O318" s="30" t="n">
        <x:f>IF(COUNT($I$317:$I$321)&lt;&gt;5,"n.a.",IF(I318=0,6,IF('Inputs'!$D$5=1,COUNTIFS($I$317:$I$321,"&gt;0",$I$317:$I$321,"&lt;"&amp;I318)+COUNTIFS($I$317:I318,I318),COUNTIFS($I$317:$I$321,"&gt;0",$J$317:$J$321,"&gt;"&amp;J318)+COUNTIFS($I$317:I318,"&gt;0",$J$317:J318,J318))))</x:f>
        <x:v>6</x:v>
      </x:c>
      <x:c r="P318" s="22" t="n">
        <x:f>IF(T318="Ready",MIN(U318,MAX(0,G318-SUMIFS($U$317:$U$321,$O$317:$O$321,"&lt;"&amp;O318))),"n.a.")</x:f>
        <x:v>0</x:v>
      </x:c>
      <x:c r="Q318" s="22" t="n">
        <x:f>IF(T318="Ready",ROUND(N318+P318,2),"n.a.")</x:f>
        <x:v>0</x:v>
      </x:c>
      <x:c r="R318" s="22" t="n">
        <x:f>IF(T318="Ready",ROUND(Q318-M318,2),"n.a.")</x:f>
        <x:v>0</x:v>
      </x:c>
      <x:c r="S318" s="22" t="n">
        <x:f>IF(T318="Ready",MAX(0,ROUND(I318+M318-Q318,2)),"n.a.")</x:f>
        <x:v>0</x:v>
      </x:c>
      <x:c r="T318" s="22" t="str">
        <x:f>IF(AND(COUNT($I$317:$I$321)=5,COUNT(E318:F318)=2),IF(E318&gt;=F318,"Ready","Budget below minima"),"Check inputs")</x:f>
        <x:v>Ready</x:v>
      </x:c>
      <x:c r="U318" s="22" t="n">
        <x:f>IF(COUNT(I318,M318,N318)=3,MAX(0,ROUND(I318+M318-N318,2)),"n.a.")</x:f>
        <x:v>0</x:v>
      </x:c>
    </x:row>
    <x:row r="319" ht="22" customHeight="1">
      <x:c r="A319" s="2"/>
      <x:c r="B319" s="2"/>
      <x:c r="C319" s="27" t="n">
        <x:f>63</x:f>
        <x:v>63</x:v>
      </x:c>
      <x:c r="D319" s="28" t="n">
        <x:f>IF(ISNUMBER('Inputs'!$D$7),EDATE('Inputs'!$D$7,62),"n.a.")</x:f>
        <x:v>48214</x:v>
      </x:c>
      <x:c r="E319" s="26" t="n">
        <x:f>IF('Inputs'!$D$9&lt;&gt;"Ready","n.a.",IF(ISNUMBER('Inputs'!E81),IF('Inputs'!E81&gt;=0,'Inputs'!E81,"n.a."),IF('Inputs'!E81="",'Inputs'!$D$6,"n.a.")))</x:f>
        <x:v>500</x:v>
      </x:c>
      <x:c r="F319" s="22" t="n">
        <x:f>IF(COUNT($N$317:$N$321)=5,SUM($N$317:$N$321),"n.a.")</x:f>
        <x:v>0</x:v>
      </x:c>
      <x:c r="G319" s="22" t="n">
        <x:f>IF(COUNT(E319:F319)=2,MAX(0,E319-F319),"n.a.")</x:f>
        <x:v>500</x:v>
      </x:c>
      <x:c r="H319" s="26" t="str">
        <x:f>'Inputs'!C13</x:f>
        <x:v>Loan C</x:v>
      </x:c>
      <x:c r="I319" s="26" t="n">
        <x:f>S314</x:f>
        <x:v>0</x:v>
      </x:c>
      <x:c r="J319" s="29" t="n">
        <x:f>IF('Inputs'!$D$9="Ready",'Inputs'!E13,"n.a.")</x:f>
        <x:v>0.08</x:v>
      </x:c>
      <x:c r="K319" s="26" t="n">
        <x:f>IF('Inputs'!$D$9="Ready",'Inputs'!F13,"n.a.")</x:f>
        <x:v>150</x:v>
      </x:c>
      <x:c r="L319" s="29" t="n">
        <x:f>IF('Inputs'!$D$9="Ready",'Inputs'!G13,"n.a.")</x:f>
        <x:v>0</x:v>
      </x:c>
      <x:c r="M319" s="22" t="n">
        <x:f>IF(COUNT(I319:L319)=4,ROUND(I319*J319/12,2),"n.a.")</x:f>
        <x:v>0</x:v>
      </x:c>
      <x:c r="N319" s="22" t="n">
        <x:f>IF(COUNT(I319:M319)=5,MIN(I319+M319,ROUND(MAX(K319,I319*L319+M319),2)),"n.a.")</x:f>
        <x:v>0</x:v>
      </x:c>
      <x:c r="O319" s="30" t="n">
        <x:f>IF(COUNT($I$317:$I$321)&lt;&gt;5,"n.a.",IF(I319=0,6,IF('Inputs'!$D$5=1,COUNTIFS($I$317:$I$321,"&gt;0",$I$317:$I$321,"&lt;"&amp;I319)+COUNTIFS($I$317:I319,I319),COUNTIFS($I$317:$I$321,"&gt;0",$J$317:$J$321,"&gt;"&amp;J319)+COUNTIFS($I$317:I319,"&gt;0",$J$317:J319,J319))))</x:f>
        <x:v>6</x:v>
      </x:c>
      <x:c r="P319" s="22" t="n">
        <x:f>IF(T319="Ready",MIN(U319,MAX(0,G319-SUMIFS($U$317:$U$321,$O$317:$O$321,"&lt;"&amp;O319))),"n.a.")</x:f>
        <x:v>0</x:v>
      </x:c>
      <x:c r="Q319" s="22" t="n">
        <x:f>IF(T319="Ready",ROUND(N319+P319,2),"n.a.")</x:f>
        <x:v>0</x:v>
      </x:c>
      <x:c r="R319" s="22" t="n">
        <x:f>IF(T319="Ready",ROUND(Q319-M319,2),"n.a.")</x:f>
        <x:v>0</x:v>
      </x:c>
      <x:c r="S319" s="22" t="n">
        <x:f>IF(T319="Ready",MAX(0,ROUND(I319+M319-Q319,2)),"n.a.")</x:f>
        <x:v>0</x:v>
      </x:c>
      <x:c r="T319" s="22" t="str">
        <x:f>IF(AND(COUNT($I$317:$I$321)=5,COUNT(E319:F319)=2),IF(E319&gt;=F319,"Ready","Budget below minima"),"Check inputs")</x:f>
        <x:v>Ready</x:v>
      </x:c>
      <x:c r="U319" s="22" t="n">
        <x:f>IF(COUNT(I319,M319,N319)=3,MAX(0,ROUND(I319+M319-N319,2)),"n.a.")</x:f>
        <x:v>0</x:v>
      </x:c>
    </x:row>
    <x:row r="320" ht="22" customHeight="1">
      <x:c r="A320" s="2"/>
      <x:c r="B320" s="2"/>
      <x:c r="C320" s="27" t="n">
        <x:f>63</x:f>
        <x:v>63</x:v>
      </x:c>
      <x:c r="D320" s="28" t="n">
        <x:f>IF(ISNUMBER('Inputs'!$D$7),EDATE('Inputs'!$D$7,62),"n.a.")</x:f>
        <x:v>48214</x:v>
      </x:c>
      <x:c r="E320" s="26" t="n">
        <x:f>IF('Inputs'!$D$9&lt;&gt;"Ready","n.a.",IF(ISNUMBER('Inputs'!E81),IF('Inputs'!E81&gt;=0,'Inputs'!E81,"n.a."),IF('Inputs'!E81="",'Inputs'!$D$6,"n.a.")))</x:f>
        <x:v>500</x:v>
      </x:c>
      <x:c r="F320" s="22" t="n">
        <x:f>IF(COUNT($N$317:$N$321)=5,SUM($N$317:$N$321),"n.a.")</x:f>
        <x:v>0</x:v>
      </x:c>
      <x:c r="G320" s="22" t="n">
        <x:f>IF(COUNT(E320:F320)=2,MAX(0,E320-F320),"n.a.")</x:f>
        <x:v>500</x:v>
      </x:c>
      <x:c r="H320" s="26" t="str">
        <x:f>'Inputs'!C14</x:f>
        <x:v>Unused 4</x:v>
      </x:c>
      <x:c r="I320" s="26" t="n">
        <x:f>S315</x:f>
        <x:v>0</x:v>
      </x:c>
      <x:c r="J320" s="29" t="n">
        <x:f>IF('Inputs'!$D$9="Ready",'Inputs'!E14,"n.a.")</x:f>
        <x:v>0</x:v>
      </x:c>
      <x:c r="K320" s="26" t="n">
        <x:f>IF('Inputs'!$D$9="Ready",'Inputs'!F14,"n.a.")</x:f>
        <x:v>0</x:v>
      </x:c>
      <x:c r="L320" s="29" t="n">
        <x:f>IF('Inputs'!$D$9="Ready",'Inputs'!G14,"n.a.")</x:f>
        <x:v>0</x:v>
      </x:c>
      <x:c r="M320" s="22" t="n">
        <x:f>IF(COUNT(I320:L320)=4,ROUND(I320*J320/12,2),"n.a.")</x:f>
        <x:v>0</x:v>
      </x:c>
      <x:c r="N320" s="22" t="n">
        <x:f>IF(COUNT(I320:M320)=5,MIN(I320+M320,ROUND(MAX(K320,I320*L320+M320),2)),"n.a.")</x:f>
        <x:v>0</x:v>
      </x:c>
      <x:c r="O320" s="30" t="n">
        <x:f>IF(COUNT($I$317:$I$321)&lt;&gt;5,"n.a.",IF(I320=0,6,IF('Inputs'!$D$5=1,COUNTIFS($I$317:$I$321,"&gt;0",$I$317:$I$321,"&lt;"&amp;I320)+COUNTIFS($I$317:I320,I320),COUNTIFS($I$317:$I$321,"&gt;0",$J$317:$J$321,"&gt;"&amp;J320)+COUNTIFS($I$317:I320,"&gt;0",$J$317:J320,J320))))</x:f>
        <x:v>6</x:v>
      </x:c>
      <x:c r="P320" s="22" t="n">
        <x:f>IF(T320="Ready",MIN(U320,MAX(0,G320-SUMIFS($U$317:$U$321,$O$317:$O$321,"&lt;"&amp;O320))),"n.a.")</x:f>
        <x:v>0</x:v>
      </x:c>
      <x:c r="Q320" s="22" t="n">
        <x:f>IF(T320="Ready",ROUND(N320+P320,2),"n.a.")</x:f>
        <x:v>0</x:v>
      </x:c>
      <x:c r="R320" s="22" t="n">
        <x:f>IF(T320="Ready",ROUND(Q320-M320,2),"n.a.")</x:f>
        <x:v>0</x:v>
      </x:c>
      <x:c r="S320" s="22" t="n">
        <x:f>IF(T320="Ready",MAX(0,ROUND(I320+M320-Q320,2)),"n.a.")</x:f>
        <x:v>0</x:v>
      </x:c>
      <x:c r="T320" s="22" t="str">
        <x:f>IF(AND(COUNT($I$317:$I$321)=5,COUNT(E320:F320)=2),IF(E320&gt;=F320,"Ready","Budget below minima"),"Check inputs")</x:f>
        <x:v>Ready</x:v>
      </x:c>
      <x:c r="U320" s="22" t="n">
        <x:f>IF(COUNT(I320,M320,N320)=3,MAX(0,ROUND(I320+M320-N320,2)),"n.a.")</x:f>
        <x:v>0</x:v>
      </x:c>
    </x:row>
    <x:row r="321" ht="22" customHeight="1">
      <x:c r="A321" s="2"/>
      <x:c r="B321" s="2"/>
      <x:c r="C321" s="27" t="n">
        <x:f>63</x:f>
        <x:v>63</x:v>
      </x:c>
      <x:c r="D321" s="28" t="n">
        <x:f>IF(ISNUMBER('Inputs'!$D$7),EDATE('Inputs'!$D$7,62),"n.a.")</x:f>
        <x:v>48214</x:v>
      </x:c>
      <x:c r="E321" s="26" t="n">
        <x:f>IF('Inputs'!$D$9&lt;&gt;"Ready","n.a.",IF(ISNUMBER('Inputs'!E81),IF('Inputs'!E81&gt;=0,'Inputs'!E81,"n.a."),IF('Inputs'!E81="",'Inputs'!$D$6,"n.a.")))</x:f>
        <x:v>500</x:v>
      </x:c>
      <x:c r="F321" s="22" t="n">
        <x:f>IF(COUNT($N$317:$N$321)=5,SUM($N$317:$N$321),"n.a.")</x:f>
        <x:v>0</x:v>
      </x:c>
      <x:c r="G321" s="22" t="n">
        <x:f>IF(COUNT(E321:F321)=2,MAX(0,E321-F321),"n.a.")</x:f>
        <x:v>500</x:v>
      </x:c>
      <x:c r="H321" s="26" t="str">
        <x:f>'Inputs'!C15</x:f>
        <x:v>Unused 5</x:v>
      </x:c>
      <x:c r="I321" s="26" t="n">
        <x:f>S316</x:f>
        <x:v>0</x:v>
      </x:c>
      <x:c r="J321" s="29" t="n">
        <x:f>IF('Inputs'!$D$9="Ready",'Inputs'!E15,"n.a.")</x:f>
        <x:v>0</x:v>
      </x:c>
      <x:c r="K321" s="26" t="n">
        <x:f>IF('Inputs'!$D$9="Ready",'Inputs'!F15,"n.a.")</x:f>
        <x:v>0</x:v>
      </x:c>
      <x:c r="L321" s="29" t="n">
        <x:f>IF('Inputs'!$D$9="Ready",'Inputs'!G15,"n.a.")</x:f>
        <x:v>0</x:v>
      </x:c>
      <x:c r="M321" s="22" t="n">
        <x:f>IF(COUNT(I321:L321)=4,ROUND(I321*J321/12,2),"n.a.")</x:f>
        <x:v>0</x:v>
      </x:c>
      <x:c r="N321" s="22" t="n">
        <x:f>IF(COUNT(I321:M321)=5,MIN(I321+M321,ROUND(MAX(K321,I321*L321+M321),2)),"n.a.")</x:f>
        <x:v>0</x:v>
      </x:c>
      <x:c r="O321" s="30" t="n">
        <x:f>IF(COUNT($I$317:$I$321)&lt;&gt;5,"n.a.",IF(I321=0,6,IF('Inputs'!$D$5=1,COUNTIFS($I$317:$I$321,"&gt;0",$I$317:$I$321,"&lt;"&amp;I321)+COUNTIFS($I$317:I321,I321),COUNTIFS($I$317:$I$321,"&gt;0",$J$317:$J$321,"&gt;"&amp;J321)+COUNTIFS($I$317:I321,"&gt;0",$J$317:J321,J321))))</x:f>
        <x:v>6</x:v>
      </x:c>
      <x:c r="P321" s="22" t="n">
        <x:f>IF(T321="Ready",MIN(U321,MAX(0,G321-SUMIFS($U$317:$U$321,$O$317:$O$321,"&lt;"&amp;O321))),"n.a.")</x:f>
        <x:v>0</x:v>
      </x:c>
      <x:c r="Q321" s="22" t="n">
        <x:f>IF(T321="Ready",ROUND(N321+P321,2),"n.a.")</x:f>
        <x:v>0</x:v>
      </x:c>
      <x:c r="R321" s="22" t="n">
        <x:f>IF(T321="Ready",ROUND(Q321-M321,2),"n.a.")</x:f>
        <x:v>0</x:v>
      </x:c>
      <x:c r="S321" s="22" t="n">
        <x:f>IF(T321="Ready",MAX(0,ROUND(I321+M321-Q321,2)),"n.a.")</x:f>
        <x:v>0</x:v>
      </x:c>
      <x:c r="T321" s="22" t="str">
        <x:f>IF(AND(COUNT($I$317:$I$321)=5,COUNT(E321:F321)=2),IF(E321&gt;=F321,"Ready","Budget below minima"),"Check inputs")</x:f>
        <x:v>Ready</x:v>
      </x:c>
      <x:c r="U321" s="22" t="n">
        <x:f>IF(COUNT(I321,M321,N321)=3,MAX(0,ROUND(I321+M321-N321,2)),"n.a.")</x:f>
        <x:v>0</x:v>
      </x:c>
    </x:row>
    <x:row r="322" ht="22" customHeight="1">
      <x:c r="A322" s="2"/>
      <x:c r="B322" s="2"/>
      <x:c r="C322" s="27" t="n">
        <x:f>64</x:f>
        <x:v>64</x:v>
      </x:c>
      <x:c r="D322" s="28" t="n">
        <x:f>IF(ISNUMBER('Inputs'!$D$7),EDATE('Inputs'!$D$7,63),"n.a.")</x:f>
        <x:v>48245</x:v>
      </x:c>
      <x:c r="E322" s="26" t="n">
        <x:f>IF('Inputs'!$D$9&lt;&gt;"Ready","n.a.",IF(ISNUMBER('Inputs'!E82),IF('Inputs'!E82&gt;=0,'Inputs'!E82,"n.a."),IF('Inputs'!E82="",'Inputs'!$D$6,"n.a.")))</x:f>
        <x:v>500</x:v>
      </x:c>
      <x:c r="F322" s="22" t="n">
        <x:f>IF(COUNT($N$322:$N$326)=5,SUM($N$322:$N$326),"n.a.")</x:f>
        <x:v>0</x:v>
      </x:c>
      <x:c r="G322" s="22" t="n">
        <x:f>IF(COUNT(E322:F322)=2,MAX(0,E322-F322),"n.a.")</x:f>
        <x:v>500</x:v>
      </x:c>
      <x:c r="H322" s="26" t="str">
        <x:f>'Inputs'!C11</x:f>
        <x:v>Card A</x:v>
      </x:c>
      <x:c r="I322" s="26" t="n">
        <x:f>S317</x:f>
        <x:v>0</x:v>
      </x:c>
      <x:c r="J322" s="29" t="n">
        <x:f>IF('Inputs'!$D$9="Ready",'Inputs'!E11,"n.a.")</x:f>
        <x:v>0.24</x:v>
      </x:c>
      <x:c r="K322" s="26" t="n">
        <x:f>IF('Inputs'!$D$9="Ready",'Inputs'!F11,"n.a.")</x:f>
        <x:v>35</x:v>
      </x:c>
      <x:c r="L322" s="29" t="n">
        <x:f>IF('Inputs'!$D$9="Ready",'Inputs'!G11,"n.a.")</x:f>
        <x:v>0.02</x:v>
      </x:c>
      <x:c r="M322" s="22" t="n">
        <x:f>IF(COUNT(I322:L322)=4,ROUND(I322*J322/12,2),"n.a.")</x:f>
        <x:v>0</x:v>
      </x:c>
      <x:c r="N322" s="22" t="n">
        <x:f>IF(COUNT(I322:M322)=5,MIN(I322+M322,ROUND(MAX(K322,I322*L322+M322),2)),"n.a.")</x:f>
        <x:v>0</x:v>
      </x:c>
      <x:c r="O322" s="30" t="n">
        <x:f>IF(COUNT($I$322:$I$326)&lt;&gt;5,"n.a.",IF(I322=0,6,IF('Inputs'!$D$5=1,COUNTIFS($I$322:$I$326,"&gt;0",$I$322:$I$326,"&lt;"&amp;I322)+COUNTIFS($I$322:I322,I322),COUNTIFS($I$322:$I$326,"&gt;0",$J$322:$J$326,"&gt;"&amp;J322)+COUNTIFS($I$322:I322,"&gt;0",$J$322:J322,J322))))</x:f>
        <x:v>6</x:v>
      </x:c>
      <x:c r="P322" s="22" t="n">
        <x:f>IF(T322="Ready",MIN(U322,MAX(0,G322-SUMIFS($U$322:$U$326,$O$322:$O$326,"&lt;"&amp;O322))),"n.a.")</x:f>
        <x:v>0</x:v>
      </x:c>
      <x:c r="Q322" s="22" t="n">
        <x:f>IF(T322="Ready",ROUND(N322+P322,2),"n.a.")</x:f>
        <x:v>0</x:v>
      </x:c>
      <x:c r="R322" s="22" t="n">
        <x:f>IF(T322="Ready",ROUND(Q322-M322,2),"n.a.")</x:f>
        <x:v>0</x:v>
      </x:c>
      <x:c r="S322" s="22" t="n">
        <x:f>IF(T322="Ready",MAX(0,ROUND(I322+M322-Q322,2)),"n.a.")</x:f>
        <x:v>0</x:v>
      </x:c>
      <x:c r="T322" s="22" t="str">
        <x:f>IF(AND(COUNT($I$322:$I$326)=5,COUNT(E322:F322)=2),IF(E322&gt;=F322,"Ready","Budget below minima"),"Check inputs")</x:f>
        <x:v>Ready</x:v>
      </x:c>
      <x:c r="U322" s="22" t="n">
        <x:f>IF(COUNT(I322,M322,N322)=3,MAX(0,ROUND(I322+M322-N322,2)),"n.a.")</x:f>
        <x:v>0</x:v>
      </x:c>
    </x:row>
    <x:row r="323" ht="22" customHeight="1">
      <x:c r="A323" s="2"/>
      <x:c r="B323" s="2"/>
      <x:c r="C323" s="27" t="n">
        <x:f>64</x:f>
        <x:v>64</x:v>
      </x:c>
      <x:c r="D323" s="28" t="n">
        <x:f>IF(ISNUMBER('Inputs'!$D$7),EDATE('Inputs'!$D$7,63),"n.a.")</x:f>
        <x:v>48245</x:v>
      </x:c>
      <x:c r="E323" s="26" t="n">
        <x:f>IF('Inputs'!$D$9&lt;&gt;"Ready","n.a.",IF(ISNUMBER('Inputs'!E82),IF('Inputs'!E82&gt;=0,'Inputs'!E82,"n.a."),IF('Inputs'!E82="",'Inputs'!$D$6,"n.a.")))</x:f>
        <x:v>500</x:v>
      </x:c>
      <x:c r="F323" s="22" t="n">
        <x:f>IF(COUNT($N$322:$N$326)=5,SUM($N$322:$N$326),"n.a.")</x:f>
        <x:v>0</x:v>
      </x:c>
      <x:c r="G323" s="22" t="n">
        <x:f>IF(COUNT(E323:F323)=2,MAX(0,E323-F323),"n.a.")</x:f>
        <x:v>500</x:v>
      </x:c>
      <x:c r="H323" s="26" t="str">
        <x:f>'Inputs'!C12</x:f>
        <x:v>Card B</x:v>
      </x:c>
      <x:c r="I323" s="26" t="n">
        <x:f>S318</x:f>
        <x:v>0</x:v>
      </x:c>
      <x:c r="J323" s="29" t="n">
        <x:f>IF('Inputs'!$D$9="Ready",'Inputs'!E12,"n.a.")</x:f>
        <x:v>0.18</x:v>
      </x:c>
      <x:c r="K323" s="26" t="n">
        <x:f>IF('Inputs'!$D$9="Ready",'Inputs'!F12,"n.a.")</x:f>
        <x:v>60</x:v>
      </x:c>
      <x:c r="L323" s="29" t="n">
        <x:f>IF('Inputs'!$D$9="Ready",'Inputs'!G12,"n.a.")</x:f>
        <x:v>0.02</x:v>
      </x:c>
      <x:c r="M323" s="22" t="n">
        <x:f>IF(COUNT(I323:L323)=4,ROUND(I323*J323/12,2),"n.a.")</x:f>
        <x:v>0</x:v>
      </x:c>
      <x:c r="N323" s="22" t="n">
        <x:f>IF(COUNT(I323:M323)=5,MIN(I323+M323,ROUND(MAX(K323,I323*L323+M323),2)),"n.a.")</x:f>
        <x:v>0</x:v>
      </x:c>
      <x:c r="O323" s="30" t="n">
        <x:f>IF(COUNT($I$322:$I$326)&lt;&gt;5,"n.a.",IF(I323=0,6,IF('Inputs'!$D$5=1,COUNTIFS($I$322:$I$326,"&gt;0",$I$322:$I$326,"&lt;"&amp;I323)+COUNTIFS($I$322:I323,I323),COUNTIFS($I$322:$I$326,"&gt;0",$J$322:$J$326,"&gt;"&amp;J323)+COUNTIFS($I$322:I323,"&gt;0",$J$322:J323,J323))))</x:f>
        <x:v>6</x:v>
      </x:c>
      <x:c r="P323" s="22" t="n">
        <x:f>IF(T323="Ready",MIN(U323,MAX(0,G323-SUMIFS($U$322:$U$326,$O$322:$O$326,"&lt;"&amp;O323))),"n.a.")</x:f>
        <x:v>0</x:v>
      </x:c>
      <x:c r="Q323" s="22" t="n">
        <x:f>IF(T323="Ready",ROUND(N323+P323,2),"n.a.")</x:f>
        <x:v>0</x:v>
      </x:c>
      <x:c r="R323" s="22" t="n">
        <x:f>IF(T323="Ready",ROUND(Q323-M323,2),"n.a.")</x:f>
        <x:v>0</x:v>
      </x:c>
      <x:c r="S323" s="22" t="n">
        <x:f>IF(T323="Ready",MAX(0,ROUND(I323+M323-Q323,2)),"n.a.")</x:f>
        <x:v>0</x:v>
      </x:c>
      <x:c r="T323" s="22" t="str">
        <x:f>IF(AND(COUNT($I$322:$I$326)=5,COUNT(E323:F323)=2),IF(E323&gt;=F323,"Ready","Budget below minima"),"Check inputs")</x:f>
        <x:v>Ready</x:v>
      </x:c>
      <x:c r="U323" s="22" t="n">
        <x:f>IF(COUNT(I323,M323,N323)=3,MAX(0,ROUND(I323+M323-N323,2)),"n.a.")</x:f>
        <x:v>0</x:v>
      </x:c>
    </x:row>
    <x:row r="324" ht="22" customHeight="1">
      <x:c r="A324" s="2"/>
      <x:c r="B324" s="2"/>
      <x:c r="C324" s="27" t="n">
        <x:f>64</x:f>
        <x:v>64</x:v>
      </x:c>
      <x:c r="D324" s="28" t="n">
        <x:f>IF(ISNUMBER('Inputs'!$D$7),EDATE('Inputs'!$D$7,63),"n.a.")</x:f>
        <x:v>48245</x:v>
      </x:c>
      <x:c r="E324" s="26" t="n">
        <x:f>IF('Inputs'!$D$9&lt;&gt;"Ready","n.a.",IF(ISNUMBER('Inputs'!E82),IF('Inputs'!E82&gt;=0,'Inputs'!E82,"n.a."),IF('Inputs'!E82="",'Inputs'!$D$6,"n.a.")))</x:f>
        <x:v>500</x:v>
      </x:c>
      <x:c r="F324" s="22" t="n">
        <x:f>IF(COUNT($N$322:$N$326)=5,SUM($N$322:$N$326),"n.a.")</x:f>
        <x:v>0</x:v>
      </x:c>
      <x:c r="G324" s="22" t="n">
        <x:f>IF(COUNT(E324:F324)=2,MAX(0,E324-F324),"n.a.")</x:f>
        <x:v>500</x:v>
      </x:c>
      <x:c r="H324" s="26" t="str">
        <x:f>'Inputs'!C13</x:f>
        <x:v>Loan C</x:v>
      </x:c>
      <x:c r="I324" s="26" t="n">
        <x:f>S319</x:f>
        <x:v>0</x:v>
      </x:c>
      <x:c r="J324" s="29" t="n">
        <x:f>IF('Inputs'!$D$9="Ready",'Inputs'!E13,"n.a.")</x:f>
        <x:v>0.08</x:v>
      </x:c>
      <x:c r="K324" s="26" t="n">
        <x:f>IF('Inputs'!$D$9="Ready",'Inputs'!F13,"n.a.")</x:f>
        <x:v>150</x:v>
      </x:c>
      <x:c r="L324" s="29" t="n">
        <x:f>IF('Inputs'!$D$9="Ready",'Inputs'!G13,"n.a.")</x:f>
        <x:v>0</x:v>
      </x:c>
      <x:c r="M324" s="22" t="n">
        <x:f>IF(COUNT(I324:L324)=4,ROUND(I324*J324/12,2),"n.a.")</x:f>
        <x:v>0</x:v>
      </x:c>
      <x:c r="N324" s="22" t="n">
        <x:f>IF(COUNT(I324:M324)=5,MIN(I324+M324,ROUND(MAX(K324,I324*L324+M324),2)),"n.a.")</x:f>
        <x:v>0</x:v>
      </x:c>
      <x:c r="O324" s="30" t="n">
        <x:f>IF(COUNT($I$322:$I$326)&lt;&gt;5,"n.a.",IF(I324=0,6,IF('Inputs'!$D$5=1,COUNTIFS($I$322:$I$326,"&gt;0",$I$322:$I$326,"&lt;"&amp;I324)+COUNTIFS($I$322:I324,I324),COUNTIFS($I$322:$I$326,"&gt;0",$J$322:$J$326,"&gt;"&amp;J324)+COUNTIFS($I$322:I324,"&gt;0",$J$322:J324,J324))))</x:f>
        <x:v>6</x:v>
      </x:c>
      <x:c r="P324" s="22" t="n">
        <x:f>IF(T324="Ready",MIN(U324,MAX(0,G324-SUMIFS($U$322:$U$326,$O$322:$O$326,"&lt;"&amp;O324))),"n.a.")</x:f>
        <x:v>0</x:v>
      </x:c>
      <x:c r="Q324" s="22" t="n">
        <x:f>IF(T324="Ready",ROUND(N324+P324,2),"n.a.")</x:f>
        <x:v>0</x:v>
      </x:c>
      <x:c r="R324" s="22" t="n">
        <x:f>IF(T324="Ready",ROUND(Q324-M324,2),"n.a.")</x:f>
        <x:v>0</x:v>
      </x:c>
      <x:c r="S324" s="22" t="n">
        <x:f>IF(T324="Ready",MAX(0,ROUND(I324+M324-Q324,2)),"n.a.")</x:f>
        <x:v>0</x:v>
      </x:c>
      <x:c r="T324" s="22" t="str">
        <x:f>IF(AND(COUNT($I$322:$I$326)=5,COUNT(E324:F324)=2),IF(E324&gt;=F324,"Ready","Budget below minima"),"Check inputs")</x:f>
        <x:v>Ready</x:v>
      </x:c>
      <x:c r="U324" s="22" t="n">
        <x:f>IF(COUNT(I324,M324,N324)=3,MAX(0,ROUND(I324+M324-N324,2)),"n.a.")</x:f>
        <x:v>0</x:v>
      </x:c>
    </x:row>
    <x:row r="325" ht="22" customHeight="1">
      <x:c r="A325" s="2"/>
      <x:c r="B325" s="2"/>
      <x:c r="C325" s="27" t="n">
        <x:f>64</x:f>
        <x:v>64</x:v>
      </x:c>
      <x:c r="D325" s="28" t="n">
        <x:f>IF(ISNUMBER('Inputs'!$D$7),EDATE('Inputs'!$D$7,63),"n.a.")</x:f>
        <x:v>48245</x:v>
      </x:c>
      <x:c r="E325" s="26" t="n">
        <x:f>IF('Inputs'!$D$9&lt;&gt;"Ready","n.a.",IF(ISNUMBER('Inputs'!E82),IF('Inputs'!E82&gt;=0,'Inputs'!E82,"n.a."),IF('Inputs'!E82="",'Inputs'!$D$6,"n.a.")))</x:f>
        <x:v>500</x:v>
      </x:c>
      <x:c r="F325" s="22" t="n">
        <x:f>IF(COUNT($N$322:$N$326)=5,SUM($N$322:$N$326),"n.a.")</x:f>
        <x:v>0</x:v>
      </x:c>
      <x:c r="G325" s="22" t="n">
        <x:f>IF(COUNT(E325:F325)=2,MAX(0,E325-F325),"n.a.")</x:f>
        <x:v>500</x:v>
      </x:c>
      <x:c r="H325" s="26" t="str">
        <x:f>'Inputs'!C14</x:f>
        <x:v>Unused 4</x:v>
      </x:c>
      <x:c r="I325" s="26" t="n">
        <x:f>S320</x:f>
        <x:v>0</x:v>
      </x:c>
      <x:c r="J325" s="29" t="n">
        <x:f>IF('Inputs'!$D$9="Ready",'Inputs'!E14,"n.a.")</x:f>
        <x:v>0</x:v>
      </x:c>
      <x:c r="K325" s="26" t="n">
        <x:f>IF('Inputs'!$D$9="Ready",'Inputs'!F14,"n.a.")</x:f>
        <x:v>0</x:v>
      </x:c>
      <x:c r="L325" s="29" t="n">
        <x:f>IF('Inputs'!$D$9="Ready",'Inputs'!G14,"n.a.")</x:f>
        <x:v>0</x:v>
      </x:c>
      <x:c r="M325" s="22" t="n">
        <x:f>IF(COUNT(I325:L325)=4,ROUND(I325*J325/12,2),"n.a.")</x:f>
        <x:v>0</x:v>
      </x:c>
      <x:c r="N325" s="22" t="n">
        <x:f>IF(COUNT(I325:M325)=5,MIN(I325+M325,ROUND(MAX(K325,I325*L325+M325),2)),"n.a.")</x:f>
        <x:v>0</x:v>
      </x:c>
      <x:c r="O325" s="30" t="n">
        <x:f>IF(COUNT($I$322:$I$326)&lt;&gt;5,"n.a.",IF(I325=0,6,IF('Inputs'!$D$5=1,COUNTIFS($I$322:$I$326,"&gt;0",$I$322:$I$326,"&lt;"&amp;I325)+COUNTIFS($I$322:I325,I325),COUNTIFS($I$322:$I$326,"&gt;0",$J$322:$J$326,"&gt;"&amp;J325)+COUNTIFS($I$322:I325,"&gt;0",$J$322:J325,J325))))</x:f>
        <x:v>6</x:v>
      </x:c>
      <x:c r="P325" s="22" t="n">
        <x:f>IF(T325="Ready",MIN(U325,MAX(0,G325-SUMIFS($U$322:$U$326,$O$322:$O$326,"&lt;"&amp;O325))),"n.a.")</x:f>
        <x:v>0</x:v>
      </x:c>
      <x:c r="Q325" s="22" t="n">
        <x:f>IF(T325="Ready",ROUND(N325+P325,2),"n.a.")</x:f>
        <x:v>0</x:v>
      </x:c>
      <x:c r="R325" s="22" t="n">
        <x:f>IF(T325="Ready",ROUND(Q325-M325,2),"n.a.")</x:f>
        <x:v>0</x:v>
      </x:c>
      <x:c r="S325" s="22" t="n">
        <x:f>IF(T325="Ready",MAX(0,ROUND(I325+M325-Q325,2)),"n.a.")</x:f>
        <x:v>0</x:v>
      </x:c>
      <x:c r="T325" s="22" t="str">
        <x:f>IF(AND(COUNT($I$322:$I$326)=5,COUNT(E325:F325)=2),IF(E325&gt;=F325,"Ready","Budget below minima"),"Check inputs")</x:f>
        <x:v>Ready</x:v>
      </x:c>
      <x:c r="U325" s="22" t="n">
        <x:f>IF(COUNT(I325,M325,N325)=3,MAX(0,ROUND(I325+M325-N325,2)),"n.a.")</x:f>
        <x:v>0</x:v>
      </x:c>
    </x:row>
    <x:row r="326" ht="22" customHeight="1">
      <x:c r="A326" s="2"/>
      <x:c r="B326" s="2"/>
      <x:c r="C326" s="27" t="n">
        <x:f>64</x:f>
        <x:v>64</x:v>
      </x:c>
      <x:c r="D326" s="28" t="n">
        <x:f>IF(ISNUMBER('Inputs'!$D$7),EDATE('Inputs'!$D$7,63),"n.a.")</x:f>
        <x:v>48245</x:v>
      </x:c>
      <x:c r="E326" s="26" t="n">
        <x:f>IF('Inputs'!$D$9&lt;&gt;"Ready","n.a.",IF(ISNUMBER('Inputs'!E82),IF('Inputs'!E82&gt;=0,'Inputs'!E82,"n.a."),IF('Inputs'!E82="",'Inputs'!$D$6,"n.a.")))</x:f>
        <x:v>500</x:v>
      </x:c>
      <x:c r="F326" s="22" t="n">
        <x:f>IF(COUNT($N$322:$N$326)=5,SUM($N$322:$N$326),"n.a.")</x:f>
        <x:v>0</x:v>
      </x:c>
      <x:c r="G326" s="22" t="n">
        <x:f>IF(COUNT(E326:F326)=2,MAX(0,E326-F326),"n.a.")</x:f>
        <x:v>500</x:v>
      </x:c>
      <x:c r="H326" s="26" t="str">
        <x:f>'Inputs'!C15</x:f>
        <x:v>Unused 5</x:v>
      </x:c>
      <x:c r="I326" s="26" t="n">
        <x:f>S321</x:f>
        <x:v>0</x:v>
      </x:c>
      <x:c r="J326" s="29" t="n">
        <x:f>IF('Inputs'!$D$9="Ready",'Inputs'!E15,"n.a.")</x:f>
        <x:v>0</x:v>
      </x:c>
      <x:c r="K326" s="26" t="n">
        <x:f>IF('Inputs'!$D$9="Ready",'Inputs'!F15,"n.a.")</x:f>
        <x:v>0</x:v>
      </x:c>
      <x:c r="L326" s="29" t="n">
        <x:f>IF('Inputs'!$D$9="Ready",'Inputs'!G15,"n.a.")</x:f>
        <x:v>0</x:v>
      </x:c>
      <x:c r="M326" s="22" t="n">
        <x:f>IF(COUNT(I326:L326)=4,ROUND(I326*J326/12,2),"n.a.")</x:f>
        <x:v>0</x:v>
      </x:c>
      <x:c r="N326" s="22" t="n">
        <x:f>IF(COUNT(I326:M326)=5,MIN(I326+M326,ROUND(MAX(K326,I326*L326+M326),2)),"n.a.")</x:f>
        <x:v>0</x:v>
      </x:c>
      <x:c r="O326" s="30" t="n">
        <x:f>IF(COUNT($I$322:$I$326)&lt;&gt;5,"n.a.",IF(I326=0,6,IF('Inputs'!$D$5=1,COUNTIFS($I$322:$I$326,"&gt;0",$I$322:$I$326,"&lt;"&amp;I326)+COUNTIFS($I$322:I326,I326),COUNTIFS($I$322:$I$326,"&gt;0",$J$322:$J$326,"&gt;"&amp;J326)+COUNTIFS($I$322:I326,"&gt;0",$J$322:J326,J326))))</x:f>
        <x:v>6</x:v>
      </x:c>
      <x:c r="P326" s="22" t="n">
        <x:f>IF(T326="Ready",MIN(U326,MAX(0,G326-SUMIFS($U$322:$U$326,$O$322:$O$326,"&lt;"&amp;O326))),"n.a.")</x:f>
        <x:v>0</x:v>
      </x:c>
      <x:c r="Q326" s="22" t="n">
        <x:f>IF(T326="Ready",ROUND(N326+P326,2),"n.a.")</x:f>
        <x:v>0</x:v>
      </x:c>
      <x:c r="R326" s="22" t="n">
        <x:f>IF(T326="Ready",ROUND(Q326-M326,2),"n.a.")</x:f>
        <x:v>0</x:v>
      </x:c>
      <x:c r="S326" s="22" t="n">
        <x:f>IF(T326="Ready",MAX(0,ROUND(I326+M326-Q326,2)),"n.a.")</x:f>
        <x:v>0</x:v>
      </x:c>
      <x:c r="T326" s="22" t="str">
        <x:f>IF(AND(COUNT($I$322:$I$326)=5,COUNT(E326:F326)=2),IF(E326&gt;=F326,"Ready","Budget below minima"),"Check inputs")</x:f>
        <x:v>Ready</x:v>
      </x:c>
      <x:c r="U326" s="22" t="n">
        <x:f>IF(COUNT(I326,M326,N326)=3,MAX(0,ROUND(I326+M326-N326,2)),"n.a.")</x:f>
        <x:v>0</x:v>
      </x:c>
    </x:row>
    <x:row r="327" ht="22" customHeight="1">
      <x:c r="A327" s="2"/>
      <x:c r="B327" s="2"/>
      <x:c r="C327" s="27" t="n">
        <x:f>65</x:f>
        <x:v>65</x:v>
      </x:c>
      <x:c r="D327" s="28" t="n">
        <x:f>IF(ISNUMBER('Inputs'!$D$7),EDATE('Inputs'!$D$7,64),"n.a.")</x:f>
        <x:v>48274</x:v>
      </x:c>
      <x:c r="E327" s="26" t="n">
        <x:f>IF('Inputs'!$D$9&lt;&gt;"Ready","n.a.",IF(ISNUMBER('Inputs'!E83),IF('Inputs'!E83&gt;=0,'Inputs'!E83,"n.a."),IF('Inputs'!E83="",'Inputs'!$D$6,"n.a.")))</x:f>
        <x:v>500</x:v>
      </x:c>
      <x:c r="F327" s="22" t="n">
        <x:f>IF(COUNT($N$327:$N$331)=5,SUM($N$327:$N$331),"n.a.")</x:f>
        <x:v>0</x:v>
      </x:c>
      <x:c r="G327" s="22" t="n">
        <x:f>IF(COUNT(E327:F327)=2,MAX(0,E327-F327),"n.a.")</x:f>
        <x:v>500</x:v>
      </x:c>
      <x:c r="H327" s="26" t="str">
        <x:f>'Inputs'!C11</x:f>
        <x:v>Card A</x:v>
      </x:c>
      <x:c r="I327" s="26" t="n">
        <x:f>S322</x:f>
        <x:v>0</x:v>
      </x:c>
      <x:c r="J327" s="29" t="n">
        <x:f>IF('Inputs'!$D$9="Ready",'Inputs'!E11,"n.a.")</x:f>
        <x:v>0.24</x:v>
      </x:c>
      <x:c r="K327" s="26" t="n">
        <x:f>IF('Inputs'!$D$9="Ready",'Inputs'!F11,"n.a.")</x:f>
        <x:v>35</x:v>
      </x:c>
      <x:c r="L327" s="29" t="n">
        <x:f>IF('Inputs'!$D$9="Ready",'Inputs'!G11,"n.a.")</x:f>
        <x:v>0.02</x:v>
      </x:c>
      <x:c r="M327" s="22" t="n">
        <x:f>IF(COUNT(I327:L327)=4,ROUND(I327*J327/12,2),"n.a.")</x:f>
        <x:v>0</x:v>
      </x:c>
      <x:c r="N327" s="22" t="n">
        <x:f>IF(COUNT(I327:M327)=5,MIN(I327+M327,ROUND(MAX(K327,I327*L327+M327),2)),"n.a.")</x:f>
        <x:v>0</x:v>
      </x:c>
      <x:c r="O327" s="30" t="n">
        <x:f>IF(COUNT($I$327:$I$331)&lt;&gt;5,"n.a.",IF(I327=0,6,IF('Inputs'!$D$5=1,COUNTIFS($I$327:$I$331,"&gt;0",$I$327:$I$331,"&lt;"&amp;I327)+COUNTIFS($I$327:I327,I327),COUNTIFS($I$327:$I$331,"&gt;0",$J$327:$J$331,"&gt;"&amp;J327)+COUNTIFS($I$327:I327,"&gt;0",$J$327:J327,J327))))</x:f>
        <x:v>6</x:v>
      </x:c>
      <x:c r="P327" s="22" t="n">
        <x:f>IF(T327="Ready",MIN(U327,MAX(0,G327-SUMIFS($U$327:$U$331,$O$327:$O$331,"&lt;"&amp;O327))),"n.a.")</x:f>
        <x:v>0</x:v>
      </x:c>
      <x:c r="Q327" s="22" t="n">
        <x:f>IF(T327="Ready",ROUND(N327+P327,2),"n.a.")</x:f>
        <x:v>0</x:v>
      </x:c>
      <x:c r="R327" s="22" t="n">
        <x:f>IF(T327="Ready",ROUND(Q327-M327,2),"n.a.")</x:f>
        <x:v>0</x:v>
      </x:c>
      <x:c r="S327" s="22" t="n">
        <x:f>IF(T327="Ready",MAX(0,ROUND(I327+M327-Q327,2)),"n.a.")</x:f>
        <x:v>0</x:v>
      </x:c>
      <x:c r="T327" s="22" t="str">
        <x:f>IF(AND(COUNT($I$327:$I$331)=5,COUNT(E327:F327)=2),IF(E327&gt;=F327,"Ready","Budget below minima"),"Check inputs")</x:f>
        <x:v>Ready</x:v>
      </x:c>
      <x:c r="U327" s="22" t="n">
        <x:f>IF(COUNT(I327,M327,N327)=3,MAX(0,ROUND(I327+M327-N327,2)),"n.a.")</x:f>
        <x:v>0</x:v>
      </x:c>
    </x:row>
    <x:row r="328" ht="22" customHeight="1">
      <x:c r="A328" s="2"/>
      <x:c r="B328" s="2"/>
      <x:c r="C328" s="27" t="n">
        <x:f>65</x:f>
        <x:v>65</x:v>
      </x:c>
      <x:c r="D328" s="28" t="n">
        <x:f>IF(ISNUMBER('Inputs'!$D$7),EDATE('Inputs'!$D$7,64),"n.a.")</x:f>
        <x:v>48274</x:v>
      </x:c>
      <x:c r="E328" s="26" t="n">
        <x:f>IF('Inputs'!$D$9&lt;&gt;"Ready","n.a.",IF(ISNUMBER('Inputs'!E83),IF('Inputs'!E83&gt;=0,'Inputs'!E83,"n.a."),IF('Inputs'!E83="",'Inputs'!$D$6,"n.a.")))</x:f>
        <x:v>500</x:v>
      </x:c>
      <x:c r="F328" s="22" t="n">
        <x:f>IF(COUNT($N$327:$N$331)=5,SUM($N$327:$N$331),"n.a.")</x:f>
        <x:v>0</x:v>
      </x:c>
      <x:c r="G328" s="22" t="n">
        <x:f>IF(COUNT(E328:F328)=2,MAX(0,E328-F328),"n.a.")</x:f>
        <x:v>500</x:v>
      </x:c>
      <x:c r="H328" s="26" t="str">
        <x:f>'Inputs'!C12</x:f>
        <x:v>Card B</x:v>
      </x:c>
      <x:c r="I328" s="26" t="n">
        <x:f>S323</x:f>
        <x:v>0</x:v>
      </x:c>
      <x:c r="J328" s="29" t="n">
        <x:f>IF('Inputs'!$D$9="Ready",'Inputs'!E12,"n.a.")</x:f>
        <x:v>0.18</x:v>
      </x:c>
      <x:c r="K328" s="26" t="n">
        <x:f>IF('Inputs'!$D$9="Ready",'Inputs'!F12,"n.a.")</x:f>
        <x:v>60</x:v>
      </x:c>
      <x:c r="L328" s="29" t="n">
        <x:f>IF('Inputs'!$D$9="Ready",'Inputs'!G12,"n.a.")</x:f>
        <x:v>0.02</x:v>
      </x:c>
      <x:c r="M328" s="22" t="n">
        <x:f>IF(COUNT(I328:L328)=4,ROUND(I328*J328/12,2),"n.a.")</x:f>
        <x:v>0</x:v>
      </x:c>
      <x:c r="N328" s="22" t="n">
        <x:f>IF(COUNT(I328:M328)=5,MIN(I328+M328,ROUND(MAX(K328,I328*L328+M328),2)),"n.a.")</x:f>
        <x:v>0</x:v>
      </x:c>
      <x:c r="O328" s="30" t="n">
        <x:f>IF(COUNT($I$327:$I$331)&lt;&gt;5,"n.a.",IF(I328=0,6,IF('Inputs'!$D$5=1,COUNTIFS($I$327:$I$331,"&gt;0",$I$327:$I$331,"&lt;"&amp;I328)+COUNTIFS($I$327:I328,I328),COUNTIFS($I$327:$I$331,"&gt;0",$J$327:$J$331,"&gt;"&amp;J328)+COUNTIFS($I$327:I328,"&gt;0",$J$327:J328,J328))))</x:f>
        <x:v>6</x:v>
      </x:c>
      <x:c r="P328" s="22" t="n">
        <x:f>IF(T328="Ready",MIN(U328,MAX(0,G328-SUMIFS($U$327:$U$331,$O$327:$O$331,"&lt;"&amp;O328))),"n.a.")</x:f>
        <x:v>0</x:v>
      </x:c>
      <x:c r="Q328" s="22" t="n">
        <x:f>IF(T328="Ready",ROUND(N328+P328,2),"n.a.")</x:f>
        <x:v>0</x:v>
      </x:c>
      <x:c r="R328" s="22" t="n">
        <x:f>IF(T328="Ready",ROUND(Q328-M328,2),"n.a.")</x:f>
        <x:v>0</x:v>
      </x:c>
      <x:c r="S328" s="22" t="n">
        <x:f>IF(T328="Ready",MAX(0,ROUND(I328+M328-Q328,2)),"n.a.")</x:f>
        <x:v>0</x:v>
      </x:c>
      <x:c r="T328" s="22" t="str">
        <x:f>IF(AND(COUNT($I$327:$I$331)=5,COUNT(E328:F328)=2),IF(E328&gt;=F328,"Ready","Budget below minima"),"Check inputs")</x:f>
        <x:v>Ready</x:v>
      </x:c>
      <x:c r="U328" s="22" t="n">
        <x:f>IF(COUNT(I328,M328,N328)=3,MAX(0,ROUND(I328+M328-N328,2)),"n.a.")</x:f>
        <x:v>0</x:v>
      </x:c>
    </x:row>
    <x:row r="329" ht="22" customHeight="1">
      <x:c r="A329" s="2"/>
      <x:c r="B329" s="2"/>
      <x:c r="C329" s="27" t="n">
        <x:f>65</x:f>
        <x:v>65</x:v>
      </x:c>
      <x:c r="D329" s="28" t="n">
        <x:f>IF(ISNUMBER('Inputs'!$D$7),EDATE('Inputs'!$D$7,64),"n.a.")</x:f>
        <x:v>48274</x:v>
      </x:c>
      <x:c r="E329" s="26" t="n">
        <x:f>IF('Inputs'!$D$9&lt;&gt;"Ready","n.a.",IF(ISNUMBER('Inputs'!E83),IF('Inputs'!E83&gt;=0,'Inputs'!E83,"n.a."),IF('Inputs'!E83="",'Inputs'!$D$6,"n.a.")))</x:f>
        <x:v>500</x:v>
      </x:c>
      <x:c r="F329" s="22" t="n">
        <x:f>IF(COUNT($N$327:$N$331)=5,SUM($N$327:$N$331),"n.a.")</x:f>
        <x:v>0</x:v>
      </x:c>
      <x:c r="G329" s="22" t="n">
        <x:f>IF(COUNT(E329:F329)=2,MAX(0,E329-F329),"n.a.")</x:f>
        <x:v>500</x:v>
      </x:c>
      <x:c r="H329" s="26" t="str">
        <x:f>'Inputs'!C13</x:f>
        <x:v>Loan C</x:v>
      </x:c>
      <x:c r="I329" s="26" t="n">
        <x:f>S324</x:f>
        <x:v>0</x:v>
      </x:c>
      <x:c r="J329" s="29" t="n">
        <x:f>IF('Inputs'!$D$9="Ready",'Inputs'!E13,"n.a.")</x:f>
        <x:v>0.08</x:v>
      </x:c>
      <x:c r="K329" s="26" t="n">
        <x:f>IF('Inputs'!$D$9="Ready",'Inputs'!F13,"n.a.")</x:f>
        <x:v>150</x:v>
      </x:c>
      <x:c r="L329" s="29" t="n">
        <x:f>IF('Inputs'!$D$9="Ready",'Inputs'!G13,"n.a.")</x:f>
        <x:v>0</x:v>
      </x:c>
      <x:c r="M329" s="22" t="n">
        <x:f>IF(COUNT(I329:L329)=4,ROUND(I329*J329/12,2),"n.a.")</x:f>
        <x:v>0</x:v>
      </x:c>
      <x:c r="N329" s="22" t="n">
        <x:f>IF(COUNT(I329:M329)=5,MIN(I329+M329,ROUND(MAX(K329,I329*L329+M329),2)),"n.a.")</x:f>
        <x:v>0</x:v>
      </x:c>
      <x:c r="O329" s="30" t="n">
        <x:f>IF(COUNT($I$327:$I$331)&lt;&gt;5,"n.a.",IF(I329=0,6,IF('Inputs'!$D$5=1,COUNTIFS($I$327:$I$331,"&gt;0",$I$327:$I$331,"&lt;"&amp;I329)+COUNTIFS($I$327:I329,I329),COUNTIFS($I$327:$I$331,"&gt;0",$J$327:$J$331,"&gt;"&amp;J329)+COUNTIFS($I$327:I329,"&gt;0",$J$327:J329,J329))))</x:f>
        <x:v>6</x:v>
      </x:c>
      <x:c r="P329" s="22" t="n">
        <x:f>IF(T329="Ready",MIN(U329,MAX(0,G329-SUMIFS($U$327:$U$331,$O$327:$O$331,"&lt;"&amp;O329))),"n.a.")</x:f>
        <x:v>0</x:v>
      </x:c>
      <x:c r="Q329" s="22" t="n">
        <x:f>IF(T329="Ready",ROUND(N329+P329,2),"n.a.")</x:f>
        <x:v>0</x:v>
      </x:c>
      <x:c r="R329" s="22" t="n">
        <x:f>IF(T329="Ready",ROUND(Q329-M329,2),"n.a.")</x:f>
        <x:v>0</x:v>
      </x:c>
      <x:c r="S329" s="22" t="n">
        <x:f>IF(T329="Ready",MAX(0,ROUND(I329+M329-Q329,2)),"n.a.")</x:f>
        <x:v>0</x:v>
      </x:c>
      <x:c r="T329" s="22" t="str">
        <x:f>IF(AND(COUNT($I$327:$I$331)=5,COUNT(E329:F329)=2),IF(E329&gt;=F329,"Ready","Budget below minima"),"Check inputs")</x:f>
        <x:v>Ready</x:v>
      </x:c>
      <x:c r="U329" s="22" t="n">
        <x:f>IF(COUNT(I329,M329,N329)=3,MAX(0,ROUND(I329+M329-N329,2)),"n.a.")</x:f>
        <x:v>0</x:v>
      </x:c>
    </x:row>
    <x:row r="330" ht="22" customHeight="1">
      <x:c r="A330" s="2"/>
      <x:c r="B330" s="2"/>
      <x:c r="C330" s="27" t="n">
        <x:f>65</x:f>
        <x:v>65</x:v>
      </x:c>
      <x:c r="D330" s="28" t="n">
        <x:f>IF(ISNUMBER('Inputs'!$D$7),EDATE('Inputs'!$D$7,64),"n.a.")</x:f>
        <x:v>48274</x:v>
      </x:c>
      <x:c r="E330" s="26" t="n">
        <x:f>IF('Inputs'!$D$9&lt;&gt;"Ready","n.a.",IF(ISNUMBER('Inputs'!E83),IF('Inputs'!E83&gt;=0,'Inputs'!E83,"n.a."),IF('Inputs'!E83="",'Inputs'!$D$6,"n.a.")))</x:f>
        <x:v>500</x:v>
      </x:c>
      <x:c r="F330" s="22" t="n">
        <x:f>IF(COUNT($N$327:$N$331)=5,SUM($N$327:$N$331),"n.a.")</x:f>
        <x:v>0</x:v>
      </x:c>
      <x:c r="G330" s="22" t="n">
        <x:f>IF(COUNT(E330:F330)=2,MAX(0,E330-F330),"n.a.")</x:f>
        <x:v>500</x:v>
      </x:c>
      <x:c r="H330" s="26" t="str">
        <x:f>'Inputs'!C14</x:f>
        <x:v>Unused 4</x:v>
      </x:c>
      <x:c r="I330" s="26" t="n">
        <x:f>S325</x:f>
        <x:v>0</x:v>
      </x:c>
      <x:c r="J330" s="29" t="n">
        <x:f>IF('Inputs'!$D$9="Ready",'Inputs'!E14,"n.a.")</x:f>
        <x:v>0</x:v>
      </x:c>
      <x:c r="K330" s="26" t="n">
        <x:f>IF('Inputs'!$D$9="Ready",'Inputs'!F14,"n.a.")</x:f>
        <x:v>0</x:v>
      </x:c>
      <x:c r="L330" s="29" t="n">
        <x:f>IF('Inputs'!$D$9="Ready",'Inputs'!G14,"n.a.")</x:f>
        <x:v>0</x:v>
      </x:c>
      <x:c r="M330" s="22" t="n">
        <x:f>IF(COUNT(I330:L330)=4,ROUND(I330*J330/12,2),"n.a.")</x:f>
        <x:v>0</x:v>
      </x:c>
      <x:c r="N330" s="22" t="n">
        <x:f>IF(COUNT(I330:M330)=5,MIN(I330+M330,ROUND(MAX(K330,I330*L330+M330),2)),"n.a.")</x:f>
        <x:v>0</x:v>
      </x:c>
      <x:c r="O330" s="30" t="n">
        <x:f>IF(COUNT($I$327:$I$331)&lt;&gt;5,"n.a.",IF(I330=0,6,IF('Inputs'!$D$5=1,COUNTIFS($I$327:$I$331,"&gt;0",$I$327:$I$331,"&lt;"&amp;I330)+COUNTIFS($I$327:I330,I330),COUNTIFS($I$327:$I$331,"&gt;0",$J$327:$J$331,"&gt;"&amp;J330)+COUNTIFS($I$327:I330,"&gt;0",$J$327:J330,J330))))</x:f>
        <x:v>6</x:v>
      </x:c>
      <x:c r="P330" s="22" t="n">
        <x:f>IF(T330="Ready",MIN(U330,MAX(0,G330-SUMIFS($U$327:$U$331,$O$327:$O$331,"&lt;"&amp;O330))),"n.a.")</x:f>
        <x:v>0</x:v>
      </x:c>
      <x:c r="Q330" s="22" t="n">
        <x:f>IF(T330="Ready",ROUND(N330+P330,2),"n.a.")</x:f>
        <x:v>0</x:v>
      </x:c>
      <x:c r="R330" s="22" t="n">
        <x:f>IF(T330="Ready",ROUND(Q330-M330,2),"n.a.")</x:f>
        <x:v>0</x:v>
      </x:c>
      <x:c r="S330" s="22" t="n">
        <x:f>IF(T330="Ready",MAX(0,ROUND(I330+M330-Q330,2)),"n.a.")</x:f>
        <x:v>0</x:v>
      </x:c>
      <x:c r="T330" s="22" t="str">
        <x:f>IF(AND(COUNT($I$327:$I$331)=5,COUNT(E330:F330)=2),IF(E330&gt;=F330,"Ready","Budget below minima"),"Check inputs")</x:f>
        <x:v>Ready</x:v>
      </x:c>
      <x:c r="U330" s="22" t="n">
        <x:f>IF(COUNT(I330,M330,N330)=3,MAX(0,ROUND(I330+M330-N330,2)),"n.a.")</x:f>
        <x:v>0</x:v>
      </x:c>
    </x:row>
    <x:row r="331" ht="22" customHeight="1">
      <x:c r="A331" s="2"/>
      <x:c r="B331" s="2"/>
      <x:c r="C331" s="27" t="n">
        <x:f>65</x:f>
        <x:v>65</x:v>
      </x:c>
      <x:c r="D331" s="28" t="n">
        <x:f>IF(ISNUMBER('Inputs'!$D$7),EDATE('Inputs'!$D$7,64),"n.a.")</x:f>
        <x:v>48274</x:v>
      </x:c>
      <x:c r="E331" s="26" t="n">
        <x:f>IF('Inputs'!$D$9&lt;&gt;"Ready","n.a.",IF(ISNUMBER('Inputs'!E83),IF('Inputs'!E83&gt;=0,'Inputs'!E83,"n.a."),IF('Inputs'!E83="",'Inputs'!$D$6,"n.a.")))</x:f>
        <x:v>500</x:v>
      </x:c>
      <x:c r="F331" s="22" t="n">
        <x:f>IF(COUNT($N$327:$N$331)=5,SUM($N$327:$N$331),"n.a.")</x:f>
        <x:v>0</x:v>
      </x:c>
      <x:c r="G331" s="22" t="n">
        <x:f>IF(COUNT(E331:F331)=2,MAX(0,E331-F331),"n.a.")</x:f>
        <x:v>500</x:v>
      </x:c>
      <x:c r="H331" s="26" t="str">
        <x:f>'Inputs'!C15</x:f>
        <x:v>Unused 5</x:v>
      </x:c>
      <x:c r="I331" s="26" t="n">
        <x:f>S326</x:f>
        <x:v>0</x:v>
      </x:c>
      <x:c r="J331" s="29" t="n">
        <x:f>IF('Inputs'!$D$9="Ready",'Inputs'!E15,"n.a.")</x:f>
        <x:v>0</x:v>
      </x:c>
      <x:c r="K331" s="26" t="n">
        <x:f>IF('Inputs'!$D$9="Ready",'Inputs'!F15,"n.a.")</x:f>
        <x:v>0</x:v>
      </x:c>
      <x:c r="L331" s="29" t="n">
        <x:f>IF('Inputs'!$D$9="Ready",'Inputs'!G15,"n.a.")</x:f>
        <x:v>0</x:v>
      </x:c>
      <x:c r="M331" s="22" t="n">
        <x:f>IF(COUNT(I331:L331)=4,ROUND(I331*J331/12,2),"n.a.")</x:f>
        <x:v>0</x:v>
      </x:c>
      <x:c r="N331" s="22" t="n">
        <x:f>IF(COUNT(I331:M331)=5,MIN(I331+M331,ROUND(MAX(K331,I331*L331+M331),2)),"n.a.")</x:f>
        <x:v>0</x:v>
      </x:c>
      <x:c r="O331" s="30" t="n">
        <x:f>IF(COUNT($I$327:$I$331)&lt;&gt;5,"n.a.",IF(I331=0,6,IF('Inputs'!$D$5=1,COUNTIFS($I$327:$I$331,"&gt;0",$I$327:$I$331,"&lt;"&amp;I331)+COUNTIFS($I$327:I331,I331),COUNTIFS($I$327:$I$331,"&gt;0",$J$327:$J$331,"&gt;"&amp;J331)+COUNTIFS($I$327:I331,"&gt;0",$J$327:J331,J331))))</x:f>
        <x:v>6</x:v>
      </x:c>
      <x:c r="P331" s="22" t="n">
        <x:f>IF(T331="Ready",MIN(U331,MAX(0,G331-SUMIFS($U$327:$U$331,$O$327:$O$331,"&lt;"&amp;O331))),"n.a.")</x:f>
        <x:v>0</x:v>
      </x:c>
      <x:c r="Q331" s="22" t="n">
        <x:f>IF(T331="Ready",ROUND(N331+P331,2),"n.a.")</x:f>
        <x:v>0</x:v>
      </x:c>
      <x:c r="R331" s="22" t="n">
        <x:f>IF(T331="Ready",ROUND(Q331-M331,2),"n.a.")</x:f>
        <x:v>0</x:v>
      </x:c>
      <x:c r="S331" s="22" t="n">
        <x:f>IF(T331="Ready",MAX(0,ROUND(I331+M331-Q331,2)),"n.a.")</x:f>
        <x:v>0</x:v>
      </x:c>
      <x:c r="T331" s="22" t="str">
        <x:f>IF(AND(COUNT($I$327:$I$331)=5,COUNT(E331:F331)=2),IF(E331&gt;=F331,"Ready","Budget below minima"),"Check inputs")</x:f>
        <x:v>Ready</x:v>
      </x:c>
      <x:c r="U331" s="22" t="n">
        <x:f>IF(COUNT(I331,M331,N331)=3,MAX(0,ROUND(I331+M331-N331,2)),"n.a.")</x:f>
        <x:v>0</x:v>
      </x:c>
    </x:row>
    <x:row r="332" ht="22" customHeight="1">
      <x:c r="A332" s="2"/>
      <x:c r="B332" s="2"/>
      <x:c r="C332" s="27" t="n">
        <x:f>66</x:f>
        <x:v>66</x:v>
      </x:c>
      <x:c r="D332" s="28" t="n">
        <x:f>IF(ISNUMBER('Inputs'!$D$7),EDATE('Inputs'!$D$7,65),"n.a.")</x:f>
        <x:v>48305</x:v>
      </x:c>
      <x:c r="E332" s="26" t="n">
        <x:f>IF('Inputs'!$D$9&lt;&gt;"Ready","n.a.",IF(ISNUMBER('Inputs'!E84),IF('Inputs'!E84&gt;=0,'Inputs'!E84,"n.a."),IF('Inputs'!E84="",'Inputs'!$D$6,"n.a.")))</x:f>
        <x:v>500</x:v>
      </x:c>
      <x:c r="F332" s="22" t="n">
        <x:f>IF(COUNT($N$332:$N$336)=5,SUM($N$332:$N$336),"n.a.")</x:f>
        <x:v>0</x:v>
      </x:c>
      <x:c r="G332" s="22" t="n">
        <x:f>IF(COUNT(E332:F332)=2,MAX(0,E332-F332),"n.a.")</x:f>
        <x:v>500</x:v>
      </x:c>
      <x:c r="H332" s="26" t="str">
        <x:f>'Inputs'!C11</x:f>
        <x:v>Card A</x:v>
      </x:c>
      <x:c r="I332" s="26" t="n">
        <x:f>S327</x:f>
        <x:v>0</x:v>
      </x:c>
      <x:c r="J332" s="29" t="n">
        <x:f>IF('Inputs'!$D$9="Ready",'Inputs'!E11,"n.a.")</x:f>
        <x:v>0.24</x:v>
      </x:c>
      <x:c r="K332" s="26" t="n">
        <x:f>IF('Inputs'!$D$9="Ready",'Inputs'!F11,"n.a.")</x:f>
        <x:v>35</x:v>
      </x:c>
      <x:c r="L332" s="29" t="n">
        <x:f>IF('Inputs'!$D$9="Ready",'Inputs'!G11,"n.a.")</x:f>
        <x:v>0.02</x:v>
      </x:c>
      <x:c r="M332" s="22" t="n">
        <x:f>IF(COUNT(I332:L332)=4,ROUND(I332*J332/12,2),"n.a.")</x:f>
        <x:v>0</x:v>
      </x:c>
      <x:c r="N332" s="22" t="n">
        <x:f>IF(COUNT(I332:M332)=5,MIN(I332+M332,ROUND(MAX(K332,I332*L332+M332),2)),"n.a.")</x:f>
        <x:v>0</x:v>
      </x:c>
      <x:c r="O332" s="30" t="n">
        <x:f>IF(COUNT($I$332:$I$336)&lt;&gt;5,"n.a.",IF(I332=0,6,IF('Inputs'!$D$5=1,COUNTIFS($I$332:$I$336,"&gt;0",$I$332:$I$336,"&lt;"&amp;I332)+COUNTIFS($I$332:I332,I332),COUNTIFS($I$332:$I$336,"&gt;0",$J$332:$J$336,"&gt;"&amp;J332)+COUNTIFS($I$332:I332,"&gt;0",$J$332:J332,J332))))</x:f>
        <x:v>6</x:v>
      </x:c>
      <x:c r="P332" s="22" t="n">
        <x:f>IF(T332="Ready",MIN(U332,MAX(0,G332-SUMIFS($U$332:$U$336,$O$332:$O$336,"&lt;"&amp;O332))),"n.a.")</x:f>
        <x:v>0</x:v>
      </x:c>
      <x:c r="Q332" s="22" t="n">
        <x:f>IF(T332="Ready",ROUND(N332+P332,2),"n.a.")</x:f>
        <x:v>0</x:v>
      </x:c>
      <x:c r="R332" s="22" t="n">
        <x:f>IF(T332="Ready",ROUND(Q332-M332,2),"n.a.")</x:f>
        <x:v>0</x:v>
      </x:c>
      <x:c r="S332" s="22" t="n">
        <x:f>IF(T332="Ready",MAX(0,ROUND(I332+M332-Q332,2)),"n.a.")</x:f>
        <x:v>0</x:v>
      </x:c>
      <x:c r="T332" s="22" t="str">
        <x:f>IF(AND(COUNT($I$332:$I$336)=5,COUNT(E332:F332)=2),IF(E332&gt;=F332,"Ready","Budget below minima"),"Check inputs")</x:f>
        <x:v>Ready</x:v>
      </x:c>
      <x:c r="U332" s="22" t="n">
        <x:f>IF(COUNT(I332,M332,N332)=3,MAX(0,ROUND(I332+M332-N332,2)),"n.a.")</x:f>
        <x:v>0</x:v>
      </x:c>
    </x:row>
    <x:row r="333" ht="22" customHeight="1">
      <x:c r="A333" s="2"/>
      <x:c r="B333" s="2"/>
      <x:c r="C333" s="27" t="n">
        <x:f>66</x:f>
        <x:v>66</x:v>
      </x:c>
      <x:c r="D333" s="28" t="n">
        <x:f>IF(ISNUMBER('Inputs'!$D$7),EDATE('Inputs'!$D$7,65),"n.a.")</x:f>
        <x:v>48305</x:v>
      </x:c>
      <x:c r="E333" s="26" t="n">
        <x:f>IF('Inputs'!$D$9&lt;&gt;"Ready","n.a.",IF(ISNUMBER('Inputs'!E84),IF('Inputs'!E84&gt;=0,'Inputs'!E84,"n.a."),IF('Inputs'!E84="",'Inputs'!$D$6,"n.a.")))</x:f>
        <x:v>500</x:v>
      </x:c>
      <x:c r="F333" s="22" t="n">
        <x:f>IF(COUNT($N$332:$N$336)=5,SUM($N$332:$N$336),"n.a.")</x:f>
        <x:v>0</x:v>
      </x:c>
      <x:c r="G333" s="22" t="n">
        <x:f>IF(COUNT(E333:F333)=2,MAX(0,E333-F333),"n.a.")</x:f>
        <x:v>500</x:v>
      </x:c>
      <x:c r="H333" s="26" t="str">
        <x:f>'Inputs'!C12</x:f>
        <x:v>Card B</x:v>
      </x:c>
      <x:c r="I333" s="26" t="n">
        <x:f>S328</x:f>
        <x:v>0</x:v>
      </x:c>
      <x:c r="J333" s="29" t="n">
        <x:f>IF('Inputs'!$D$9="Ready",'Inputs'!E12,"n.a.")</x:f>
        <x:v>0.18</x:v>
      </x:c>
      <x:c r="K333" s="26" t="n">
        <x:f>IF('Inputs'!$D$9="Ready",'Inputs'!F12,"n.a.")</x:f>
        <x:v>60</x:v>
      </x:c>
      <x:c r="L333" s="29" t="n">
        <x:f>IF('Inputs'!$D$9="Ready",'Inputs'!G12,"n.a.")</x:f>
        <x:v>0.02</x:v>
      </x:c>
      <x:c r="M333" s="22" t="n">
        <x:f>IF(COUNT(I333:L333)=4,ROUND(I333*J333/12,2),"n.a.")</x:f>
        <x:v>0</x:v>
      </x:c>
      <x:c r="N333" s="22" t="n">
        <x:f>IF(COUNT(I333:M333)=5,MIN(I333+M333,ROUND(MAX(K333,I333*L333+M333),2)),"n.a.")</x:f>
        <x:v>0</x:v>
      </x:c>
      <x:c r="O333" s="30" t="n">
        <x:f>IF(COUNT($I$332:$I$336)&lt;&gt;5,"n.a.",IF(I333=0,6,IF('Inputs'!$D$5=1,COUNTIFS($I$332:$I$336,"&gt;0",$I$332:$I$336,"&lt;"&amp;I333)+COUNTIFS($I$332:I333,I333),COUNTIFS($I$332:$I$336,"&gt;0",$J$332:$J$336,"&gt;"&amp;J333)+COUNTIFS($I$332:I333,"&gt;0",$J$332:J333,J333))))</x:f>
        <x:v>6</x:v>
      </x:c>
      <x:c r="P333" s="22" t="n">
        <x:f>IF(T333="Ready",MIN(U333,MAX(0,G333-SUMIFS($U$332:$U$336,$O$332:$O$336,"&lt;"&amp;O333))),"n.a.")</x:f>
        <x:v>0</x:v>
      </x:c>
      <x:c r="Q333" s="22" t="n">
        <x:f>IF(T333="Ready",ROUND(N333+P333,2),"n.a.")</x:f>
        <x:v>0</x:v>
      </x:c>
      <x:c r="R333" s="22" t="n">
        <x:f>IF(T333="Ready",ROUND(Q333-M333,2),"n.a.")</x:f>
        <x:v>0</x:v>
      </x:c>
      <x:c r="S333" s="22" t="n">
        <x:f>IF(T333="Ready",MAX(0,ROUND(I333+M333-Q333,2)),"n.a.")</x:f>
        <x:v>0</x:v>
      </x:c>
      <x:c r="T333" s="22" t="str">
        <x:f>IF(AND(COUNT($I$332:$I$336)=5,COUNT(E333:F333)=2),IF(E333&gt;=F333,"Ready","Budget below minima"),"Check inputs")</x:f>
        <x:v>Ready</x:v>
      </x:c>
      <x:c r="U333" s="22" t="n">
        <x:f>IF(COUNT(I333,M333,N333)=3,MAX(0,ROUND(I333+M333-N333,2)),"n.a.")</x:f>
        <x:v>0</x:v>
      </x:c>
    </x:row>
    <x:row r="334" ht="22" customHeight="1">
      <x:c r="A334" s="2"/>
      <x:c r="B334" s="2"/>
      <x:c r="C334" s="27" t="n">
        <x:f>66</x:f>
        <x:v>66</x:v>
      </x:c>
      <x:c r="D334" s="28" t="n">
        <x:f>IF(ISNUMBER('Inputs'!$D$7),EDATE('Inputs'!$D$7,65),"n.a.")</x:f>
        <x:v>48305</x:v>
      </x:c>
      <x:c r="E334" s="26" t="n">
        <x:f>IF('Inputs'!$D$9&lt;&gt;"Ready","n.a.",IF(ISNUMBER('Inputs'!E84),IF('Inputs'!E84&gt;=0,'Inputs'!E84,"n.a."),IF('Inputs'!E84="",'Inputs'!$D$6,"n.a.")))</x:f>
        <x:v>500</x:v>
      </x:c>
      <x:c r="F334" s="22" t="n">
        <x:f>IF(COUNT($N$332:$N$336)=5,SUM($N$332:$N$336),"n.a.")</x:f>
        <x:v>0</x:v>
      </x:c>
      <x:c r="G334" s="22" t="n">
        <x:f>IF(COUNT(E334:F334)=2,MAX(0,E334-F334),"n.a.")</x:f>
        <x:v>500</x:v>
      </x:c>
      <x:c r="H334" s="26" t="str">
        <x:f>'Inputs'!C13</x:f>
        <x:v>Loan C</x:v>
      </x:c>
      <x:c r="I334" s="26" t="n">
        <x:f>S329</x:f>
        <x:v>0</x:v>
      </x:c>
      <x:c r="J334" s="29" t="n">
        <x:f>IF('Inputs'!$D$9="Ready",'Inputs'!E13,"n.a.")</x:f>
        <x:v>0.08</x:v>
      </x:c>
      <x:c r="K334" s="26" t="n">
        <x:f>IF('Inputs'!$D$9="Ready",'Inputs'!F13,"n.a.")</x:f>
        <x:v>150</x:v>
      </x:c>
      <x:c r="L334" s="29" t="n">
        <x:f>IF('Inputs'!$D$9="Ready",'Inputs'!G13,"n.a.")</x:f>
        <x:v>0</x:v>
      </x:c>
      <x:c r="M334" s="22" t="n">
        <x:f>IF(COUNT(I334:L334)=4,ROUND(I334*J334/12,2),"n.a.")</x:f>
        <x:v>0</x:v>
      </x:c>
      <x:c r="N334" s="22" t="n">
        <x:f>IF(COUNT(I334:M334)=5,MIN(I334+M334,ROUND(MAX(K334,I334*L334+M334),2)),"n.a.")</x:f>
        <x:v>0</x:v>
      </x:c>
      <x:c r="O334" s="30" t="n">
        <x:f>IF(COUNT($I$332:$I$336)&lt;&gt;5,"n.a.",IF(I334=0,6,IF('Inputs'!$D$5=1,COUNTIFS($I$332:$I$336,"&gt;0",$I$332:$I$336,"&lt;"&amp;I334)+COUNTIFS($I$332:I334,I334),COUNTIFS($I$332:$I$336,"&gt;0",$J$332:$J$336,"&gt;"&amp;J334)+COUNTIFS($I$332:I334,"&gt;0",$J$332:J334,J334))))</x:f>
        <x:v>6</x:v>
      </x:c>
      <x:c r="P334" s="22" t="n">
        <x:f>IF(T334="Ready",MIN(U334,MAX(0,G334-SUMIFS($U$332:$U$336,$O$332:$O$336,"&lt;"&amp;O334))),"n.a.")</x:f>
        <x:v>0</x:v>
      </x:c>
      <x:c r="Q334" s="22" t="n">
        <x:f>IF(T334="Ready",ROUND(N334+P334,2),"n.a.")</x:f>
        <x:v>0</x:v>
      </x:c>
      <x:c r="R334" s="22" t="n">
        <x:f>IF(T334="Ready",ROUND(Q334-M334,2),"n.a.")</x:f>
        <x:v>0</x:v>
      </x:c>
      <x:c r="S334" s="22" t="n">
        <x:f>IF(T334="Ready",MAX(0,ROUND(I334+M334-Q334,2)),"n.a.")</x:f>
        <x:v>0</x:v>
      </x:c>
      <x:c r="T334" s="22" t="str">
        <x:f>IF(AND(COUNT($I$332:$I$336)=5,COUNT(E334:F334)=2),IF(E334&gt;=F334,"Ready","Budget below minima"),"Check inputs")</x:f>
        <x:v>Ready</x:v>
      </x:c>
      <x:c r="U334" s="22" t="n">
        <x:f>IF(COUNT(I334,M334,N334)=3,MAX(0,ROUND(I334+M334-N334,2)),"n.a.")</x:f>
        <x:v>0</x:v>
      </x:c>
    </x:row>
    <x:row r="335" ht="22" customHeight="1">
      <x:c r="A335" s="2"/>
      <x:c r="B335" s="2"/>
      <x:c r="C335" s="27" t="n">
        <x:f>66</x:f>
        <x:v>66</x:v>
      </x:c>
      <x:c r="D335" s="28" t="n">
        <x:f>IF(ISNUMBER('Inputs'!$D$7),EDATE('Inputs'!$D$7,65),"n.a.")</x:f>
        <x:v>48305</x:v>
      </x:c>
      <x:c r="E335" s="26" t="n">
        <x:f>IF('Inputs'!$D$9&lt;&gt;"Ready","n.a.",IF(ISNUMBER('Inputs'!E84),IF('Inputs'!E84&gt;=0,'Inputs'!E84,"n.a."),IF('Inputs'!E84="",'Inputs'!$D$6,"n.a.")))</x:f>
        <x:v>500</x:v>
      </x:c>
      <x:c r="F335" s="22" t="n">
        <x:f>IF(COUNT($N$332:$N$336)=5,SUM($N$332:$N$336),"n.a.")</x:f>
        <x:v>0</x:v>
      </x:c>
      <x:c r="G335" s="22" t="n">
        <x:f>IF(COUNT(E335:F335)=2,MAX(0,E335-F335),"n.a.")</x:f>
        <x:v>500</x:v>
      </x:c>
      <x:c r="H335" s="26" t="str">
        <x:f>'Inputs'!C14</x:f>
        <x:v>Unused 4</x:v>
      </x:c>
      <x:c r="I335" s="26" t="n">
        <x:f>S330</x:f>
        <x:v>0</x:v>
      </x:c>
      <x:c r="J335" s="29" t="n">
        <x:f>IF('Inputs'!$D$9="Ready",'Inputs'!E14,"n.a.")</x:f>
        <x:v>0</x:v>
      </x:c>
      <x:c r="K335" s="26" t="n">
        <x:f>IF('Inputs'!$D$9="Ready",'Inputs'!F14,"n.a.")</x:f>
        <x:v>0</x:v>
      </x:c>
      <x:c r="L335" s="29" t="n">
        <x:f>IF('Inputs'!$D$9="Ready",'Inputs'!G14,"n.a.")</x:f>
        <x:v>0</x:v>
      </x:c>
      <x:c r="M335" s="22" t="n">
        <x:f>IF(COUNT(I335:L335)=4,ROUND(I335*J335/12,2),"n.a.")</x:f>
        <x:v>0</x:v>
      </x:c>
      <x:c r="N335" s="22" t="n">
        <x:f>IF(COUNT(I335:M335)=5,MIN(I335+M335,ROUND(MAX(K335,I335*L335+M335),2)),"n.a.")</x:f>
        <x:v>0</x:v>
      </x:c>
      <x:c r="O335" s="30" t="n">
        <x:f>IF(COUNT($I$332:$I$336)&lt;&gt;5,"n.a.",IF(I335=0,6,IF('Inputs'!$D$5=1,COUNTIFS($I$332:$I$336,"&gt;0",$I$332:$I$336,"&lt;"&amp;I335)+COUNTIFS($I$332:I335,I335),COUNTIFS($I$332:$I$336,"&gt;0",$J$332:$J$336,"&gt;"&amp;J335)+COUNTIFS($I$332:I335,"&gt;0",$J$332:J335,J335))))</x:f>
        <x:v>6</x:v>
      </x:c>
      <x:c r="P335" s="22" t="n">
        <x:f>IF(T335="Ready",MIN(U335,MAX(0,G335-SUMIFS($U$332:$U$336,$O$332:$O$336,"&lt;"&amp;O335))),"n.a.")</x:f>
        <x:v>0</x:v>
      </x:c>
      <x:c r="Q335" s="22" t="n">
        <x:f>IF(T335="Ready",ROUND(N335+P335,2),"n.a.")</x:f>
        <x:v>0</x:v>
      </x:c>
      <x:c r="R335" s="22" t="n">
        <x:f>IF(T335="Ready",ROUND(Q335-M335,2),"n.a.")</x:f>
        <x:v>0</x:v>
      </x:c>
      <x:c r="S335" s="22" t="n">
        <x:f>IF(T335="Ready",MAX(0,ROUND(I335+M335-Q335,2)),"n.a.")</x:f>
        <x:v>0</x:v>
      </x:c>
      <x:c r="T335" s="22" t="str">
        <x:f>IF(AND(COUNT($I$332:$I$336)=5,COUNT(E335:F335)=2),IF(E335&gt;=F335,"Ready","Budget below minima"),"Check inputs")</x:f>
        <x:v>Ready</x:v>
      </x:c>
      <x:c r="U335" s="22" t="n">
        <x:f>IF(COUNT(I335,M335,N335)=3,MAX(0,ROUND(I335+M335-N335,2)),"n.a.")</x:f>
        <x:v>0</x:v>
      </x:c>
    </x:row>
    <x:row r="336" ht="22" customHeight="1">
      <x:c r="A336" s="2"/>
      <x:c r="B336" s="2"/>
      <x:c r="C336" s="27" t="n">
        <x:f>66</x:f>
        <x:v>66</x:v>
      </x:c>
      <x:c r="D336" s="28" t="n">
        <x:f>IF(ISNUMBER('Inputs'!$D$7),EDATE('Inputs'!$D$7,65),"n.a.")</x:f>
        <x:v>48305</x:v>
      </x:c>
      <x:c r="E336" s="26" t="n">
        <x:f>IF('Inputs'!$D$9&lt;&gt;"Ready","n.a.",IF(ISNUMBER('Inputs'!E84),IF('Inputs'!E84&gt;=0,'Inputs'!E84,"n.a."),IF('Inputs'!E84="",'Inputs'!$D$6,"n.a.")))</x:f>
        <x:v>500</x:v>
      </x:c>
      <x:c r="F336" s="22" t="n">
        <x:f>IF(COUNT($N$332:$N$336)=5,SUM($N$332:$N$336),"n.a.")</x:f>
        <x:v>0</x:v>
      </x:c>
      <x:c r="G336" s="22" t="n">
        <x:f>IF(COUNT(E336:F336)=2,MAX(0,E336-F336),"n.a.")</x:f>
        <x:v>500</x:v>
      </x:c>
      <x:c r="H336" s="26" t="str">
        <x:f>'Inputs'!C15</x:f>
        <x:v>Unused 5</x:v>
      </x:c>
      <x:c r="I336" s="26" t="n">
        <x:f>S331</x:f>
        <x:v>0</x:v>
      </x:c>
      <x:c r="J336" s="29" t="n">
        <x:f>IF('Inputs'!$D$9="Ready",'Inputs'!E15,"n.a.")</x:f>
        <x:v>0</x:v>
      </x:c>
      <x:c r="K336" s="26" t="n">
        <x:f>IF('Inputs'!$D$9="Ready",'Inputs'!F15,"n.a.")</x:f>
        <x:v>0</x:v>
      </x:c>
      <x:c r="L336" s="29" t="n">
        <x:f>IF('Inputs'!$D$9="Ready",'Inputs'!G15,"n.a.")</x:f>
        <x:v>0</x:v>
      </x:c>
      <x:c r="M336" s="22" t="n">
        <x:f>IF(COUNT(I336:L336)=4,ROUND(I336*J336/12,2),"n.a.")</x:f>
        <x:v>0</x:v>
      </x:c>
      <x:c r="N336" s="22" t="n">
        <x:f>IF(COUNT(I336:M336)=5,MIN(I336+M336,ROUND(MAX(K336,I336*L336+M336),2)),"n.a.")</x:f>
        <x:v>0</x:v>
      </x:c>
      <x:c r="O336" s="30" t="n">
        <x:f>IF(COUNT($I$332:$I$336)&lt;&gt;5,"n.a.",IF(I336=0,6,IF('Inputs'!$D$5=1,COUNTIFS($I$332:$I$336,"&gt;0",$I$332:$I$336,"&lt;"&amp;I336)+COUNTIFS($I$332:I336,I336),COUNTIFS($I$332:$I$336,"&gt;0",$J$332:$J$336,"&gt;"&amp;J336)+COUNTIFS($I$332:I336,"&gt;0",$J$332:J336,J336))))</x:f>
        <x:v>6</x:v>
      </x:c>
      <x:c r="P336" s="22" t="n">
        <x:f>IF(T336="Ready",MIN(U336,MAX(0,G336-SUMIFS($U$332:$U$336,$O$332:$O$336,"&lt;"&amp;O336))),"n.a.")</x:f>
        <x:v>0</x:v>
      </x:c>
      <x:c r="Q336" s="22" t="n">
        <x:f>IF(T336="Ready",ROUND(N336+P336,2),"n.a.")</x:f>
        <x:v>0</x:v>
      </x:c>
      <x:c r="R336" s="22" t="n">
        <x:f>IF(T336="Ready",ROUND(Q336-M336,2),"n.a.")</x:f>
        <x:v>0</x:v>
      </x:c>
      <x:c r="S336" s="22" t="n">
        <x:f>IF(T336="Ready",MAX(0,ROUND(I336+M336-Q336,2)),"n.a.")</x:f>
        <x:v>0</x:v>
      </x:c>
      <x:c r="T336" s="22" t="str">
        <x:f>IF(AND(COUNT($I$332:$I$336)=5,COUNT(E336:F336)=2),IF(E336&gt;=F336,"Ready","Budget below minima"),"Check inputs")</x:f>
        <x:v>Ready</x:v>
      </x:c>
      <x:c r="U336" s="22" t="n">
        <x:f>IF(COUNT(I336,M336,N336)=3,MAX(0,ROUND(I336+M336-N336,2)),"n.a.")</x:f>
        <x:v>0</x:v>
      </x:c>
    </x:row>
    <x:row r="337" ht="22" customHeight="1">
      <x:c r="A337" s="2"/>
      <x:c r="B337" s="2"/>
      <x:c r="C337" s="27" t="n">
        <x:f>67</x:f>
        <x:v>67</x:v>
      </x:c>
      <x:c r="D337" s="28" t="n">
        <x:f>IF(ISNUMBER('Inputs'!$D$7),EDATE('Inputs'!$D$7,66),"n.a.")</x:f>
        <x:v>48335</x:v>
      </x:c>
      <x:c r="E337" s="26" t="n">
        <x:f>IF('Inputs'!$D$9&lt;&gt;"Ready","n.a.",IF(ISNUMBER('Inputs'!E85),IF('Inputs'!E85&gt;=0,'Inputs'!E85,"n.a."),IF('Inputs'!E85="",'Inputs'!$D$6,"n.a.")))</x:f>
        <x:v>500</x:v>
      </x:c>
      <x:c r="F337" s="22" t="n">
        <x:f>IF(COUNT($N$337:$N$341)=5,SUM($N$337:$N$341),"n.a.")</x:f>
        <x:v>0</x:v>
      </x:c>
      <x:c r="G337" s="22" t="n">
        <x:f>IF(COUNT(E337:F337)=2,MAX(0,E337-F337),"n.a.")</x:f>
        <x:v>500</x:v>
      </x:c>
      <x:c r="H337" s="26" t="str">
        <x:f>'Inputs'!C11</x:f>
        <x:v>Card A</x:v>
      </x:c>
      <x:c r="I337" s="26" t="n">
        <x:f>S332</x:f>
        <x:v>0</x:v>
      </x:c>
      <x:c r="J337" s="29" t="n">
        <x:f>IF('Inputs'!$D$9="Ready",'Inputs'!E11,"n.a.")</x:f>
        <x:v>0.24</x:v>
      </x:c>
      <x:c r="K337" s="26" t="n">
        <x:f>IF('Inputs'!$D$9="Ready",'Inputs'!F11,"n.a.")</x:f>
        <x:v>35</x:v>
      </x:c>
      <x:c r="L337" s="29" t="n">
        <x:f>IF('Inputs'!$D$9="Ready",'Inputs'!G11,"n.a.")</x:f>
        <x:v>0.02</x:v>
      </x:c>
      <x:c r="M337" s="22" t="n">
        <x:f>IF(COUNT(I337:L337)=4,ROUND(I337*J337/12,2),"n.a.")</x:f>
        <x:v>0</x:v>
      </x:c>
      <x:c r="N337" s="22" t="n">
        <x:f>IF(COUNT(I337:M337)=5,MIN(I337+M337,ROUND(MAX(K337,I337*L337+M337),2)),"n.a.")</x:f>
        <x:v>0</x:v>
      </x:c>
      <x:c r="O337" s="30" t="n">
        <x:f>IF(COUNT($I$337:$I$341)&lt;&gt;5,"n.a.",IF(I337=0,6,IF('Inputs'!$D$5=1,COUNTIFS($I$337:$I$341,"&gt;0",$I$337:$I$341,"&lt;"&amp;I337)+COUNTIFS($I$337:I337,I337),COUNTIFS($I$337:$I$341,"&gt;0",$J$337:$J$341,"&gt;"&amp;J337)+COUNTIFS($I$337:I337,"&gt;0",$J$337:J337,J337))))</x:f>
        <x:v>6</x:v>
      </x:c>
      <x:c r="P337" s="22" t="n">
        <x:f>IF(T337="Ready",MIN(U337,MAX(0,G337-SUMIFS($U$337:$U$341,$O$337:$O$341,"&lt;"&amp;O337))),"n.a.")</x:f>
        <x:v>0</x:v>
      </x:c>
      <x:c r="Q337" s="22" t="n">
        <x:f>IF(T337="Ready",ROUND(N337+P337,2),"n.a.")</x:f>
        <x:v>0</x:v>
      </x:c>
      <x:c r="R337" s="22" t="n">
        <x:f>IF(T337="Ready",ROUND(Q337-M337,2),"n.a.")</x:f>
        <x:v>0</x:v>
      </x:c>
      <x:c r="S337" s="22" t="n">
        <x:f>IF(T337="Ready",MAX(0,ROUND(I337+M337-Q337,2)),"n.a.")</x:f>
        <x:v>0</x:v>
      </x:c>
      <x:c r="T337" s="22" t="str">
        <x:f>IF(AND(COUNT($I$337:$I$341)=5,COUNT(E337:F337)=2),IF(E337&gt;=F337,"Ready","Budget below minima"),"Check inputs")</x:f>
        <x:v>Ready</x:v>
      </x:c>
      <x:c r="U337" s="22" t="n">
        <x:f>IF(COUNT(I337,M337,N337)=3,MAX(0,ROUND(I337+M337-N337,2)),"n.a.")</x:f>
        <x:v>0</x:v>
      </x:c>
    </x:row>
    <x:row r="338" ht="22" customHeight="1">
      <x:c r="A338" s="2"/>
      <x:c r="B338" s="2"/>
      <x:c r="C338" s="27" t="n">
        <x:f>67</x:f>
        <x:v>67</x:v>
      </x:c>
      <x:c r="D338" s="28" t="n">
        <x:f>IF(ISNUMBER('Inputs'!$D$7),EDATE('Inputs'!$D$7,66),"n.a.")</x:f>
        <x:v>48335</x:v>
      </x:c>
      <x:c r="E338" s="26" t="n">
        <x:f>IF('Inputs'!$D$9&lt;&gt;"Ready","n.a.",IF(ISNUMBER('Inputs'!E85),IF('Inputs'!E85&gt;=0,'Inputs'!E85,"n.a."),IF('Inputs'!E85="",'Inputs'!$D$6,"n.a.")))</x:f>
        <x:v>500</x:v>
      </x:c>
      <x:c r="F338" s="22" t="n">
        <x:f>IF(COUNT($N$337:$N$341)=5,SUM($N$337:$N$341),"n.a.")</x:f>
        <x:v>0</x:v>
      </x:c>
      <x:c r="G338" s="22" t="n">
        <x:f>IF(COUNT(E338:F338)=2,MAX(0,E338-F338),"n.a.")</x:f>
        <x:v>500</x:v>
      </x:c>
      <x:c r="H338" s="26" t="str">
        <x:f>'Inputs'!C12</x:f>
        <x:v>Card B</x:v>
      </x:c>
      <x:c r="I338" s="26" t="n">
        <x:f>S333</x:f>
        <x:v>0</x:v>
      </x:c>
      <x:c r="J338" s="29" t="n">
        <x:f>IF('Inputs'!$D$9="Ready",'Inputs'!E12,"n.a.")</x:f>
        <x:v>0.18</x:v>
      </x:c>
      <x:c r="K338" s="26" t="n">
        <x:f>IF('Inputs'!$D$9="Ready",'Inputs'!F12,"n.a.")</x:f>
        <x:v>60</x:v>
      </x:c>
      <x:c r="L338" s="29" t="n">
        <x:f>IF('Inputs'!$D$9="Ready",'Inputs'!G12,"n.a.")</x:f>
        <x:v>0.02</x:v>
      </x:c>
      <x:c r="M338" s="22" t="n">
        <x:f>IF(COUNT(I338:L338)=4,ROUND(I338*J338/12,2),"n.a.")</x:f>
        <x:v>0</x:v>
      </x:c>
      <x:c r="N338" s="22" t="n">
        <x:f>IF(COUNT(I338:M338)=5,MIN(I338+M338,ROUND(MAX(K338,I338*L338+M338),2)),"n.a.")</x:f>
        <x:v>0</x:v>
      </x:c>
      <x:c r="O338" s="30" t="n">
        <x:f>IF(COUNT($I$337:$I$341)&lt;&gt;5,"n.a.",IF(I338=0,6,IF('Inputs'!$D$5=1,COUNTIFS($I$337:$I$341,"&gt;0",$I$337:$I$341,"&lt;"&amp;I338)+COUNTIFS($I$337:I338,I338),COUNTIFS($I$337:$I$341,"&gt;0",$J$337:$J$341,"&gt;"&amp;J338)+COUNTIFS($I$337:I338,"&gt;0",$J$337:J338,J338))))</x:f>
        <x:v>6</x:v>
      </x:c>
      <x:c r="P338" s="22" t="n">
        <x:f>IF(T338="Ready",MIN(U338,MAX(0,G338-SUMIFS($U$337:$U$341,$O$337:$O$341,"&lt;"&amp;O338))),"n.a.")</x:f>
        <x:v>0</x:v>
      </x:c>
      <x:c r="Q338" s="22" t="n">
        <x:f>IF(T338="Ready",ROUND(N338+P338,2),"n.a.")</x:f>
        <x:v>0</x:v>
      </x:c>
      <x:c r="R338" s="22" t="n">
        <x:f>IF(T338="Ready",ROUND(Q338-M338,2),"n.a.")</x:f>
        <x:v>0</x:v>
      </x:c>
      <x:c r="S338" s="22" t="n">
        <x:f>IF(T338="Ready",MAX(0,ROUND(I338+M338-Q338,2)),"n.a.")</x:f>
        <x:v>0</x:v>
      </x:c>
      <x:c r="T338" s="22" t="str">
        <x:f>IF(AND(COUNT($I$337:$I$341)=5,COUNT(E338:F338)=2),IF(E338&gt;=F338,"Ready","Budget below minima"),"Check inputs")</x:f>
        <x:v>Ready</x:v>
      </x:c>
      <x:c r="U338" s="22" t="n">
        <x:f>IF(COUNT(I338,M338,N338)=3,MAX(0,ROUND(I338+M338-N338,2)),"n.a.")</x:f>
        <x:v>0</x:v>
      </x:c>
    </x:row>
    <x:row r="339" ht="22" customHeight="1">
      <x:c r="A339" s="2"/>
      <x:c r="B339" s="2"/>
      <x:c r="C339" s="27" t="n">
        <x:f>67</x:f>
        <x:v>67</x:v>
      </x:c>
      <x:c r="D339" s="28" t="n">
        <x:f>IF(ISNUMBER('Inputs'!$D$7),EDATE('Inputs'!$D$7,66),"n.a.")</x:f>
        <x:v>48335</x:v>
      </x:c>
      <x:c r="E339" s="26" t="n">
        <x:f>IF('Inputs'!$D$9&lt;&gt;"Ready","n.a.",IF(ISNUMBER('Inputs'!E85),IF('Inputs'!E85&gt;=0,'Inputs'!E85,"n.a."),IF('Inputs'!E85="",'Inputs'!$D$6,"n.a.")))</x:f>
        <x:v>500</x:v>
      </x:c>
      <x:c r="F339" s="22" t="n">
        <x:f>IF(COUNT($N$337:$N$341)=5,SUM($N$337:$N$341),"n.a.")</x:f>
        <x:v>0</x:v>
      </x:c>
      <x:c r="G339" s="22" t="n">
        <x:f>IF(COUNT(E339:F339)=2,MAX(0,E339-F339),"n.a.")</x:f>
        <x:v>500</x:v>
      </x:c>
      <x:c r="H339" s="26" t="str">
        <x:f>'Inputs'!C13</x:f>
        <x:v>Loan C</x:v>
      </x:c>
      <x:c r="I339" s="26" t="n">
        <x:f>S334</x:f>
        <x:v>0</x:v>
      </x:c>
      <x:c r="J339" s="29" t="n">
        <x:f>IF('Inputs'!$D$9="Ready",'Inputs'!E13,"n.a.")</x:f>
        <x:v>0.08</x:v>
      </x:c>
      <x:c r="K339" s="26" t="n">
        <x:f>IF('Inputs'!$D$9="Ready",'Inputs'!F13,"n.a.")</x:f>
        <x:v>150</x:v>
      </x:c>
      <x:c r="L339" s="29" t="n">
        <x:f>IF('Inputs'!$D$9="Ready",'Inputs'!G13,"n.a.")</x:f>
        <x:v>0</x:v>
      </x:c>
      <x:c r="M339" s="22" t="n">
        <x:f>IF(COUNT(I339:L339)=4,ROUND(I339*J339/12,2),"n.a.")</x:f>
        <x:v>0</x:v>
      </x:c>
      <x:c r="N339" s="22" t="n">
        <x:f>IF(COUNT(I339:M339)=5,MIN(I339+M339,ROUND(MAX(K339,I339*L339+M339),2)),"n.a.")</x:f>
        <x:v>0</x:v>
      </x:c>
      <x:c r="O339" s="30" t="n">
        <x:f>IF(COUNT($I$337:$I$341)&lt;&gt;5,"n.a.",IF(I339=0,6,IF('Inputs'!$D$5=1,COUNTIFS($I$337:$I$341,"&gt;0",$I$337:$I$341,"&lt;"&amp;I339)+COUNTIFS($I$337:I339,I339),COUNTIFS($I$337:$I$341,"&gt;0",$J$337:$J$341,"&gt;"&amp;J339)+COUNTIFS($I$337:I339,"&gt;0",$J$337:J339,J339))))</x:f>
        <x:v>6</x:v>
      </x:c>
      <x:c r="P339" s="22" t="n">
        <x:f>IF(T339="Ready",MIN(U339,MAX(0,G339-SUMIFS($U$337:$U$341,$O$337:$O$341,"&lt;"&amp;O339))),"n.a.")</x:f>
        <x:v>0</x:v>
      </x:c>
      <x:c r="Q339" s="22" t="n">
        <x:f>IF(T339="Ready",ROUND(N339+P339,2),"n.a.")</x:f>
        <x:v>0</x:v>
      </x:c>
      <x:c r="R339" s="22" t="n">
        <x:f>IF(T339="Ready",ROUND(Q339-M339,2),"n.a.")</x:f>
        <x:v>0</x:v>
      </x:c>
      <x:c r="S339" s="22" t="n">
        <x:f>IF(T339="Ready",MAX(0,ROUND(I339+M339-Q339,2)),"n.a.")</x:f>
        <x:v>0</x:v>
      </x:c>
      <x:c r="T339" s="22" t="str">
        <x:f>IF(AND(COUNT($I$337:$I$341)=5,COUNT(E339:F339)=2),IF(E339&gt;=F339,"Ready","Budget below minima"),"Check inputs")</x:f>
        <x:v>Ready</x:v>
      </x:c>
      <x:c r="U339" s="22" t="n">
        <x:f>IF(COUNT(I339,M339,N339)=3,MAX(0,ROUND(I339+M339-N339,2)),"n.a.")</x:f>
        <x:v>0</x:v>
      </x:c>
    </x:row>
    <x:row r="340" ht="22" customHeight="1">
      <x:c r="A340" s="2"/>
      <x:c r="B340" s="2"/>
      <x:c r="C340" s="27" t="n">
        <x:f>67</x:f>
        <x:v>67</x:v>
      </x:c>
      <x:c r="D340" s="28" t="n">
        <x:f>IF(ISNUMBER('Inputs'!$D$7),EDATE('Inputs'!$D$7,66),"n.a.")</x:f>
        <x:v>48335</x:v>
      </x:c>
      <x:c r="E340" s="26" t="n">
        <x:f>IF('Inputs'!$D$9&lt;&gt;"Ready","n.a.",IF(ISNUMBER('Inputs'!E85),IF('Inputs'!E85&gt;=0,'Inputs'!E85,"n.a."),IF('Inputs'!E85="",'Inputs'!$D$6,"n.a.")))</x:f>
        <x:v>500</x:v>
      </x:c>
      <x:c r="F340" s="22" t="n">
        <x:f>IF(COUNT($N$337:$N$341)=5,SUM($N$337:$N$341),"n.a.")</x:f>
        <x:v>0</x:v>
      </x:c>
      <x:c r="G340" s="22" t="n">
        <x:f>IF(COUNT(E340:F340)=2,MAX(0,E340-F340),"n.a.")</x:f>
        <x:v>500</x:v>
      </x:c>
      <x:c r="H340" s="26" t="str">
        <x:f>'Inputs'!C14</x:f>
        <x:v>Unused 4</x:v>
      </x:c>
      <x:c r="I340" s="26" t="n">
        <x:f>S335</x:f>
        <x:v>0</x:v>
      </x:c>
      <x:c r="J340" s="29" t="n">
        <x:f>IF('Inputs'!$D$9="Ready",'Inputs'!E14,"n.a.")</x:f>
        <x:v>0</x:v>
      </x:c>
      <x:c r="K340" s="26" t="n">
        <x:f>IF('Inputs'!$D$9="Ready",'Inputs'!F14,"n.a.")</x:f>
        <x:v>0</x:v>
      </x:c>
      <x:c r="L340" s="29" t="n">
        <x:f>IF('Inputs'!$D$9="Ready",'Inputs'!G14,"n.a.")</x:f>
        <x:v>0</x:v>
      </x:c>
      <x:c r="M340" s="22" t="n">
        <x:f>IF(COUNT(I340:L340)=4,ROUND(I340*J340/12,2),"n.a.")</x:f>
        <x:v>0</x:v>
      </x:c>
      <x:c r="N340" s="22" t="n">
        <x:f>IF(COUNT(I340:M340)=5,MIN(I340+M340,ROUND(MAX(K340,I340*L340+M340),2)),"n.a.")</x:f>
        <x:v>0</x:v>
      </x:c>
      <x:c r="O340" s="30" t="n">
        <x:f>IF(COUNT($I$337:$I$341)&lt;&gt;5,"n.a.",IF(I340=0,6,IF('Inputs'!$D$5=1,COUNTIFS($I$337:$I$341,"&gt;0",$I$337:$I$341,"&lt;"&amp;I340)+COUNTIFS($I$337:I340,I340),COUNTIFS($I$337:$I$341,"&gt;0",$J$337:$J$341,"&gt;"&amp;J340)+COUNTIFS($I$337:I340,"&gt;0",$J$337:J340,J340))))</x:f>
        <x:v>6</x:v>
      </x:c>
      <x:c r="P340" s="22" t="n">
        <x:f>IF(T340="Ready",MIN(U340,MAX(0,G340-SUMIFS($U$337:$U$341,$O$337:$O$341,"&lt;"&amp;O340))),"n.a.")</x:f>
        <x:v>0</x:v>
      </x:c>
      <x:c r="Q340" s="22" t="n">
        <x:f>IF(T340="Ready",ROUND(N340+P340,2),"n.a.")</x:f>
        <x:v>0</x:v>
      </x:c>
      <x:c r="R340" s="22" t="n">
        <x:f>IF(T340="Ready",ROUND(Q340-M340,2),"n.a.")</x:f>
        <x:v>0</x:v>
      </x:c>
      <x:c r="S340" s="22" t="n">
        <x:f>IF(T340="Ready",MAX(0,ROUND(I340+M340-Q340,2)),"n.a.")</x:f>
        <x:v>0</x:v>
      </x:c>
      <x:c r="T340" s="22" t="str">
        <x:f>IF(AND(COUNT($I$337:$I$341)=5,COUNT(E340:F340)=2),IF(E340&gt;=F340,"Ready","Budget below minima"),"Check inputs")</x:f>
        <x:v>Ready</x:v>
      </x:c>
      <x:c r="U340" s="22" t="n">
        <x:f>IF(COUNT(I340,M340,N340)=3,MAX(0,ROUND(I340+M340-N340,2)),"n.a.")</x:f>
        <x:v>0</x:v>
      </x:c>
    </x:row>
    <x:row r="341" ht="22" customHeight="1">
      <x:c r="A341" s="2"/>
      <x:c r="B341" s="2"/>
      <x:c r="C341" s="27" t="n">
        <x:f>67</x:f>
        <x:v>67</x:v>
      </x:c>
      <x:c r="D341" s="28" t="n">
        <x:f>IF(ISNUMBER('Inputs'!$D$7),EDATE('Inputs'!$D$7,66),"n.a.")</x:f>
        <x:v>48335</x:v>
      </x:c>
      <x:c r="E341" s="26" t="n">
        <x:f>IF('Inputs'!$D$9&lt;&gt;"Ready","n.a.",IF(ISNUMBER('Inputs'!E85),IF('Inputs'!E85&gt;=0,'Inputs'!E85,"n.a."),IF('Inputs'!E85="",'Inputs'!$D$6,"n.a.")))</x:f>
        <x:v>500</x:v>
      </x:c>
      <x:c r="F341" s="22" t="n">
        <x:f>IF(COUNT($N$337:$N$341)=5,SUM($N$337:$N$341),"n.a.")</x:f>
        <x:v>0</x:v>
      </x:c>
      <x:c r="G341" s="22" t="n">
        <x:f>IF(COUNT(E341:F341)=2,MAX(0,E341-F341),"n.a.")</x:f>
        <x:v>500</x:v>
      </x:c>
      <x:c r="H341" s="26" t="str">
        <x:f>'Inputs'!C15</x:f>
        <x:v>Unused 5</x:v>
      </x:c>
      <x:c r="I341" s="26" t="n">
        <x:f>S336</x:f>
        <x:v>0</x:v>
      </x:c>
      <x:c r="J341" s="29" t="n">
        <x:f>IF('Inputs'!$D$9="Ready",'Inputs'!E15,"n.a.")</x:f>
        <x:v>0</x:v>
      </x:c>
      <x:c r="K341" s="26" t="n">
        <x:f>IF('Inputs'!$D$9="Ready",'Inputs'!F15,"n.a.")</x:f>
        <x:v>0</x:v>
      </x:c>
      <x:c r="L341" s="29" t="n">
        <x:f>IF('Inputs'!$D$9="Ready",'Inputs'!G15,"n.a.")</x:f>
        <x:v>0</x:v>
      </x:c>
      <x:c r="M341" s="22" t="n">
        <x:f>IF(COUNT(I341:L341)=4,ROUND(I341*J341/12,2),"n.a.")</x:f>
        <x:v>0</x:v>
      </x:c>
      <x:c r="N341" s="22" t="n">
        <x:f>IF(COUNT(I341:M341)=5,MIN(I341+M341,ROUND(MAX(K341,I341*L341+M341),2)),"n.a.")</x:f>
        <x:v>0</x:v>
      </x:c>
      <x:c r="O341" s="30" t="n">
        <x:f>IF(COUNT($I$337:$I$341)&lt;&gt;5,"n.a.",IF(I341=0,6,IF('Inputs'!$D$5=1,COUNTIFS($I$337:$I$341,"&gt;0",$I$337:$I$341,"&lt;"&amp;I341)+COUNTIFS($I$337:I341,I341),COUNTIFS($I$337:$I$341,"&gt;0",$J$337:$J$341,"&gt;"&amp;J341)+COUNTIFS($I$337:I341,"&gt;0",$J$337:J341,J341))))</x:f>
        <x:v>6</x:v>
      </x:c>
      <x:c r="P341" s="22" t="n">
        <x:f>IF(T341="Ready",MIN(U341,MAX(0,G341-SUMIFS($U$337:$U$341,$O$337:$O$341,"&lt;"&amp;O341))),"n.a.")</x:f>
        <x:v>0</x:v>
      </x:c>
      <x:c r="Q341" s="22" t="n">
        <x:f>IF(T341="Ready",ROUND(N341+P341,2),"n.a.")</x:f>
        <x:v>0</x:v>
      </x:c>
      <x:c r="R341" s="22" t="n">
        <x:f>IF(T341="Ready",ROUND(Q341-M341,2),"n.a.")</x:f>
        <x:v>0</x:v>
      </x:c>
      <x:c r="S341" s="22" t="n">
        <x:f>IF(T341="Ready",MAX(0,ROUND(I341+M341-Q341,2)),"n.a.")</x:f>
        <x:v>0</x:v>
      </x:c>
      <x:c r="T341" s="22" t="str">
        <x:f>IF(AND(COUNT($I$337:$I$341)=5,COUNT(E341:F341)=2),IF(E341&gt;=F341,"Ready","Budget below minima"),"Check inputs")</x:f>
        <x:v>Ready</x:v>
      </x:c>
      <x:c r="U341" s="22" t="n">
        <x:f>IF(COUNT(I341,M341,N341)=3,MAX(0,ROUND(I341+M341-N341,2)),"n.a.")</x:f>
        <x:v>0</x:v>
      </x:c>
    </x:row>
    <x:row r="342" ht="22" customHeight="1">
      <x:c r="A342" s="2"/>
      <x:c r="B342" s="2"/>
      <x:c r="C342" s="27" t="n">
        <x:f>68</x:f>
        <x:v>68</x:v>
      </x:c>
      <x:c r="D342" s="28" t="n">
        <x:f>IF(ISNUMBER('Inputs'!$D$7),EDATE('Inputs'!$D$7,67),"n.a.")</x:f>
        <x:v>48366</x:v>
      </x:c>
      <x:c r="E342" s="26" t="n">
        <x:f>IF('Inputs'!$D$9&lt;&gt;"Ready","n.a.",IF(ISNUMBER('Inputs'!E86),IF('Inputs'!E86&gt;=0,'Inputs'!E86,"n.a."),IF('Inputs'!E86="",'Inputs'!$D$6,"n.a.")))</x:f>
        <x:v>500</x:v>
      </x:c>
      <x:c r="F342" s="22" t="n">
        <x:f>IF(COUNT($N$342:$N$346)=5,SUM($N$342:$N$346),"n.a.")</x:f>
        <x:v>0</x:v>
      </x:c>
      <x:c r="G342" s="22" t="n">
        <x:f>IF(COUNT(E342:F342)=2,MAX(0,E342-F342),"n.a.")</x:f>
        <x:v>500</x:v>
      </x:c>
      <x:c r="H342" s="26" t="str">
        <x:f>'Inputs'!C11</x:f>
        <x:v>Card A</x:v>
      </x:c>
      <x:c r="I342" s="26" t="n">
        <x:f>S337</x:f>
        <x:v>0</x:v>
      </x:c>
      <x:c r="J342" s="29" t="n">
        <x:f>IF('Inputs'!$D$9="Ready",'Inputs'!E11,"n.a.")</x:f>
        <x:v>0.24</x:v>
      </x:c>
      <x:c r="K342" s="26" t="n">
        <x:f>IF('Inputs'!$D$9="Ready",'Inputs'!F11,"n.a.")</x:f>
        <x:v>35</x:v>
      </x:c>
      <x:c r="L342" s="29" t="n">
        <x:f>IF('Inputs'!$D$9="Ready",'Inputs'!G11,"n.a.")</x:f>
        <x:v>0.02</x:v>
      </x:c>
      <x:c r="M342" s="22" t="n">
        <x:f>IF(COUNT(I342:L342)=4,ROUND(I342*J342/12,2),"n.a.")</x:f>
        <x:v>0</x:v>
      </x:c>
      <x:c r="N342" s="22" t="n">
        <x:f>IF(COUNT(I342:M342)=5,MIN(I342+M342,ROUND(MAX(K342,I342*L342+M342),2)),"n.a.")</x:f>
        <x:v>0</x:v>
      </x:c>
      <x:c r="O342" s="30" t="n">
        <x:f>IF(COUNT($I$342:$I$346)&lt;&gt;5,"n.a.",IF(I342=0,6,IF('Inputs'!$D$5=1,COUNTIFS($I$342:$I$346,"&gt;0",$I$342:$I$346,"&lt;"&amp;I342)+COUNTIFS($I$342:I342,I342),COUNTIFS($I$342:$I$346,"&gt;0",$J$342:$J$346,"&gt;"&amp;J342)+COUNTIFS($I$342:I342,"&gt;0",$J$342:J342,J342))))</x:f>
        <x:v>6</x:v>
      </x:c>
      <x:c r="P342" s="22" t="n">
        <x:f>IF(T342="Ready",MIN(U342,MAX(0,G342-SUMIFS($U$342:$U$346,$O$342:$O$346,"&lt;"&amp;O342))),"n.a.")</x:f>
        <x:v>0</x:v>
      </x:c>
      <x:c r="Q342" s="22" t="n">
        <x:f>IF(T342="Ready",ROUND(N342+P342,2),"n.a.")</x:f>
        <x:v>0</x:v>
      </x:c>
      <x:c r="R342" s="22" t="n">
        <x:f>IF(T342="Ready",ROUND(Q342-M342,2),"n.a.")</x:f>
        <x:v>0</x:v>
      </x:c>
      <x:c r="S342" s="22" t="n">
        <x:f>IF(T342="Ready",MAX(0,ROUND(I342+M342-Q342,2)),"n.a.")</x:f>
        <x:v>0</x:v>
      </x:c>
      <x:c r="T342" s="22" t="str">
        <x:f>IF(AND(COUNT($I$342:$I$346)=5,COUNT(E342:F342)=2),IF(E342&gt;=F342,"Ready","Budget below minima"),"Check inputs")</x:f>
        <x:v>Ready</x:v>
      </x:c>
      <x:c r="U342" s="22" t="n">
        <x:f>IF(COUNT(I342,M342,N342)=3,MAX(0,ROUND(I342+M342-N342,2)),"n.a.")</x:f>
        <x:v>0</x:v>
      </x:c>
    </x:row>
    <x:row r="343" ht="22" customHeight="1">
      <x:c r="A343" s="2"/>
      <x:c r="B343" s="2"/>
      <x:c r="C343" s="27" t="n">
        <x:f>68</x:f>
        <x:v>68</x:v>
      </x:c>
      <x:c r="D343" s="28" t="n">
        <x:f>IF(ISNUMBER('Inputs'!$D$7),EDATE('Inputs'!$D$7,67),"n.a.")</x:f>
        <x:v>48366</x:v>
      </x:c>
      <x:c r="E343" s="26" t="n">
        <x:f>IF('Inputs'!$D$9&lt;&gt;"Ready","n.a.",IF(ISNUMBER('Inputs'!E86),IF('Inputs'!E86&gt;=0,'Inputs'!E86,"n.a."),IF('Inputs'!E86="",'Inputs'!$D$6,"n.a.")))</x:f>
        <x:v>500</x:v>
      </x:c>
      <x:c r="F343" s="22" t="n">
        <x:f>IF(COUNT($N$342:$N$346)=5,SUM($N$342:$N$346),"n.a.")</x:f>
        <x:v>0</x:v>
      </x:c>
      <x:c r="G343" s="22" t="n">
        <x:f>IF(COUNT(E343:F343)=2,MAX(0,E343-F343),"n.a.")</x:f>
        <x:v>500</x:v>
      </x:c>
      <x:c r="H343" s="26" t="str">
        <x:f>'Inputs'!C12</x:f>
        <x:v>Card B</x:v>
      </x:c>
      <x:c r="I343" s="26" t="n">
        <x:f>S338</x:f>
        <x:v>0</x:v>
      </x:c>
      <x:c r="J343" s="29" t="n">
        <x:f>IF('Inputs'!$D$9="Ready",'Inputs'!E12,"n.a.")</x:f>
        <x:v>0.18</x:v>
      </x:c>
      <x:c r="K343" s="26" t="n">
        <x:f>IF('Inputs'!$D$9="Ready",'Inputs'!F12,"n.a.")</x:f>
        <x:v>60</x:v>
      </x:c>
      <x:c r="L343" s="29" t="n">
        <x:f>IF('Inputs'!$D$9="Ready",'Inputs'!G12,"n.a.")</x:f>
        <x:v>0.02</x:v>
      </x:c>
      <x:c r="M343" s="22" t="n">
        <x:f>IF(COUNT(I343:L343)=4,ROUND(I343*J343/12,2),"n.a.")</x:f>
        <x:v>0</x:v>
      </x:c>
      <x:c r="N343" s="22" t="n">
        <x:f>IF(COUNT(I343:M343)=5,MIN(I343+M343,ROUND(MAX(K343,I343*L343+M343),2)),"n.a.")</x:f>
        <x:v>0</x:v>
      </x:c>
      <x:c r="O343" s="30" t="n">
        <x:f>IF(COUNT($I$342:$I$346)&lt;&gt;5,"n.a.",IF(I343=0,6,IF('Inputs'!$D$5=1,COUNTIFS($I$342:$I$346,"&gt;0",$I$342:$I$346,"&lt;"&amp;I343)+COUNTIFS($I$342:I343,I343),COUNTIFS($I$342:$I$346,"&gt;0",$J$342:$J$346,"&gt;"&amp;J343)+COUNTIFS($I$342:I343,"&gt;0",$J$342:J343,J343))))</x:f>
        <x:v>6</x:v>
      </x:c>
      <x:c r="P343" s="22" t="n">
        <x:f>IF(T343="Ready",MIN(U343,MAX(0,G343-SUMIFS($U$342:$U$346,$O$342:$O$346,"&lt;"&amp;O343))),"n.a.")</x:f>
        <x:v>0</x:v>
      </x:c>
      <x:c r="Q343" s="22" t="n">
        <x:f>IF(T343="Ready",ROUND(N343+P343,2),"n.a.")</x:f>
        <x:v>0</x:v>
      </x:c>
      <x:c r="R343" s="22" t="n">
        <x:f>IF(T343="Ready",ROUND(Q343-M343,2),"n.a.")</x:f>
        <x:v>0</x:v>
      </x:c>
      <x:c r="S343" s="22" t="n">
        <x:f>IF(T343="Ready",MAX(0,ROUND(I343+M343-Q343,2)),"n.a.")</x:f>
        <x:v>0</x:v>
      </x:c>
      <x:c r="T343" s="22" t="str">
        <x:f>IF(AND(COUNT($I$342:$I$346)=5,COUNT(E343:F343)=2),IF(E343&gt;=F343,"Ready","Budget below minima"),"Check inputs")</x:f>
        <x:v>Ready</x:v>
      </x:c>
      <x:c r="U343" s="22" t="n">
        <x:f>IF(COUNT(I343,M343,N343)=3,MAX(0,ROUND(I343+M343-N343,2)),"n.a.")</x:f>
        <x:v>0</x:v>
      </x:c>
    </x:row>
    <x:row r="344" ht="22" customHeight="1">
      <x:c r="A344" s="2"/>
      <x:c r="B344" s="2"/>
      <x:c r="C344" s="27" t="n">
        <x:f>68</x:f>
        <x:v>68</x:v>
      </x:c>
      <x:c r="D344" s="28" t="n">
        <x:f>IF(ISNUMBER('Inputs'!$D$7),EDATE('Inputs'!$D$7,67),"n.a.")</x:f>
        <x:v>48366</x:v>
      </x:c>
      <x:c r="E344" s="26" t="n">
        <x:f>IF('Inputs'!$D$9&lt;&gt;"Ready","n.a.",IF(ISNUMBER('Inputs'!E86),IF('Inputs'!E86&gt;=0,'Inputs'!E86,"n.a."),IF('Inputs'!E86="",'Inputs'!$D$6,"n.a.")))</x:f>
        <x:v>500</x:v>
      </x:c>
      <x:c r="F344" s="22" t="n">
        <x:f>IF(COUNT($N$342:$N$346)=5,SUM($N$342:$N$346),"n.a.")</x:f>
        <x:v>0</x:v>
      </x:c>
      <x:c r="G344" s="22" t="n">
        <x:f>IF(COUNT(E344:F344)=2,MAX(0,E344-F344),"n.a.")</x:f>
        <x:v>500</x:v>
      </x:c>
      <x:c r="H344" s="26" t="str">
        <x:f>'Inputs'!C13</x:f>
        <x:v>Loan C</x:v>
      </x:c>
      <x:c r="I344" s="26" t="n">
        <x:f>S339</x:f>
        <x:v>0</x:v>
      </x:c>
      <x:c r="J344" s="29" t="n">
        <x:f>IF('Inputs'!$D$9="Ready",'Inputs'!E13,"n.a.")</x:f>
        <x:v>0.08</x:v>
      </x:c>
      <x:c r="K344" s="26" t="n">
        <x:f>IF('Inputs'!$D$9="Ready",'Inputs'!F13,"n.a.")</x:f>
        <x:v>150</x:v>
      </x:c>
      <x:c r="L344" s="29" t="n">
        <x:f>IF('Inputs'!$D$9="Ready",'Inputs'!G13,"n.a.")</x:f>
        <x:v>0</x:v>
      </x:c>
      <x:c r="M344" s="22" t="n">
        <x:f>IF(COUNT(I344:L344)=4,ROUND(I344*J344/12,2),"n.a.")</x:f>
        <x:v>0</x:v>
      </x:c>
      <x:c r="N344" s="22" t="n">
        <x:f>IF(COUNT(I344:M344)=5,MIN(I344+M344,ROUND(MAX(K344,I344*L344+M344),2)),"n.a.")</x:f>
        <x:v>0</x:v>
      </x:c>
      <x:c r="O344" s="30" t="n">
        <x:f>IF(COUNT($I$342:$I$346)&lt;&gt;5,"n.a.",IF(I344=0,6,IF('Inputs'!$D$5=1,COUNTIFS($I$342:$I$346,"&gt;0",$I$342:$I$346,"&lt;"&amp;I344)+COUNTIFS($I$342:I344,I344),COUNTIFS($I$342:$I$346,"&gt;0",$J$342:$J$346,"&gt;"&amp;J344)+COUNTIFS($I$342:I344,"&gt;0",$J$342:J344,J344))))</x:f>
        <x:v>6</x:v>
      </x:c>
      <x:c r="P344" s="22" t="n">
        <x:f>IF(T344="Ready",MIN(U344,MAX(0,G344-SUMIFS($U$342:$U$346,$O$342:$O$346,"&lt;"&amp;O344))),"n.a.")</x:f>
        <x:v>0</x:v>
      </x:c>
      <x:c r="Q344" s="22" t="n">
        <x:f>IF(T344="Ready",ROUND(N344+P344,2),"n.a.")</x:f>
        <x:v>0</x:v>
      </x:c>
      <x:c r="R344" s="22" t="n">
        <x:f>IF(T344="Ready",ROUND(Q344-M344,2),"n.a.")</x:f>
        <x:v>0</x:v>
      </x:c>
      <x:c r="S344" s="22" t="n">
        <x:f>IF(T344="Ready",MAX(0,ROUND(I344+M344-Q344,2)),"n.a.")</x:f>
        <x:v>0</x:v>
      </x:c>
      <x:c r="T344" s="22" t="str">
        <x:f>IF(AND(COUNT($I$342:$I$346)=5,COUNT(E344:F344)=2),IF(E344&gt;=F344,"Ready","Budget below minima"),"Check inputs")</x:f>
        <x:v>Ready</x:v>
      </x:c>
      <x:c r="U344" s="22" t="n">
        <x:f>IF(COUNT(I344,M344,N344)=3,MAX(0,ROUND(I344+M344-N344,2)),"n.a.")</x:f>
        <x:v>0</x:v>
      </x:c>
    </x:row>
    <x:row r="345" ht="22" customHeight="1">
      <x:c r="A345" s="2"/>
      <x:c r="B345" s="2"/>
      <x:c r="C345" s="27" t="n">
        <x:f>68</x:f>
        <x:v>68</x:v>
      </x:c>
      <x:c r="D345" s="28" t="n">
        <x:f>IF(ISNUMBER('Inputs'!$D$7),EDATE('Inputs'!$D$7,67),"n.a.")</x:f>
        <x:v>48366</x:v>
      </x:c>
      <x:c r="E345" s="26" t="n">
        <x:f>IF('Inputs'!$D$9&lt;&gt;"Ready","n.a.",IF(ISNUMBER('Inputs'!E86),IF('Inputs'!E86&gt;=0,'Inputs'!E86,"n.a."),IF('Inputs'!E86="",'Inputs'!$D$6,"n.a.")))</x:f>
        <x:v>500</x:v>
      </x:c>
      <x:c r="F345" s="22" t="n">
        <x:f>IF(COUNT($N$342:$N$346)=5,SUM($N$342:$N$346),"n.a.")</x:f>
        <x:v>0</x:v>
      </x:c>
      <x:c r="G345" s="22" t="n">
        <x:f>IF(COUNT(E345:F345)=2,MAX(0,E345-F345),"n.a.")</x:f>
        <x:v>500</x:v>
      </x:c>
      <x:c r="H345" s="26" t="str">
        <x:f>'Inputs'!C14</x:f>
        <x:v>Unused 4</x:v>
      </x:c>
      <x:c r="I345" s="26" t="n">
        <x:f>S340</x:f>
        <x:v>0</x:v>
      </x:c>
      <x:c r="J345" s="29" t="n">
        <x:f>IF('Inputs'!$D$9="Ready",'Inputs'!E14,"n.a.")</x:f>
        <x:v>0</x:v>
      </x:c>
      <x:c r="K345" s="26" t="n">
        <x:f>IF('Inputs'!$D$9="Ready",'Inputs'!F14,"n.a.")</x:f>
        <x:v>0</x:v>
      </x:c>
      <x:c r="L345" s="29" t="n">
        <x:f>IF('Inputs'!$D$9="Ready",'Inputs'!G14,"n.a.")</x:f>
        <x:v>0</x:v>
      </x:c>
      <x:c r="M345" s="22" t="n">
        <x:f>IF(COUNT(I345:L345)=4,ROUND(I345*J345/12,2),"n.a.")</x:f>
        <x:v>0</x:v>
      </x:c>
      <x:c r="N345" s="22" t="n">
        <x:f>IF(COUNT(I345:M345)=5,MIN(I345+M345,ROUND(MAX(K345,I345*L345+M345),2)),"n.a.")</x:f>
        <x:v>0</x:v>
      </x:c>
      <x:c r="O345" s="30" t="n">
        <x:f>IF(COUNT($I$342:$I$346)&lt;&gt;5,"n.a.",IF(I345=0,6,IF('Inputs'!$D$5=1,COUNTIFS($I$342:$I$346,"&gt;0",$I$342:$I$346,"&lt;"&amp;I345)+COUNTIFS($I$342:I345,I345),COUNTIFS($I$342:$I$346,"&gt;0",$J$342:$J$346,"&gt;"&amp;J345)+COUNTIFS($I$342:I345,"&gt;0",$J$342:J345,J345))))</x:f>
        <x:v>6</x:v>
      </x:c>
      <x:c r="P345" s="22" t="n">
        <x:f>IF(T345="Ready",MIN(U345,MAX(0,G345-SUMIFS($U$342:$U$346,$O$342:$O$346,"&lt;"&amp;O345))),"n.a.")</x:f>
        <x:v>0</x:v>
      </x:c>
      <x:c r="Q345" s="22" t="n">
        <x:f>IF(T345="Ready",ROUND(N345+P345,2),"n.a.")</x:f>
        <x:v>0</x:v>
      </x:c>
      <x:c r="R345" s="22" t="n">
        <x:f>IF(T345="Ready",ROUND(Q345-M345,2),"n.a.")</x:f>
        <x:v>0</x:v>
      </x:c>
      <x:c r="S345" s="22" t="n">
        <x:f>IF(T345="Ready",MAX(0,ROUND(I345+M345-Q345,2)),"n.a.")</x:f>
        <x:v>0</x:v>
      </x:c>
      <x:c r="T345" s="22" t="str">
        <x:f>IF(AND(COUNT($I$342:$I$346)=5,COUNT(E345:F345)=2),IF(E345&gt;=F345,"Ready","Budget below minima"),"Check inputs")</x:f>
        <x:v>Ready</x:v>
      </x:c>
      <x:c r="U345" s="22" t="n">
        <x:f>IF(COUNT(I345,M345,N345)=3,MAX(0,ROUND(I345+M345-N345,2)),"n.a.")</x:f>
        <x:v>0</x:v>
      </x:c>
    </x:row>
    <x:row r="346" ht="22" customHeight="1">
      <x:c r="A346" s="2"/>
      <x:c r="B346" s="2"/>
      <x:c r="C346" s="27" t="n">
        <x:f>68</x:f>
        <x:v>68</x:v>
      </x:c>
      <x:c r="D346" s="28" t="n">
        <x:f>IF(ISNUMBER('Inputs'!$D$7),EDATE('Inputs'!$D$7,67),"n.a.")</x:f>
        <x:v>48366</x:v>
      </x:c>
      <x:c r="E346" s="26" t="n">
        <x:f>IF('Inputs'!$D$9&lt;&gt;"Ready","n.a.",IF(ISNUMBER('Inputs'!E86),IF('Inputs'!E86&gt;=0,'Inputs'!E86,"n.a."),IF('Inputs'!E86="",'Inputs'!$D$6,"n.a.")))</x:f>
        <x:v>500</x:v>
      </x:c>
      <x:c r="F346" s="22" t="n">
        <x:f>IF(COUNT($N$342:$N$346)=5,SUM($N$342:$N$346),"n.a.")</x:f>
        <x:v>0</x:v>
      </x:c>
      <x:c r="G346" s="22" t="n">
        <x:f>IF(COUNT(E346:F346)=2,MAX(0,E346-F346),"n.a.")</x:f>
        <x:v>500</x:v>
      </x:c>
      <x:c r="H346" s="26" t="str">
        <x:f>'Inputs'!C15</x:f>
        <x:v>Unused 5</x:v>
      </x:c>
      <x:c r="I346" s="26" t="n">
        <x:f>S341</x:f>
        <x:v>0</x:v>
      </x:c>
      <x:c r="J346" s="29" t="n">
        <x:f>IF('Inputs'!$D$9="Ready",'Inputs'!E15,"n.a.")</x:f>
        <x:v>0</x:v>
      </x:c>
      <x:c r="K346" s="26" t="n">
        <x:f>IF('Inputs'!$D$9="Ready",'Inputs'!F15,"n.a.")</x:f>
        <x:v>0</x:v>
      </x:c>
      <x:c r="L346" s="29" t="n">
        <x:f>IF('Inputs'!$D$9="Ready",'Inputs'!G15,"n.a.")</x:f>
        <x:v>0</x:v>
      </x:c>
      <x:c r="M346" s="22" t="n">
        <x:f>IF(COUNT(I346:L346)=4,ROUND(I346*J346/12,2),"n.a.")</x:f>
        <x:v>0</x:v>
      </x:c>
      <x:c r="N346" s="22" t="n">
        <x:f>IF(COUNT(I346:M346)=5,MIN(I346+M346,ROUND(MAX(K346,I346*L346+M346),2)),"n.a.")</x:f>
        <x:v>0</x:v>
      </x:c>
      <x:c r="O346" s="30" t="n">
        <x:f>IF(COUNT($I$342:$I$346)&lt;&gt;5,"n.a.",IF(I346=0,6,IF('Inputs'!$D$5=1,COUNTIFS($I$342:$I$346,"&gt;0",$I$342:$I$346,"&lt;"&amp;I346)+COUNTIFS($I$342:I346,I346),COUNTIFS($I$342:$I$346,"&gt;0",$J$342:$J$346,"&gt;"&amp;J346)+COUNTIFS($I$342:I346,"&gt;0",$J$342:J346,J346))))</x:f>
        <x:v>6</x:v>
      </x:c>
      <x:c r="P346" s="22" t="n">
        <x:f>IF(T346="Ready",MIN(U346,MAX(0,G346-SUMIFS($U$342:$U$346,$O$342:$O$346,"&lt;"&amp;O346))),"n.a.")</x:f>
        <x:v>0</x:v>
      </x:c>
      <x:c r="Q346" s="22" t="n">
        <x:f>IF(T346="Ready",ROUND(N346+P346,2),"n.a.")</x:f>
        <x:v>0</x:v>
      </x:c>
      <x:c r="R346" s="22" t="n">
        <x:f>IF(T346="Ready",ROUND(Q346-M346,2),"n.a.")</x:f>
        <x:v>0</x:v>
      </x:c>
      <x:c r="S346" s="22" t="n">
        <x:f>IF(T346="Ready",MAX(0,ROUND(I346+M346-Q346,2)),"n.a.")</x:f>
        <x:v>0</x:v>
      </x:c>
      <x:c r="T346" s="22" t="str">
        <x:f>IF(AND(COUNT($I$342:$I$346)=5,COUNT(E346:F346)=2),IF(E346&gt;=F346,"Ready","Budget below minima"),"Check inputs")</x:f>
        <x:v>Ready</x:v>
      </x:c>
      <x:c r="U346" s="22" t="n">
        <x:f>IF(COUNT(I346,M346,N346)=3,MAX(0,ROUND(I346+M346-N346,2)),"n.a.")</x:f>
        <x:v>0</x:v>
      </x:c>
    </x:row>
    <x:row r="347" ht="22" customHeight="1">
      <x:c r="A347" s="2"/>
      <x:c r="B347" s="2"/>
      <x:c r="C347" s="27" t="n">
        <x:f>69</x:f>
        <x:v>69</x:v>
      </x:c>
      <x:c r="D347" s="28" t="n">
        <x:f>IF(ISNUMBER('Inputs'!$D$7),EDATE('Inputs'!$D$7,68),"n.a.")</x:f>
        <x:v>48396</x:v>
      </x:c>
      <x:c r="E347" s="26" t="n">
        <x:f>IF('Inputs'!$D$9&lt;&gt;"Ready","n.a.",IF(ISNUMBER('Inputs'!E87),IF('Inputs'!E87&gt;=0,'Inputs'!E87,"n.a."),IF('Inputs'!E87="",'Inputs'!$D$6,"n.a.")))</x:f>
        <x:v>500</x:v>
      </x:c>
      <x:c r="F347" s="22" t="n">
        <x:f>IF(COUNT($N$347:$N$351)=5,SUM($N$347:$N$351),"n.a.")</x:f>
        <x:v>0</x:v>
      </x:c>
      <x:c r="G347" s="22" t="n">
        <x:f>IF(COUNT(E347:F347)=2,MAX(0,E347-F347),"n.a.")</x:f>
        <x:v>500</x:v>
      </x:c>
      <x:c r="H347" s="26" t="str">
        <x:f>'Inputs'!C11</x:f>
        <x:v>Card A</x:v>
      </x:c>
      <x:c r="I347" s="26" t="n">
        <x:f>S342</x:f>
        <x:v>0</x:v>
      </x:c>
      <x:c r="J347" s="29" t="n">
        <x:f>IF('Inputs'!$D$9="Ready",'Inputs'!E11,"n.a.")</x:f>
        <x:v>0.24</x:v>
      </x:c>
      <x:c r="K347" s="26" t="n">
        <x:f>IF('Inputs'!$D$9="Ready",'Inputs'!F11,"n.a.")</x:f>
        <x:v>35</x:v>
      </x:c>
      <x:c r="L347" s="29" t="n">
        <x:f>IF('Inputs'!$D$9="Ready",'Inputs'!G11,"n.a.")</x:f>
        <x:v>0.02</x:v>
      </x:c>
      <x:c r="M347" s="22" t="n">
        <x:f>IF(COUNT(I347:L347)=4,ROUND(I347*J347/12,2),"n.a.")</x:f>
        <x:v>0</x:v>
      </x:c>
      <x:c r="N347" s="22" t="n">
        <x:f>IF(COUNT(I347:M347)=5,MIN(I347+M347,ROUND(MAX(K347,I347*L347+M347),2)),"n.a.")</x:f>
        <x:v>0</x:v>
      </x:c>
      <x:c r="O347" s="30" t="n">
        <x:f>IF(COUNT($I$347:$I$351)&lt;&gt;5,"n.a.",IF(I347=0,6,IF('Inputs'!$D$5=1,COUNTIFS($I$347:$I$351,"&gt;0",$I$347:$I$351,"&lt;"&amp;I347)+COUNTIFS($I$347:I347,I347),COUNTIFS($I$347:$I$351,"&gt;0",$J$347:$J$351,"&gt;"&amp;J347)+COUNTIFS($I$347:I347,"&gt;0",$J$347:J347,J347))))</x:f>
        <x:v>6</x:v>
      </x:c>
      <x:c r="P347" s="22" t="n">
        <x:f>IF(T347="Ready",MIN(U347,MAX(0,G347-SUMIFS($U$347:$U$351,$O$347:$O$351,"&lt;"&amp;O347))),"n.a.")</x:f>
        <x:v>0</x:v>
      </x:c>
      <x:c r="Q347" s="22" t="n">
        <x:f>IF(T347="Ready",ROUND(N347+P347,2),"n.a.")</x:f>
        <x:v>0</x:v>
      </x:c>
      <x:c r="R347" s="22" t="n">
        <x:f>IF(T347="Ready",ROUND(Q347-M347,2),"n.a.")</x:f>
        <x:v>0</x:v>
      </x:c>
      <x:c r="S347" s="22" t="n">
        <x:f>IF(T347="Ready",MAX(0,ROUND(I347+M347-Q347,2)),"n.a.")</x:f>
        <x:v>0</x:v>
      </x:c>
      <x:c r="T347" s="22" t="str">
        <x:f>IF(AND(COUNT($I$347:$I$351)=5,COUNT(E347:F347)=2),IF(E347&gt;=F347,"Ready","Budget below minima"),"Check inputs")</x:f>
        <x:v>Ready</x:v>
      </x:c>
      <x:c r="U347" s="22" t="n">
        <x:f>IF(COUNT(I347,M347,N347)=3,MAX(0,ROUND(I347+M347-N347,2)),"n.a.")</x:f>
        <x:v>0</x:v>
      </x:c>
    </x:row>
    <x:row r="348" ht="22" customHeight="1">
      <x:c r="A348" s="2"/>
      <x:c r="B348" s="2"/>
      <x:c r="C348" s="27" t="n">
        <x:f>69</x:f>
        <x:v>69</x:v>
      </x:c>
      <x:c r="D348" s="28" t="n">
        <x:f>IF(ISNUMBER('Inputs'!$D$7),EDATE('Inputs'!$D$7,68),"n.a.")</x:f>
        <x:v>48396</x:v>
      </x:c>
      <x:c r="E348" s="26" t="n">
        <x:f>IF('Inputs'!$D$9&lt;&gt;"Ready","n.a.",IF(ISNUMBER('Inputs'!E87),IF('Inputs'!E87&gt;=0,'Inputs'!E87,"n.a."),IF('Inputs'!E87="",'Inputs'!$D$6,"n.a.")))</x:f>
        <x:v>500</x:v>
      </x:c>
      <x:c r="F348" s="22" t="n">
        <x:f>IF(COUNT($N$347:$N$351)=5,SUM($N$347:$N$351),"n.a.")</x:f>
        <x:v>0</x:v>
      </x:c>
      <x:c r="G348" s="22" t="n">
        <x:f>IF(COUNT(E348:F348)=2,MAX(0,E348-F348),"n.a.")</x:f>
        <x:v>500</x:v>
      </x:c>
      <x:c r="H348" s="26" t="str">
        <x:f>'Inputs'!C12</x:f>
        <x:v>Card B</x:v>
      </x:c>
      <x:c r="I348" s="26" t="n">
        <x:f>S343</x:f>
        <x:v>0</x:v>
      </x:c>
      <x:c r="J348" s="29" t="n">
        <x:f>IF('Inputs'!$D$9="Ready",'Inputs'!E12,"n.a.")</x:f>
        <x:v>0.18</x:v>
      </x:c>
      <x:c r="K348" s="26" t="n">
        <x:f>IF('Inputs'!$D$9="Ready",'Inputs'!F12,"n.a.")</x:f>
        <x:v>60</x:v>
      </x:c>
      <x:c r="L348" s="29" t="n">
        <x:f>IF('Inputs'!$D$9="Ready",'Inputs'!G12,"n.a.")</x:f>
        <x:v>0.02</x:v>
      </x:c>
      <x:c r="M348" s="22" t="n">
        <x:f>IF(COUNT(I348:L348)=4,ROUND(I348*J348/12,2),"n.a.")</x:f>
        <x:v>0</x:v>
      </x:c>
      <x:c r="N348" s="22" t="n">
        <x:f>IF(COUNT(I348:M348)=5,MIN(I348+M348,ROUND(MAX(K348,I348*L348+M348),2)),"n.a.")</x:f>
        <x:v>0</x:v>
      </x:c>
      <x:c r="O348" s="30" t="n">
        <x:f>IF(COUNT($I$347:$I$351)&lt;&gt;5,"n.a.",IF(I348=0,6,IF('Inputs'!$D$5=1,COUNTIFS($I$347:$I$351,"&gt;0",$I$347:$I$351,"&lt;"&amp;I348)+COUNTIFS($I$347:I348,I348),COUNTIFS($I$347:$I$351,"&gt;0",$J$347:$J$351,"&gt;"&amp;J348)+COUNTIFS($I$347:I348,"&gt;0",$J$347:J348,J348))))</x:f>
        <x:v>6</x:v>
      </x:c>
      <x:c r="P348" s="22" t="n">
        <x:f>IF(T348="Ready",MIN(U348,MAX(0,G348-SUMIFS($U$347:$U$351,$O$347:$O$351,"&lt;"&amp;O348))),"n.a.")</x:f>
        <x:v>0</x:v>
      </x:c>
      <x:c r="Q348" s="22" t="n">
        <x:f>IF(T348="Ready",ROUND(N348+P348,2),"n.a.")</x:f>
        <x:v>0</x:v>
      </x:c>
      <x:c r="R348" s="22" t="n">
        <x:f>IF(T348="Ready",ROUND(Q348-M348,2),"n.a.")</x:f>
        <x:v>0</x:v>
      </x:c>
      <x:c r="S348" s="22" t="n">
        <x:f>IF(T348="Ready",MAX(0,ROUND(I348+M348-Q348,2)),"n.a.")</x:f>
        <x:v>0</x:v>
      </x:c>
      <x:c r="T348" s="22" t="str">
        <x:f>IF(AND(COUNT($I$347:$I$351)=5,COUNT(E348:F348)=2),IF(E348&gt;=F348,"Ready","Budget below minima"),"Check inputs")</x:f>
        <x:v>Ready</x:v>
      </x:c>
      <x:c r="U348" s="22" t="n">
        <x:f>IF(COUNT(I348,M348,N348)=3,MAX(0,ROUND(I348+M348-N348,2)),"n.a.")</x:f>
        <x:v>0</x:v>
      </x:c>
    </x:row>
    <x:row r="349" ht="22" customHeight="1">
      <x:c r="A349" s="2"/>
      <x:c r="B349" s="2"/>
      <x:c r="C349" s="27" t="n">
        <x:f>69</x:f>
        <x:v>69</x:v>
      </x:c>
      <x:c r="D349" s="28" t="n">
        <x:f>IF(ISNUMBER('Inputs'!$D$7),EDATE('Inputs'!$D$7,68),"n.a.")</x:f>
        <x:v>48396</x:v>
      </x:c>
      <x:c r="E349" s="26" t="n">
        <x:f>IF('Inputs'!$D$9&lt;&gt;"Ready","n.a.",IF(ISNUMBER('Inputs'!E87),IF('Inputs'!E87&gt;=0,'Inputs'!E87,"n.a."),IF('Inputs'!E87="",'Inputs'!$D$6,"n.a.")))</x:f>
        <x:v>500</x:v>
      </x:c>
      <x:c r="F349" s="22" t="n">
        <x:f>IF(COUNT($N$347:$N$351)=5,SUM($N$347:$N$351),"n.a.")</x:f>
        <x:v>0</x:v>
      </x:c>
      <x:c r="G349" s="22" t="n">
        <x:f>IF(COUNT(E349:F349)=2,MAX(0,E349-F349),"n.a.")</x:f>
        <x:v>500</x:v>
      </x:c>
      <x:c r="H349" s="26" t="str">
        <x:f>'Inputs'!C13</x:f>
        <x:v>Loan C</x:v>
      </x:c>
      <x:c r="I349" s="26" t="n">
        <x:f>S344</x:f>
        <x:v>0</x:v>
      </x:c>
      <x:c r="J349" s="29" t="n">
        <x:f>IF('Inputs'!$D$9="Ready",'Inputs'!E13,"n.a.")</x:f>
        <x:v>0.08</x:v>
      </x:c>
      <x:c r="K349" s="26" t="n">
        <x:f>IF('Inputs'!$D$9="Ready",'Inputs'!F13,"n.a.")</x:f>
        <x:v>150</x:v>
      </x:c>
      <x:c r="L349" s="29" t="n">
        <x:f>IF('Inputs'!$D$9="Ready",'Inputs'!G13,"n.a.")</x:f>
        <x:v>0</x:v>
      </x:c>
      <x:c r="M349" s="22" t="n">
        <x:f>IF(COUNT(I349:L349)=4,ROUND(I349*J349/12,2),"n.a.")</x:f>
        <x:v>0</x:v>
      </x:c>
      <x:c r="N349" s="22" t="n">
        <x:f>IF(COUNT(I349:M349)=5,MIN(I349+M349,ROUND(MAX(K349,I349*L349+M349),2)),"n.a.")</x:f>
        <x:v>0</x:v>
      </x:c>
      <x:c r="O349" s="30" t="n">
        <x:f>IF(COUNT($I$347:$I$351)&lt;&gt;5,"n.a.",IF(I349=0,6,IF('Inputs'!$D$5=1,COUNTIFS($I$347:$I$351,"&gt;0",$I$347:$I$351,"&lt;"&amp;I349)+COUNTIFS($I$347:I349,I349),COUNTIFS($I$347:$I$351,"&gt;0",$J$347:$J$351,"&gt;"&amp;J349)+COUNTIFS($I$347:I349,"&gt;0",$J$347:J349,J349))))</x:f>
        <x:v>6</x:v>
      </x:c>
      <x:c r="P349" s="22" t="n">
        <x:f>IF(T349="Ready",MIN(U349,MAX(0,G349-SUMIFS($U$347:$U$351,$O$347:$O$351,"&lt;"&amp;O349))),"n.a.")</x:f>
        <x:v>0</x:v>
      </x:c>
      <x:c r="Q349" s="22" t="n">
        <x:f>IF(T349="Ready",ROUND(N349+P349,2),"n.a.")</x:f>
        <x:v>0</x:v>
      </x:c>
      <x:c r="R349" s="22" t="n">
        <x:f>IF(T349="Ready",ROUND(Q349-M349,2),"n.a.")</x:f>
        <x:v>0</x:v>
      </x:c>
      <x:c r="S349" s="22" t="n">
        <x:f>IF(T349="Ready",MAX(0,ROUND(I349+M349-Q349,2)),"n.a.")</x:f>
        <x:v>0</x:v>
      </x:c>
      <x:c r="T349" s="22" t="str">
        <x:f>IF(AND(COUNT($I$347:$I$351)=5,COUNT(E349:F349)=2),IF(E349&gt;=F349,"Ready","Budget below minima"),"Check inputs")</x:f>
        <x:v>Ready</x:v>
      </x:c>
      <x:c r="U349" s="22" t="n">
        <x:f>IF(COUNT(I349,M349,N349)=3,MAX(0,ROUND(I349+M349-N349,2)),"n.a.")</x:f>
        <x:v>0</x:v>
      </x:c>
    </x:row>
    <x:row r="350" ht="22" customHeight="1">
      <x:c r="A350" s="2"/>
      <x:c r="B350" s="2"/>
      <x:c r="C350" s="27" t="n">
        <x:f>69</x:f>
        <x:v>69</x:v>
      </x:c>
      <x:c r="D350" s="28" t="n">
        <x:f>IF(ISNUMBER('Inputs'!$D$7),EDATE('Inputs'!$D$7,68),"n.a.")</x:f>
        <x:v>48396</x:v>
      </x:c>
      <x:c r="E350" s="26" t="n">
        <x:f>IF('Inputs'!$D$9&lt;&gt;"Ready","n.a.",IF(ISNUMBER('Inputs'!E87),IF('Inputs'!E87&gt;=0,'Inputs'!E87,"n.a."),IF('Inputs'!E87="",'Inputs'!$D$6,"n.a.")))</x:f>
        <x:v>500</x:v>
      </x:c>
      <x:c r="F350" s="22" t="n">
        <x:f>IF(COUNT($N$347:$N$351)=5,SUM($N$347:$N$351),"n.a.")</x:f>
        <x:v>0</x:v>
      </x:c>
      <x:c r="G350" s="22" t="n">
        <x:f>IF(COUNT(E350:F350)=2,MAX(0,E350-F350),"n.a.")</x:f>
        <x:v>500</x:v>
      </x:c>
      <x:c r="H350" s="26" t="str">
        <x:f>'Inputs'!C14</x:f>
        <x:v>Unused 4</x:v>
      </x:c>
      <x:c r="I350" s="26" t="n">
        <x:f>S345</x:f>
        <x:v>0</x:v>
      </x:c>
      <x:c r="J350" s="29" t="n">
        <x:f>IF('Inputs'!$D$9="Ready",'Inputs'!E14,"n.a.")</x:f>
        <x:v>0</x:v>
      </x:c>
      <x:c r="K350" s="26" t="n">
        <x:f>IF('Inputs'!$D$9="Ready",'Inputs'!F14,"n.a.")</x:f>
        <x:v>0</x:v>
      </x:c>
      <x:c r="L350" s="29" t="n">
        <x:f>IF('Inputs'!$D$9="Ready",'Inputs'!G14,"n.a.")</x:f>
        <x:v>0</x:v>
      </x:c>
      <x:c r="M350" s="22" t="n">
        <x:f>IF(COUNT(I350:L350)=4,ROUND(I350*J350/12,2),"n.a.")</x:f>
        <x:v>0</x:v>
      </x:c>
      <x:c r="N350" s="22" t="n">
        <x:f>IF(COUNT(I350:M350)=5,MIN(I350+M350,ROUND(MAX(K350,I350*L350+M350),2)),"n.a.")</x:f>
        <x:v>0</x:v>
      </x:c>
      <x:c r="O350" s="30" t="n">
        <x:f>IF(COUNT($I$347:$I$351)&lt;&gt;5,"n.a.",IF(I350=0,6,IF('Inputs'!$D$5=1,COUNTIFS($I$347:$I$351,"&gt;0",$I$347:$I$351,"&lt;"&amp;I350)+COUNTIFS($I$347:I350,I350),COUNTIFS($I$347:$I$351,"&gt;0",$J$347:$J$351,"&gt;"&amp;J350)+COUNTIFS($I$347:I350,"&gt;0",$J$347:J350,J350))))</x:f>
        <x:v>6</x:v>
      </x:c>
      <x:c r="P350" s="22" t="n">
        <x:f>IF(T350="Ready",MIN(U350,MAX(0,G350-SUMIFS($U$347:$U$351,$O$347:$O$351,"&lt;"&amp;O350))),"n.a.")</x:f>
        <x:v>0</x:v>
      </x:c>
      <x:c r="Q350" s="22" t="n">
        <x:f>IF(T350="Ready",ROUND(N350+P350,2),"n.a.")</x:f>
        <x:v>0</x:v>
      </x:c>
      <x:c r="R350" s="22" t="n">
        <x:f>IF(T350="Ready",ROUND(Q350-M350,2),"n.a.")</x:f>
        <x:v>0</x:v>
      </x:c>
      <x:c r="S350" s="22" t="n">
        <x:f>IF(T350="Ready",MAX(0,ROUND(I350+M350-Q350,2)),"n.a.")</x:f>
        <x:v>0</x:v>
      </x:c>
      <x:c r="T350" s="22" t="str">
        <x:f>IF(AND(COUNT($I$347:$I$351)=5,COUNT(E350:F350)=2),IF(E350&gt;=F350,"Ready","Budget below minima"),"Check inputs")</x:f>
        <x:v>Ready</x:v>
      </x:c>
      <x:c r="U350" s="22" t="n">
        <x:f>IF(COUNT(I350,M350,N350)=3,MAX(0,ROUND(I350+M350-N350,2)),"n.a.")</x:f>
        <x:v>0</x:v>
      </x:c>
    </x:row>
    <x:row r="351" ht="22" customHeight="1">
      <x:c r="A351" s="2"/>
      <x:c r="B351" s="2"/>
      <x:c r="C351" s="27" t="n">
        <x:f>69</x:f>
        <x:v>69</x:v>
      </x:c>
      <x:c r="D351" s="28" t="n">
        <x:f>IF(ISNUMBER('Inputs'!$D$7),EDATE('Inputs'!$D$7,68),"n.a.")</x:f>
        <x:v>48396</x:v>
      </x:c>
      <x:c r="E351" s="26" t="n">
        <x:f>IF('Inputs'!$D$9&lt;&gt;"Ready","n.a.",IF(ISNUMBER('Inputs'!E87),IF('Inputs'!E87&gt;=0,'Inputs'!E87,"n.a."),IF('Inputs'!E87="",'Inputs'!$D$6,"n.a.")))</x:f>
        <x:v>500</x:v>
      </x:c>
      <x:c r="F351" s="22" t="n">
        <x:f>IF(COUNT($N$347:$N$351)=5,SUM($N$347:$N$351),"n.a.")</x:f>
        <x:v>0</x:v>
      </x:c>
      <x:c r="G351" s="22" t="n">
        <x:f>IF(COUNT(E351:F351)=2,MAX(0,E351-F351),"n.a.")</x:f>
        <x:v>500</x:v>
      </x:c>
      <x:c r="H351" s="26" t="str">
        <x:f>'Inputs'!C15</x:f>
        <x:v>Unused 5</x:v>
      </x:c>
      <x:c r="I351" s="26" t="n">
        <x:f>S346</x:f>
        <x:v>0</x:v>
      </x:c>
      <x:c r="J351" s="29" t="n">
        <x:f>IF('Inputs'!$D$9="Ready",'Inputs'!E15,"n.a.")</x:f>
        <x:v>0</x:v>
      </x:c>
      <x:c r="K351" s="26" t="n">
        <x:f>IF('Inputs'!$D$9="Ready",'Inputs'!F15,"n.a.")</x:f>
        <x:v>0</x:v>
      </x:c>
      <x:c r="L351" s="29" t="n">
        <x:f>IF('Inputs'!$D$9="Ready",'Inputs'!G15,"n.a.")</x:f>
        <x:v>0</x:v>
      </x:c>
      <x:c r="M351" s="22" t="n">
        <x:f>IF(COUNT(I351:L351)=4,ROUND(I351*J351/12,2),"n.a.")</x:f>
        <x:v>0</x:v>
      </x:c>
      <x:c r="N351" s="22" t="n">
        <x:f>IF(COUNT(I351:M351)=5,MIN(I351+M351,ROUND(MAX(K351,I351*L351+M351),2)),"n.a.")</x:f>
        <x:v>0</x:v>
      </x:c>
      <x:c r="O351" s="30" t="n">
        <x:f>IF(COUNT($I$347:$I$351)&lt;&gt;5,"n.a.",IF(I351=0,6,IF('Inputs'!$D$5=1,COUNTIFS($I$347:$I$351,"&gt;0",$I$347:$I$351,"&lt;"&amp;I351)+COUNTIFS($I$347:I351,I351),COUNTIFS($I$347:$I$351,"&gt;0",$J$347:$J$351,"&gt;"&amp;J351)+COUNTIFS($I$347:I351,"&gt;0",$J$347:J351,J351))))</x:f>
        <x:v>6</x:v>
      </x:c>
      <x:c r="P351" s="22" t="n">
        <x:f>IF(T351="Ready",MIN(U351,MAX(0,G351-SUMIFS($U$347:$U$351,$O$347:$O$351,"&lt;"&amp;O351))),"n.a.")</x:f>
        <x:v>0</x:v>
      </x:c>
      <x:c r="Q351" s="22" t="n">
        <x:f>IF(T351="Ready",ROUND(N351+P351,2),"n.a.")</x:f>
        <x:v>0</x:v>
      </x:c>
      <x:c r="R351" s="22" t="n">
        <x:f>IF(T351="Ready",ROUND(Q351-M351,2),"n.a.")</x:f>
        <x:v>0</x:v>
      </x:c>
      <x:c r="S351" s="22" t="n">
        <x:f>IF(T351="Ready",MAX(0,ROUND(I351+M351-Q351,2)),"n.a.")</x:f>
        <x:v>0</x:v>
      </x:c>
      <x:c r="T351" s="22" t="str">
        <x:f>IF(AND(COUNT($I$347:$I$351)=5,COUNT(E351:F351)=2),IF(E351&gt;=F351,"Ready","Budget below minima"),"Check inputs")</x:f>
        <x:v>Ready</x:v>
      </x:c>
      <x:c r="U351" s="22" t="n">
        <x:f>IF(COUNT(I351,M351,N351)=3,MAX(0,ROUND(I351+M351-N351,2)),"n.a.")</x:f>
        <x:v>0</x:v>
      </x:c>
    </x:row>
    <x:row r="352" ht="22" customHeight="1">
      <x:c r="A352" s="2"/>
      <x:c r="B352" s="2"/>
      <x:c r="C352" s="27" t="n">
        <x:f>70</x:f>
        <x:v>70</x:v>
      </x:c>
      <x:c r="D352" s="28" t="n">
        <x:f>IF(ISNUMBER('Inputs'!$D$7),EDATE('Inputs'!$D$7,69),"n.a.")</x:f>
        <x:v>48427</x:v>
      </x:c>
      <x:c r="E352" s="26" t="n">
        <x:f>IF('Inputs'!$D$9&lt;&gt;"Ready","n.a.",IF(ISNUMBER('Inputs'!E88),IF('Inputs'!E88&gt;=0,'Inputs'!E88,"n.a."),IF('Inputs'!E88="",'Inputs'!$D$6,"n.a.")))</x:f>
        <x:v>500</x:v>
      </x:c>
      <x:c r="F352" s="22" t="n">
        <x:f>IF(COUNT($N$352:$N$356)=5,SUM($N$352:$N$356),"n.a.")</x:f>
        <x:v>0</x:v>
      </x:c>
      <x:c r="G352" s="22" t="n">
        <x:f>IF(COUNT(E352:F352)=2,MAX(0,E352-F352),"n.a.")</x:f>
        <x:v>500</x:v>
      </x:c>
      <x:c r="H352" s="26" t="str">
        <x:f>'Inputs'!C11</x:f>
        <x:v>Card A</x:v>
      </x:c>
      <x:c r="I352" s="26" t="n">
        <x:f>S347</x:f>
        <x:v>0</x:v>
      </x:c>
      <x:c r="J352" s="29" t="n">
        <x:f>IF('Inputs'!$D$9="Ready",'Inputs'!E11,"n.a.")</x:f>
        <x:v>0.24</x:v>
      </x:c>
      <x:c r="K352" s="26" t="n">
        <x:f>IF('Inputs'!$D$9="Ready",'Inputs'!F11,"n.a.")</x:f>
        <x:v>35</x:v>
      </x:c>
      <x:c r="L352" s="29" t="n">
        <x:f>IF('Inputs'!$D$9="Ready",'Inputs'!G11,"n.a.")</x:f>
        <x:v>0.02</x:v>
      </x:c>
      <x:c r="M352" s="22" t="n">
        <x:f>IF(COUNT(I352:L352)=4,ROUND(I352*J352/12,2),"n.a.")</x:f>
        <x:v>0</x:v>
      </x:c>
      <x:c r="N352" s="22" t="n">
        <x:f>IF(COUNT(I352:M352)=5,MIN(I352+M352,ROUND(MAX(K352,I352*L352+M352),2)),"n.a.")</x:f>
        <x:v>0</x:v>
      </x:c>
      <x:c r="O352" s="30" t="n">
        <x:f>IF(COUNT($I$352:$I$356)&lt;&gt;5,"n.a.",IF(I352=0,6,IF('Inputs'!$D$5=1,COUNTIFS($I$352:$I$356,"&gt;0",$I$352:$I$356,"&lt;"&amp;I352)+COUNTIFS($I$352:I352,I352),COUNTIFS($I$352:$I$356,"&gt;0",$J$352:$J$356,"&gt;"&amp;J352)+COUNTIFS($I$352:I352,"&gt;0",$J$352:J352,J352))))</x:f>
        <x:v>6</x:v>
      </x:c>
      <x:c r="P352" s="22" t="n">
        <x:f>IF(T352="Ready",MIN(U352,MAX(0,G352-SUMIFS($U$352:$U$356,$O$352:$O$356,"&lt;"&amp;O352))),"n.a.")</x:f>
        <x:v>0</x:v>
      </x:c>
      <x:c r="Q352" s="22" t="n">
        <x:f>IF(T352="Ready",ROUND(N352+P352,2),"n.a.")</x:f>
        <x:v>0</x:v>
      </x:c>
      <x:c r="R352" s="22" t="n">
        <x:f>IF(T352="Ready",ROUND(Q352-M352,2),"n.a.")</x:f>
        <x:v>0</x:v>
      </x:c>
      <x:c r="S352" s="22" t="n">
        <x:f>IF(T352="Ready",MAX(0,ROUND(I352+M352-Q352,2)),"n.a.")</x:f>
        <x:v>0</x:v>
      </x:c>
      <x:c r="T352" s="22" t="str">
        <x:f>IF(AND(COUNT($I$352:$I$356)=5,COUNT(E352:F352)=2),IF(E352&gt;=F352,"Ready","Budget below minima"),"Check inputs")</x:f>
        <x:v>Ready</x:v>
      </x:c>
      <x:c r="U352" s="22" t="n">
        <x:f>IF(COUNT(I352,M352,N352)=3,MAX(0,ROUND(I352+M352-N352,2)),"n.a.")</x:f>
        <x:v>0</x:v>
      </x:c>
    </x:row>
    <x:row r="353" ht="22" customHeight="1">
      <x:c r="A353" s="2"/>
      <x:c r="B353" s="2"/>
      <x:c r="C353" s="27" t="n">
        <x:f>70</x:f>
        <x:v>70</x:v>
      </x:c>
      <x:c r="D353" s="28" t="n">
        <x:f>IF(ISNUMBER('Inputs'!$D$7),EDATE('Inputs'!$D$7,69),"n.a.")</x:f>
        <x:v>48427</x:v>
      </x:c>
      <x:c r="E353" s="26" t="n">
        <x:f>IF('Inputs'!$D$9&lt;&gt;"Ready","n.a.",IF(ISNUMBER('Inputs'!E88),IF('Inputs'!E88&gt;=0,'Inputs'!E88,"n.a."),IF('Inputs'!E88="",'Inputs'!$D$6,"n.a.")))</x:f>
        <x:v>500</x:v>
      </x:c>
      <x:c r="F353" s="22" t="n">
        <x:f>IF(COUNT($N$352:$N$356)=5,SUM($N$352:$N$356),"n.a.")</x:f>
        <x:v>0</x:v>
      </x:c>
      <x:c r="G353" s="22" t="n">
        <x:f>IF(COUNT(E353:F353)=2,MAX(0,E353-F353),"n.a.")</x:f>
        <x:v>500</x:v>
      </x:c>
      <x:c r="H353" s="26" t="str">
        <x:f>'Inputs'!C12</x:f>
        <x:v>Card B</x:v>
      </x:c>
      <x:c r="I353" s="26" t="n">
        <x:f>S348</x:f>
        <x:v>0</x:v>
      </x:c>
      <x:c r="J353" s="29" t="n">
        <x:f>IF('Inputs'!$D$9="Ready",'Inputs'!E12,"n.a.")</x:f>
        <x:v>0.18</x:v>
      </x:c>
      <x:c r="K353" s="26" t="n">
        <x:f>IF('Inputs'!$D$9="Ready",'Inputs'!F12,"n.a.")</x:f>
        <x:v>60</x:v>
      </x:c>
      <x:c r="L353" s="29" t="n">
        <x:f>IF('Inputs'!$D$9="Ready",'Inputs'!G12,"n.a.")</x:f>
        <x:v>0.02</x:v>
      </x:c>
      <x:c r="M353" s="22" t="n">
        <x:f>IF(COUNT(I353:L353)=4,ROUND(I353*J353/12,2),"n.a.")</x:f>
        <x:v>0</x:v>
      </x:c>
      <x:c r="N353" s="22" t="n">
        <x:f>IF(COUNT(I353:M353)=5,MIN(I353+M353,ROUND(MAX(K353,I353*L353+M353),2)),"n.a.")</x:f>
        <x:v>0</x:v>
      </x:c>
      <x:c r="O353" s="30" t="n">
        <x:f>IF(COUNT($I$352:$I$356)&lt;&gt;5,"n.a.",IF(I353=0,6,IF('Inputs'!$D$5=1,COUNTIFS($I$352:$I$356,"&gt;0",$I$352:$I$356,"&lt;"&amp;I353)+COUNTIFS($I$352:I353,I353),COUNTIFS($I$352:$I$356,"&gt;0",$J$352:$J$356,"&gt;"&amp;J353)+COUNTIFS($I$352:I353,"&gt;0",$J$352:J353,J353))))</x:f>
        <x:v>6</x:v>
      </x:c>
      <x:c r="P353" s="22" t="n">
        <x:f>IF(T353="Ready",MIN(U353,MAX(0,G353-SUMIFS($U$352:$U$356,$O$352:$O$356,"&lt;"&amp;O353))),"n.a.")</x:f>
        <x:v>0</x:v>
      </x:c>
      <x:c r="Q353" s="22" t="n">
        <x:f>IF(T353="Ready",ROUND(N353+P353,2),"n.a.")</x:f>
        <x:v>0</x:v>
      </x:c>
      <x:c r="R353" s="22" t="n">
        <x:f>IF(T353="Ready",ROUND(Q353-M353,2),"n.a.")</x:f>
        <x:v>0</x:v>
      </x:c>
      <x:c r="S353" s="22" t="n">
        <x:f>IF(T353="Ready",MAX(0,ROUND(I353+M353-Q353,2)),"n.a.")</x:f>
        <x:v>0</x:v>
      </x:c>
      <x:c r="T353" s="22" t="str">
        <x:f>IF(AND(COUNT($I$352:$I$356)=5,COUNT(E353:F353)=2),IF(E353&gt;=F353,"Ready","Budget below minima"),"Check inputs")</x:f>
        <x:v>Ready</x:v>
      </x:c>
      <x:c r="U353" s="22" t="n">
        <x:f>IF(COUNT(I353,M353,N353)=3,MAX(0,ROUND(I353+M353-N353,2)),"n.a.")</x:f>
        <x:v>0</x:v>
      </x:c>
    </x:row>
    <x:row r="354" ht="22" customHeight="1">
      <x:c r="A354" s="2"/>
      <x:c r="B354" s="2"/>
      <x:c r="C354" s="27" t="n">
        <x:f>70</x:f>
        <x:v>70</x:v>
      </x:c>
      <x:c r="D354" s="28" t="n">
        <x:f>IF(ISNUMBER('Inputs'!$D$7),EDATE('Inputs'!$D$7,69),"n.a.")</x:f>
        <x:v>48427</x:v>
      </x:c>
      <x:c r="E354" s="26" t="n">
        <x:f>IF('Inputs'!$D$9&lt;&gt;"Ready","n.a.",IF(ISNUMBER('Inputs'!E88),IF('Inputs'!E88&gt;=0,'Inputs'!E88,"n.a."),IF('Inputs'!E88="",'Inputs'!$D$6,"n.a.")))</x:f>
        <x:v>500</x:v>
      </x:c>
      <x:c r="F354" s="22" t="n">
        <x:f>IF(COUNT($N$352:$N$356)=5,SUM($N$352:$N$356),"n.a.")</x:f>
        <x:v>0</x:v>
      </x:c>
      <x:c r="G354" s="22" t="n">
        <x:f>IF(COUNT(E354:F354)=2,MAX(0,E354-F354),"n.a.")</x:f>
        <x:v>500</x:v>
      </x:c>
      <x:c r="H354" s="26" t="str">
        <x:f>'Inputs'!C13</x:f>
        <x:v>Loan C</x:v>
      </x:c>
      <x:c r="I354" s="26" t="n">
        <x:f>S349</x:f>
        <x:v>0</x:v>
      </x:c>
      <x:c r="J354" s="29" t="n">
        <x:f>IF('Inputs'!$D$9="Ready",'Inputs'!E13,"n.a.")</x:f>
        <x:v>0.08</x:v>
      </x:c>
      <x:c r="K354" s="26" t="n">
        <x:f>IF('Inputs'!$D$9="Ready",'Inputs'!F13,"n.a.")</x:f>
        <x:v>150</x:v>
      </x:c>
      <x:c r="L354" s="29" t="n">
        <x:f>IF('Inputs'!$D$9="Ready",'Inputs'!G13,"n.a.")</x:f>
        <x:v>0</x:v>
      </x:c>
      <x:c r="M354" s="22" t="n">
        <x:f>IF(COUNT(I354:L354)=4,ROUND(I354*J354/12,2),"n.a.")</x:f>
        <x:v>0</x:v>
      </x:c>
      <x:c r="N354" s="22" t="n">
        <x:f>IF(COUNT(I354:M354)=5,MIN(I354+M354,ROUND(MAX(K354,I354*L354+M354),2)),"n.a.")</x:f>
        <x:v>0</x:v>
      </x:c>
      <x:c r="O354" s="30" t="n">
        <x:f>IF(COUNT($I$352:$I$356)&lt;&gt;5,"n.a.",IF(I354=0,6,IF('Inputs'!$D$5=1,COUNTIFS($I$352:$I$356,"&gt;0",$I$352:$I$356,"&lt;"&amp;I354)+COUNTIFS($I$352:I354,I354),COUNTIFS($I$352:$I$356,"&gt;0",$J$352:$J$356,"&gt;"&amp;J354)+COUNTIFS($I$352:I354,"&gt;0",$J$352:J354,J354))))</x:f>
        <x:v>6</x:v>
      </x:c>
      <x:c r="P354" s="22" t="n">
        <x:f>IF(T354="Ready",MIN(U354,MAX(0,G354-SUMIFS($U$352:$U$356,$O$352:$O$356,"&lt;"&amp;O354))),"n.a.")</x:f>
        <x:v>0</x:v>
      </x:c>
      <x:c r="Q354" s="22" t="n">
        <x:f>IF(T354="Ready",ROUND(N354+P354,2),"n.a.")</x:f>
        <x:v>0</x:v>
      </x:c>
      <x:c r="R354" s="22" t="n">
        <x:f>IF(T354="Ready",ROUND(Q354-M354,2),"n.a.")</x:f>
        <x:v>0</x:v>
      </x:c>
      <x:c r="S354" s="22" t="n">
        <x:f>IF(T354="Ready",MAX(0,ROUND(I354+M354-Q354,2)),"n.a.")</x:f>
        <x:v>0</x:v>
      </x:c>
      <x:c r="T354" s="22" t="str">
        <x:f>IF(AND(COUNT($I$352:$I$356)=5,COUNT(E354:F354)=2),IF(E354&gt;=F354,"Ready","Budget below minima"),"Check inputs")</x:f>
        <x:v>Ready</x:v>
      </x:c>
      <x:c r="U354" s="22" t="n">
        <x:f>IF(COUNT(I354,M354,N354)=3,MAX(0,ROUND(I354+M354-N354,2)),"n.a.")</x:f>
        <x:v>0</x:v>
      </x:c>
    </x:row>
    <x:row r="355" ht="22" customHeight="1">
      <x:c r="A355" s="2"/>
      <x:c r="B355" s="2"/>
      <x:c r="C355" s="27" t="n">
        <x:f>70</x:f>
        <x:v>70</x:v>
      </x:c>
      <x:c r="D355" s="28" t="n">
        <x:f>IF(ISNUMBER('Inputs'!$D$7),EDATE('Inputs'!$D$7,69),"n.a.")</x:f>
        <x:v>48427</x:v>
      </x:c>
      <x:c r="E355" s="26" t="n">
        <x:f>IF('Inputs'!$D$9&lt;&gt;"Ready","n.a.",IF(ISNUMBER('Inputs'!E88),IF('Inputs'!E88&gt;=0,'Inputs'!E88,"n.a."),IF('Inputs'!E88="",'Inputs'!$D$6,"n.a.")))</x:f>
        <x:v>500</x:v>
      </x:c>
      <x:c r="F355" s="22" t="n">
        <x:f>IF(COUNT($N$352:$N$356)=5,SUM($N$352:$N$356),"n.a.")</x:f>
        <x:v>0</x:v>
      </x:c>
      <x:c r="G355" s="22" t="n">
        <x:f>IF(COUNT(E355:F355)=2,MAX(0,E355-F355),"n.a.")</x:f>
        <x:v>500</x:v>
      </x:c>
      <x:c r="H355" s="26" t="str">
        <x:f>'Inputs'!C14</x:f>
        <x:v>Unused 4</x:v>
      </x:c>
      <x:c r="I355" s="26" t="n">
        <x:f>S350</x:f>
        <x:v>0</x:v>
      </x:c>
      <x:c r="J355" s="29" t="n">
        <x:f>IF('Inputs'!$D$9="Ready",'Inputs'!E14,"n.a.")</x:f>
        <x:v>0</x:v>
      </x:c>
      <x:c r="K355" s="26" t="n">
        <x:f>IF('Inputs'!$D$9="Ready",'Inputs'!F14,"n.a.")</x:f>
        <x:v>0</x:v>
      </x:c>
      <x:c r="L355" s="29" t="n">
        <x:f>IF('Inputs'!$D$9="Ready",'Inputs'!G14,"n.a.")</x:f>
        <x:v>0</x:v>
      </x:c>
      <x:c r="M355" s="22" t="n">
        <x:f>IF(COUNT(I355:L355)=4,ROUND(I355*J355/12,2),"n.a.")</x:f>
        <x:v>0</x:v>
      </x:c>
      <x:c r="N355" s="22" t="n">
        <x:f>IF(COUNT(I355:M355)=5,MIN(I355+M355,ROUND(MAX(K355,I355*L355+M355),2)),"n.a.")</x:f>
        <x:v>0</x:v>
      </x:c>
      <x:c r="O355" s="30" t="n">
        <x:f>IF(COUNT($I$352:$I$356)&lt;&gt;5,"n.a.",IF(I355=0,6,IF('Inputs'!$D$5=1,COUNTIFS($I$352:$I$356,"&gt;0",$I$352:$I$356,"&lt;"&amp;I355)+COUNTIFS($I$352:I355,I355),COUNTIFS($I$352:$I$356,"&gt;0",$J$352:$J$356,"&gt;"&amp;J355)+COUNTIFS($I$352:I355,"&gt;0",$J$352:J355,J355))))</x:f>
        <x:v>6</x:v>
      </x:c>
      <x:c r="P355" s="22" t="n">
        <x:f>IF(T355="Ready",MIN(U355,MAX(0,G355-SUMIFS($U$352:$U$356,$O$352:$O$356,"&lt;"&amp;O355))),"n.a.")</x:f>
        <x:v>0</x:v>
      </x:c>
      <x:c r="Q355" s="22" t="n">
        <x:f>IF(T355="Ready",ROUND(N355+P355,2),"n.a.")</x:f>
        <x:v>0</x:v>
      </x:c>
      <x:c r="R355" s="22" t="n">
        <x:f>IF(T355="Ready",ROUND(Q355-M355,2),"n.a.")</x:f>
        <x:v>0</x:v>
      </x:c>
      <x:c r="S355" s="22" t="n">
        <x:f>IF(T355="Ready",MAX(0,ROUND(I355+M355-Q355,2)),"n.a.")</x:f>
        <x:v>0</x:v>
      </x:c>
      <x:c r="T355" s="22" t="str">
        <x:f>IF(AND(COUNT($I$352:$I$356)=5,COUNT(E355:F355)=2),IF(E355&gt;=F355,"Ready","Budget below minima"),"Check inputs")</x:f>
        <x:v>Ready</x:v>
      </x:c>
      <x:c r="U355" s="22" t="n">
        <x:f>IF(COUNT(I355,M355,N355)=3,MAX(0,ROUND(I355+M355-N355,2)),"n.a.")</x:f>
        <x:v>0</x:v>
      </x:c>
    </x:row>
    <x:row r="356" ht="22" customHeight="1">
      <x:c r="A356" s="2"/>
      <x:c r="B356" s="2"/>
      <x:c r="C356" s="27" t="n">
        <x:f>70</x:f>
        <x:v>70</x:v>
      </x:c>
      <x:c r="D356" s="28" t="n">
        <x:f>IF(ISNUMBER('Inputs'!$D$7),EDATE('Inputs'!$D$7,69),"n.a.")</x:f>
        <x:v>48427</x:v>
      </x:c>
      <x:c r="E356" s="26" t="n">
        <x:f>IF('Inputs'!$D$9&lt;&gt;"Ready","n.a.",IF(ISNUMBER('Inputs'!E88),IF('Inputs'!E88&gt;=0,'Inputs'!E88,"n.a."),IF('Inputs'!E88="",'Inputs'!$D$6,"n.a.")))</x:f>
        <x:v>500</x:v>
      </x:c>
      <x:c r="F356" s="22" t="n">
        <x:f>IF(COUNT($N$352:$N$356)=5,SUM($N$352:$N$356),"n.a.")</x:f>
        <x:v>0</x:v>
      </x:c>
      <x:c r="G356" s="22" t="n">
        <x:f>IF(COUNT(E356:F356)=2,MAX(0,E356-F356),"n.a.")</x:f>
        <x:v>500</x:v>
      </x:c>
      <x:c r="H356" s="26" t="str">
        <x:f>'Inputs'!C15</x:f>
        <x:v>Unused 5</x:v>
      </x:c>
      <x:c r="I356" s="26" t="n">
        <x:f>S351</x:f>
        <x:v>0</x:v>
      </x:c>
      <x:c r="J356" s="29" t="n">
        <x:f>IF('Inputs'!$D$9="Ready",'Inputs'!E15,"n.a.")</x:f>
        <x:v>0</x:v>
      </x:c>
      <x:c r="K356" s="26" t="n">
        <x:f>IF('Inputs'!$D$9="Ready",'Inputs'!F15,"n.a.")</x:f>
        <x:v>0</x:v>
      </x:c>
      <x:c r="L356" s="29" t="n">
        <x:f>IF('Inputs'!$D$9="Ready",'Inputs'!G15,"n.a.")</x:f>
        <x:v>0</x:v>
      </x:c>
      <x:c r="M356" s="22" t="n">
        <x:f>IF(COUNT(I356:L356)=4,ROUND(I356*J356/12,2),"n.a.")</x:f>
        <x:v>0</x:v>
      </x:c>
      <x:c r="N356" s="22" t="n">
        <x:f>IF(COUNT(I356:M356)=5,MIN(I356+M356,ROUND(MAX(K356,I356*L356+M356),2)),"n.a.")</x:f>
        <x:v>0</x:v>
      </x:c>
      <x:c r="O356" s="30" t="n">
        <x:f>IF(COUNT($I$352:$I$356)&lt;&gt;5,"n.a.",IF(I356=0,6,IF('Inputs'!$D$5=1,COUNTIFS($I$352:$I$356,"&gt;0",$I$352:$I$356,"&lt;"&amp;I356)+COUNTIFS($I$352:I356,I356),COUNTIFS($I$352:$I$356,"&gt;0",$J$352:$J$356,"&gt;"&amp;J356)+COUNTIFS($I$352:I356,"&gt;0",$J$352:J356,J356))))</x:f>
        <x:v>6</x:v>
      </x:c>
      <x:c r="P356" s="22" t="n">
        <x:f>IF(T356="Ready",MIN(U356,MAX(0,G356-SUMIFS($U$352:$U$356,$O$352:$O$356,"&lt;"&amp;O356))),"n.a.")</x:f>
        <x:v>0</x:v>
      </x:c>
      <x:c r="Q356" s="22" t="n">
        <x:f>IF(T356="Ready",ROUND(N356+P356,2),"n.a.")</x:f>
        <x:v>0</x:v>
      </x:c>
      <x:c r="R356" s="22" t="n">
        <x:f>IF(T356="Ready",ROUND(Q356-M356,2),"n.a.")</x:f>
        <x:v>0</x:v>
      </x:c>
      <x:c r="S356" s="22" t="n">
        <x:f>IF(T356="Ready",MAX(0,ROUND(I356+M356-Q356,2)),"n.a.")</x:f>
        <x:v>0</x:v>
      </x:c>
      <x:c r="T356" s="22" t="str">
        <x:f>IF(AND(COUNT($I$352:$I$356)=5,COUNT(E356:F356)=2),IF(E356&gt;=F356,"Ready","Budget below minima"),"Check inputs")</x:f>
        <x:v>Ready</x:v>
      </x:c>
      <x:c r="U356" s="22" t="n">
        <x:f>IF(COUNT(I356,M356,N356)=3,MAX(0,ROUND(I356+M356-N356,2)),"n.a.")</x:f>
        <x:v>0</x:v>
      </x:c>
    </x:row>
    <x:row r="357" ht="22" customHeight="1">
      <x:c r="A357" s="2"/>
      <x:c r="B357" s="2"/>
      <x:c r="C357" s="27" t="n">
        <x:f>71</x:f>
        <x:v>71</x:v>
      </x:c>
      <x:c r="D357" s="28" t="n">
        <x:f>IF(ISNUMBER('Inputs'!$D$7),EDATE('Inputs'!$D$7,70),"n.a.")</x:f>
        <x:v>48458</x:v>
      </x:c>
      <x:c r="E357" s="26" t="n">
        <x:f>IF('Inputs'!$D$9&lt;&gt;"Ready","n.a.",IF(ISNUMBER('Inputs'!E89),IF('Inputs'!E89&gt;=0,'Inputs'!E89,"n.a."),IF('Inputs'!E89="",'Inputs'!$D$6,"n.a.")))</x:f>
        <x:v>500</x:v>
      </x:c>
      <x:c r="F357" s="22" t="n">
        <x:f>IF(COUNT($N$357:$N$361)=5,SUM($N$357:$N$361),"n.a.")</x:f>
        <x:v>0</x:v>
      </x:c>
      <x:c r="G357" s="22" t="n">
        <x:f>IF(COUNT(E357:F357)=2,MAX(0,E357-F357),"n.a.")</x:f>
        <x:v>500</x:v>
      </x:c>
      <x:c r="H357" s="26" t="str">
        <x:f>'Inputs'!C11</x:f>
        <x:v>Card A</x:v>
      </x:c>
      <x:c r="I357" s="26" t="n">
        <x:f>S352</x:f>
        <x:v>0</x:v>
      </x:c>
      <x:c r="J357" s="29" t="n">
        <x:f>IF('Inputs'!$D$9="Ready",'Inputs'!E11,"n.a.")</x:f>
        <x:v>0.24</x:v>
      </x:c>
      <x:c r="K357" s="26" t="n">
        <x:f>IF('Inputs'!$D$9="Ready",'Inputs'!F11,"n.a.")</x:f>
        <x:v>35</x:v>
      </x:c>
      <x:c r="L357" s="29" t="n">
        <x:f>IF('Inputs'!$D$9="Ready",'Inputs'!G11,"n.a.")</x:f>
        <x:v>0.02</x:v>
      </x:c>
      <x:c r="M357" s="22" t="n">
        <x:f>IF(COUNT(I357:L357)=4,ROUND(I357*J357/12,2),"n.a.")</x:f>
        <x:v>0</x:v>
      </x:c>
      <x:c r="N357" s="22" t="n">
        <x:f>IF(COUNT(I357:M357)=5,MIN(I357+M357,ROUND(MAX(K357,I357*L357+M357),2)),"n.a.")</x:f>
        <x:v>0</x:v>
      </x:c>
      <x:c r="O357" s="30" t="n">
        <x:f>IF(COUNT($I$357:$I$361)&lt;&gt;5,"n.a.",IF(I357=0,6,IF('Inputs'!$D$5=1,COUNTIFS($I$357:$I$361,"&gt;0",$I$357:$I$361,"&lt;"&amp;I357)+COUNTIFS($I$357:I357,I357),COUNTIFS($I$357:$I$361,"&gt;0",$J$357:$J$361,"&gt;"&amp;J357)+COUNTIFS($I$357:I357,"&gt;0",$J$357:J357,J357))))</x:f>
        <x:v>6</x:v>
      </x:c>
      <x:c r="P357" s="22" t="n">
        <x:f>IF(T357="Ready",MIN(U357,MAX(0,G357-SUMIFS($U$357:$U$361,$O$357:$O$361,"&lt;"&amp;O357))),"n.a.")</x:f>
        <x:v>0</x:v>
      </x:c>
      <x:c r="Q357" s="22" t="n">
        <x:f>IF(T357="Ready",ROUND(N357+P357,2),"n.a.")</x:f>
        <x:v>0</x:v>
      </x:c>
      <x:c r="R357" s="22" t="n">
        <x:f>IF(T357="Ready",ROUND(Q357-M357,2),"n.a.")</x:f>
        <x:v>0</x:v>
      </x:c>
      <x:c r="S357" s="22" t="n">
        <x:f>IF(T357="Ready",MAX(0,ROUND(I357+M357-Q357,2)),"n.a.")</x:f>
        <x:v>0</x:v>
      </x:c>
      <x:c r="T357" s="22" t="str">
        <x:f>IF(AND(COUNT($I$357:$I$361)=5,COUNT(E357:F357)=2),IF(E357&gt;=F357,"Ready","Budget below minima"),"Check inputs")</x:f>
        <x:v>Ready</x:v>
      </x:c>
      <x:c r="U357" s="22" t="n">
        <x:f>IF(COUNT(I357,M357,N357)=3,MAX(0,ROUND(I357+M357-N357,2)),"n.a.")</x:f>
        <x:v>0</x:v>
      </x:c>
    </x:row>
    <x:row r="358" ht="22" customHeight="1">
      <x:c r="A358" s="2"/>
      <x:c r="B358" s="2"/>
      <x:c r="C358" s="27" t="n">
        <x:f>71</x:f>
        <x:v>71</x:v>
      </x:c>
      <x:c r="D358" s="28" t="n">
        <x:f>IF(ISNUMBER('Inputs'!$D$7),EDATE('Inputs'!$D$7,70),"n.a.")</x:f>
        <x:v>48458</x:v>
      </x:c>
      <x:c r="E358" s="26" t="n">
        <x:f>IF('Inputs'!$D$9&lt;&gt;"Ready","n.a.",IF(ISNUMBER('Inputs'!E89),IF('Inputs'!E89&gt;=0,'Inputs'!E89,"n.a."),IF('Inputs'!E89="",'Inputs'!$D$6,"n.a.")))</x:f>
        <x:v>500</x:v>
      </x:c>
      <x:c r="F358" s="22" t="n">
        <x:f>IF(COUNT($N$357:$N$361)=5,SUM($N$357:$N$361),"n.a.")</x:f>
        <x:v>0</x:v>
      </x:c>
      <x:c r="G358" s="22" t="n">
        <x:f>IF(COUNT(E358:F358)=2,MAX(0,E358-F358),"n.a.")</x:f>
        <x:v>500</x:v>
      </x:c>
      <x:c r="H358" s="26" t="str">
        <x:f>'Inputs'!C12</x:f>
        <x:v>Card B</x:v>
      </x:c>
      <x:c r="I358" s="26" t="n">
        <x:f>S353</x:f>
        <x:v>0</x:v>
      </x:c>
      <x:c r="J358" s="29" t="n">
        <x:f>IF('Inputs'!$D$9="Ready",'Inputs'!E12,"n.a.")</x:f>
        <x:v>0.18</x:v>
      </x:c>
      <x:c r="K358" s="26" t="n">
        <x:f>IF('Inputs'!$D$9="Ready",'Inputs'!F12,"n.a.")</x:f>
        <x:v>60</x:v>
      </x:c>
      <x:c r="L358" s="29" t="n">
        <x:f>IF('Inputs'!$D$9="Ready",'Inputs'!G12,"n.a.")</x:f>
        <x:v>0.02</x:v>
      </x:c>
      <x:c r="M358" s="22" t="n">
        <x:f>IF(COUNT(I358:L358)=4,ROUND(I358*J358/12,2),"n.a.")</x:f>
        <x:v>0</x:v>
      </x:c>
      <x:c r="N358" s="22" t="n">
        <x:f>IF(COUNT(I358:M358)=5,MIN(I358+M358,ROUND(MAX(K358,I358*L358+M358),2)),"n.a.")</x:f>
        <x:v>0</x:v>
      </x:c>
      <x:c r="O358" s="30" t="n">
        <x:f>IF(COUNT($I$357:$I$361)&lt;&gt;5,"n.a.",IF(I358=0,6,IF('Inputs'!$D$5=1,COUNTIFS($I$357:$I$361,"&gt;0",$I$357:$I$361,"&lt;"&amp;I358)+COUNTIFS($I$357:I358,I358),COUNTIFS($I$357:$I$361,"&gt;0",$J$357:$J$361,"&gt;"&amp;J358)+COUNTIFS($I$357:I358,"&gt;0",$J$357:J358,J358))))</x:f>
        <x:v>6</x:v>
      </x:c>
      <x:c r="P358" s="22" t="n">
        <x:f>IF(T358="Ready",MIN(U358,MAX(0,G358-SUMIFS($U$357:$U$361,$O$357:$O$361,"&lt;"&amp;O358))),"n.a.")</x:f>
        <x:v>0</x:v>
      </x:c>
      <x:c r="Q358" s="22" t="n">
        <x:f>IF(T358="Ready",ROUND(N358+P358,2),"n.a.")</x:f>
        <x:v>0</x:v>
      </x:c>
      <x:c r="R358" s="22" t="n">
        <x:f>IF(T358="Ready",ROUND(Q358-M358,2),"n.a.")</x:f>
        <x:v>0</x:v>
      </x:c>
      <x:c r="S358" s="22" t="n">
        <x:f>IF(T358="Ready",MAX(0,ROUND(I358+M358-Q358,2)),"n.a.")</x:f>
        <x:v>0</x:v>
      </x:c>
      <x:c r="T358" s="22" t="str">
        <x:f>IF(AND(COUNT($I$357:$I$361)=5,COUNT(E358:F358)=2),IF(E358&gt;=F358,"Ready","Budget below minima"),"Check inputs")</x:f>
        <x:v>Ready</x:v>
      </x:c>
      <x:c r="U358" s="22" t="n">
        <x:f>IF(COUNT(I358,M358,N358)=3,MAX(0,ROUND(I358+M358-N358,2)),"n.a.")</x:f>
        <x:v>0</x:v>
      </x:c>
    </x:row>
    <x:row r="359" ht="22" customHeight="1">
      <x:c r="A359" s="2"/>
      <x:c r="B359" s="2"/>
      <x:c r="C359" s="27" t="n">
        <x:f>71</x:f>
        <x:v>71</x:v>
      </x:c>
      <x:c r="D359" s="28" t="n">
        <x:f>IF(ISNUMBER('Inputs'!$D$7),EDATE('Inputs'!$D$7,70),"n.a.")</x:f>
        <x:v>48458</x:v>
      </x:c>
      <x:c r="E359" s="26" t="n">
        <x:f>IF('Inputs'!$D$9&lt;&gt;"Ready","n.a.",IF(ISNUMBER('Inputs'!E89),IF('Inputs'!E89&gt;=0,'Inputs'!E89,"n.a."),IF('Inputs'!E89="",'Inputs'!$D$6,"n.a.")))</x:f>
        <x:v>500</x:v>
      </x:c>
      <x:c r="F359" s="22" t="n">
        <x:f>IF(COUNT($N$357:$N$361)=5,SUM($N$357:$N$361),"n.a.")</x:f>
        <x:v>0</x:v>
      </x:c>
      <x:c r="G359" s="22" t="n">
        <x:f>IF(COUNT(E359:F359)=2,MAX(0,E359-F359),"n.a.")</x:f>
        <x:v>500</x:v>
      </x:c>
      <x:c r="H359" s="26" t="str">
        <x:f>'Inputs'!C13</x:f>
        <x:v>Loan C</x:v>
      </x:c>
      <x:c r="I359" s="26" t="n">
        <x:f>S354</x:f>
        <x:v>0</x:v>
      </x:c>
      <x:c r="J359" s="29" t="n">
        <x:f>IF('Inputs'!$D$9="Ready",'Inputs'!E13,"n.a.")</x:f>
        <x:v>0.08</x:v>
      </x:c>
      <x:c r="K359" s="26" t="n">
        <x:f>IF('Inputs'!$D$9="Ready",'Inputs'!F13,"n.a.")</x:f>
        <x:v>150</x:v>
      </x:c>
      <x:c r="L359" s="29" t="n">
        <x:f>IF('Inputs'!$D$9="Ready",'Inputs'!G13,"n.a.")</x:f>
        <x:v>0</x:v>
      </x:c>
      <x:c r="M359" s="22" t="n">
        <x:f>IF(COUNT(I359:L359)=4,ROUND(I359*J359/12,2),"n.a.")</x:f>
        <x:v>0</x:v>
      </x:c>
      <x:c r="N359" s="22" t="n">
        <x:f>IF(COUNT(I359:M359)=5,MIN(I359+M359,ROUND(MAX(K359,I359*L359+M359),2)),"n.a.")</x:f>
        <x:v>0</x:v>
      </x:c>
      <x:c r="O359" s="30" t="n">
        <x:f>IF(COUNT($I$357:$I$361)&lt;&gt;5,"n.a.",IF(I359=0,6,IF('Inputs'!$D$5=1,COUNTIFS($I$357:$I$361,"&gt;0",$I$357:$I$361,"&lt;"&amp;I359)+COUNTIFS($I$357:I359,I359),COUNTIFS($I$357:$I$361,"&gt;0",$J$357:$J$361,"&gt;"&amp;J359)+COUNTIFS($I$357:I359,"&gt;0",$J$357:J359,J359))))</x:f>
        <x:v>6</x:v>
      </x:c>
      <x:c r="P359" s="22" t="n">
        <x:f>IF(T359="Ready",MIN(U359,MAX(0,G359-SUMIFS($U$357:$U$361,$O$357:$O$361,"&lt;"&amp;O359))),"n.a.")</x:f>
        <x:v>0</x:v>
      </x:c>
      <x:c r="Q359" s="22" t="n">
        <x:f>IF(T359="Ready",ROUND(N359+P359,2),"n.a.")</x:f>
        <x:v>0</x:v>
      </x:c>
      <x:c r="R359" s="22" t="n">
        <x:f>IF(T359="Ready",ROUND(Q359-M359,2),"n.a.")</x:f>
        <x:v>0</x:v>
      </x:c>
      <x:c r="S359" s="22" t="n">
        <x:f>IF(T359="Ready",MAX(0,ROUND(I359+M359-Q359,2)),"n.a.")</x:f>
        <x:v>0</x:v>
      </x:c>
      <x:c r="T359" s="22" t="str">
        <x:f>IF(AND(COUNT($I$357:$I$361)=5,COUNT(E359:F359)=2),IF(E359&gt;=F359,"Ready","Budget below minima"),"Check inputs")</x:f>
        <x:v>Ready</x:v>
      </x:c>
      <x:c r="U359" s="22" t="n">
        <x:f>IF(COUNT(I359,M359,N359)=3,MAX(0,ROUND(I359+M359-N359,2)),"n.a.")</x:f>
        <x:v>0</x:v>
      </x:c>
    </x:row>
    <x:row r="360" ht="22" customHeight="1">
      <x:c r="A360" s="2"/>
      <x:c r="B360" s="2"/>
      <x:c r="C360" s="27" t="n">
        <x:f>71</x:f>
        <x:v>71</x:v>
      </x:c>
      <x:c r="D360" s="28" t="n">
        <x:f>IF(ISNUMBER('Inputs'!$D$7),EDATE('Inputs'!$D$7,70),"n.a.")</x:f>
        <x:v>48458</x:v>
      </x:c>
      <x:c r="E360" s="26" t="n">
        <x:f>IF('Inputs'!$D$9&lt;&gt;"Ready","n.a.",IF(ISNUMBER('Inputs'!E89),IF('Inputs'!E89&gt;=0,'Inputs'!E89,"n.a."),IF('Inputs'!E89="",'Inputs'!$D$6,"n.a.")))</x:f>
        <x:v>500</x:v>
      </x:c>
      <x:c r="F360" s="22" t="n">
        <x:f>IF(COUNT($N$357:$N$361)=5,SUM($N$357:$N$361),"n.a.")</x:f>
        <x:v>0</x:v>
      </x:c>
      <x:c r="G360" s="22" t="n">
        <x:f>IF(COUNT(E360:F360)=2,MAX(0,E360-F360),"n.a.")</x:f>
        <x:v>500</x:v>
      </x:c>
      <x:c r="H360" s="26" t="str">
        <x:f>'Inputs'!C14</x:f>
        <x:v>Unused 4</x:v>
      </x:c>
      <x:c r="I360" s="26" t="n">
        <x:f>S355</x:f>
        <x:v>0</x:v>
      </x:c>
      <x:c r="J360" s="29" t="n">
        <x:f>IF('Inputs'!$D$9="Ready",'Inputs'!E14,"n.a.")</x:f>
        <x:v>0</x:v>
      </x:c>
      <x:c r="K360" s="26" t="n">
        <x:f>IF('Inputs'!$D$9="Ready",'Inputs'!F14,"n.a.")</x:f>
        <x:v>0</x:v>
      </x:c>
      <x:c r="L360" s="29" t="n">
        <x:f>IF('Inputs'!$D$9="Ready",'Inputs'!G14,"n.a.")</x:f>
        <x:v>0</x:v>
      </x:c>
      <x:c r="M360" s="22" t="n">
        <x:f>IF(COUNT(I360:L360)=4,ROUND(I360*J360/12,2),"n.a.")</x:f>
        <x:v>0</x:v>
      </x:c>
      <x:c r="N360" s="22" t="n">
        <x:f>IF(COUNT(I360:M360)=5,MIN(I360+M360,ROUND(MAX(K360,I360*L360+M360),2)),"n.a.")</x:f>
        <x:v>0</x:v>
      </x:c>
      <x:c r="O360" s="30" t="n">
        <x:f>IF(COUNT($I$357:$I$361)&lt;&gt;5,"n.a.",IF(I360=0,6,IF('Inputs'!$D$5=1,COUNTIFS($I$357:$I$361,"&gt;0",$I$357:$I$361,"&lt;"&amp;I360)+COUNTIFS($I$357:I360,I360),COUNTIFS($I$357:$I$361,"&gt;0",$J$357:$J$361,"&gt;"&amp;J360)+COUNTIFS($I$357:I360,"&gt;0",$J$357:J360,J360))))</x:f>
        <x:v>6</x:v>
      </x:c>
      <x:c r="P360" s="22" t="n">
        <x:f>IF(T360="Ready",MIN(U360,MAX(0,G360-SUMIFS($U$357:$U$361,$O$357:$O$361,"&lt;"&amp;O360))),"n.a.")</x:f>
        <x:v>0</x:v>
      </x:c>
      <x:c r="Q360" s="22" t="n">
        <x:f>IF(T360="Ready",ROUND(N360+P360,2),"n.a.")</x:f>
        <x:v>0</x:v>
      </x:c>
      <x:c r="R360" s="22" t="n">
        <x:f>IF(T360="Ready",ROUND(Q360-M360,2),"n.a.")</x:f>
        <x:v>0</x:v>
      </x:c>
      <x:c r="S360" s="22" t="n">
        <x:f>IF(T360="Ready",MAX(0,ROUND(I360+M360-Q360,2)),"n.a.")</x:f>
        <x:v>0</x:v>
      </x:c>
      <x:c r="T360" s="22" t="str">
        <x:f>IF(AND(COUNT($I$357:$I$361)=5,COUNT(E360:F360)=2),IF(E360&gt;=F360,"Ready","Budget below minima"),"Check inputs")</x:f>
        <x:v>Ready</x:v>
      </x:c>
      <x:c r="U360" s="22" t="n">
        <x:f>IF(COUNT(I360,M360,N360)=3,MAX(0,ROUND(I360+M360-N360,2)),"n.a.")</x:f>
        <x:v>0</x:v>
      </x:c>
    </x:row>
    <x:row r="361" ht="22" customHeight="1">
      <x:c r="A361" s="2"/>
      <x:c r="B361" s="2"/>
      <x:c r="C361" s="27" t="n">
        <x:f>71</x:f>
        <x:v>71</x:v>
      </x:c>
      <x:c r="D361" s="28" t="n">
        <x:f>IF(ISNUMBER('Inputs'!$D$7),EDATE('Inputs'!$D$7,70),"n.a.")</x:f>
        <x:v>48458</x:v>
      </x:c>
      <x:c r="E361" s="26" t="n">
        <x:f>IF('Inputs'!$D$9&lt;&gt;"Ready","n.a.",IF(ISNUMBER('Inputs'!E89),IF('Inputs'!E89&gt;=0,'Inputs'!E89,"n.a."),IF('Inputs'!E89="",'Inputs'!$D$6,"n.a.")))</x:f>
        <x:v>500</x:v>
      </x:c>
      <x:c r="F361" s="22" t="n">
        <x:f>IF(COUNT($N$357:$N$361)=5,SUM($N$357:$N$361),"n.a.")</x:f>
        <x:v>0</x:v>
      </x:c>
      <x:c r="G361" s="22" t="n">
        <x:f>IF(COUNT(E361:F361)=2,MAX(0,E361-F361),"n.a.")</x:f>
        <x:v>500</x:v>
      </x:c>
      <x:c r="H361" s="26" t="str">
        <x:f>'Inputs'!C15</x:f>
        <x:v>Unused 5</x:v>
      </x:c>
      <x:c r="I361" s="26" t="n">
        <x:f>S356</x:f>
        <x:v>0</x:v>
      </x:c>
      <x:c r="J361" s="29" t="n">
        <x:f>IF('Inputs'!$D$9="Ready",'Inputs'!E15,"n.a.")</x:f>
        <x:v>0</x:v>
      </x:c>
      <x:c r="K361" s="26" t="n">
        <x:f>IF('Inputs'!$D$9="Ready",'Inputs'!F15,"n.a.")</x:f>
        <x:v>0</x:v>
      </x:c>
      <x:c r="L361" s="29" t="n">
        <x:f>IF('Inputs'!$D$9="Ready",'Inputs'!G15,"n.a.")</x:f>
        <x:v>0</x:v>
      </x:c>
      <x:c r="M361" s="22" t="n">
        <x:f>IF(COUNT(I361:L361)=4,ROUND(I361*J361/12,2),"n.a.")</x:f>
        <x:v>0</x:v>
      </x:c>
      <x:c r="N361" s="22" t="n">
        <x:f>IF(COUNT(I361:M361)=5,MIN(I361+M361,ROUND(MAX(K361,I361*L361+M361),2)),"n.a.")</x:f>
        <x:v>0</x:v>
      </x:c>
      <x:c r="O361" s="30" t="n">
        <x:f>IF(COUNT($I$357:$I$361)&lt;&gt;5,"n.a.",IF(I361=0,6,IF('Inputs'!$D$5=1,COUNTIFS($I$357:$I$361,"&gt;0",$I$357:$I$361,"&lt;"&amp;I361)+COUNTIFS($I$357:I361,I361),COUNTIFS($I$357:$I$361,"&gt;0",$J$357:$J$361,"&gt;"&amp;J361)+COUNTIFS($I$357:I361,"&gt;0",$J$357:J361,J361))))</x:f>
        <x:v>6</x:v>
      </x:c>
      <x:c r="P361" s="22" t="n">
        <x:f>IF(T361="Ready",MIN(U361,MAX(0,G361-SUMIFS($U$357:$U$361,$O$357:$O$361,"&lt;"&amp;O361))),"n.a.")</x:f>
        <x:v>0</x:v>
      </x:c>
      <x:c r="Q361" s="22" t="n">
        <x:f>IF(T361="Ready",ROUND(N361+P361,2),"n.a.")</x:f>
        <x:v>0</x:v>
      </x:c>
      <x:c r="R361" s="22" t="n">
        <x:f>IF(T361="Ready",ROUND(Q361-M361,2),"n.a.")</x:f>
        <x:v>0</x:v>
      </x:c>
      <x:c r="S361" s="22" t="n">
        <x:f>IF(T361="Ready",MAX(0,ROUND(I361+M361-Q361,2)),"n.a.")</x:f>
        <x:v>0</x:v>
      </x:c>
      <x:c r="T361" s="22" t="str">
        <x:f>IF(AND(COUNT($I$357:$I$361)=5,COUNT(E361:F361)=2),IF(E361&gt;=F361,"Ready","Budget below minima"),"Check inputs")</x:f>
        <x:v>Ready</x:v>
      </x:c>
      <x:c r="U361" s="22" t="n">
        <x:f>IF(COUNT(I361,M361,N361)=3,MAX(0,ROUND(I361+M361-N361,2)),"n.a.")</x:f>
        <x:v>0</x:v>
      </x:c>
    </x:row>
    <x:row r="362" ht="22" customHeight="1">
      <x:c r="A362" s="2"/>
      <x:c r="B362" s="2"/>
      <x:c r="C362" s="27" t="n">
        <x:f>72</x:f>
        <x:v>72</x:v>
      </x:c>
      <x:c r="D362" s="28" t="n">
        <x:f>IF(ISNUMBER('Inputs'!$D$7),EDATE('Inputs'!$D$7,71),"n.a.")</x:f>
        <x:v>48488</x:v>
      </x:c>
      <x:c r="E362" s="26" t="n">
        <x:f>IF('Inputs'!$D$9&lt;&gt;"Ready","n.a.",IF(ISNUMBER('Inputs'!E90),IF('Inputs'!E90&gt;=0,'Inputs'!E90,"n.a."),IF('Inputs'!E90="",'Inputs'!$D$6,"n.a.")))</x:f>
        <x:v>500</x:v>
      </x:c>
      <x:c r="F362" s="22" t="n">
        <x:f>IF(COUNT($N$362:$N$366)=5,SUM($N$362:$N$366),"n.a.")</x:f>
        <x:v>0</x:v>
      </x:c>
      <x:c r="G362" s="22" t="n">
        <x:f>IF(COUNT(E362:F362)=2,MAX(0,E362-F362),"n.a.")</x:f>
        <x:v>500</x:v>
      </x:c>
      <x:c r="H362" s="26" t="str">
        <x:f>'Inputs'!C11</x:f>
        <x:v>Card A</x:v>
      </x:c>
      <x:c r="I362" s="26" t="n">
        <x:f>S357</x:f>
        <x:v>0</x:v>
      </x:c>
      <x:c r="J362" s="29" t="n">
        <x:f>IF('Inputs'!$D$9="Ready",'Inputs'!E11,"n.a.")</x:f>
        <x:v>0.24</x:v>
      </x:c>
      <x:c r="K362" s="26" t="n">
        <x:f>IF('Inputs'!$D$9="Ready",'Inputs'!F11,"n.a.")</x:f>
        <x:v>35</x:v>
      </x:c>
      <x:c r="L362" s="29" t="n">
        <x:f>IF('Inputs'!$D$9="Ready",'Inputs'!G11,"n.a.")</x:f>
        <x:v>0.02</x:v>
      </x:c>
      <x:c r="M362" s="22" t="n">
        <x:f>IF(COUNT(I362:L362)=4,ROUND(I362*J362/12,2),"n.a.")</x:f>
        <x:v>0</x:v>
      </x:c>
      <x:c r="N362" s="22" t="n">
        <x:f>IF(COUNT(I362:M362)=5,MIN(I362+M362,ROUND(MAX(K362,I362*L362+M362),2)),"n.a.")</x:f>
        <x:v>0</x:v>
      </x:c>
      <x:c r="O362" s="30" t="n">
        <x:f>IF(COUNT($I$362:$I$366)&lt;&gt;5,"n.a.",IF(I362=0,6,IF('Inputs'!$D$5=1,COUNTIFS($I$362:$I$366,"&gt;0",$I$362:$I$366,"&lt;"&amp;I362)+COUNTIFS($I$362:I362,I362),COUNTIFS($I$362:$I$366,"&gt;0",$J$362:$J$366,"&gt;"&amp;J362)+COUNTIFS($I$362:I362,"&gt;0",$J$362:J362,J362))))</x:f>
        <x:v>6</x:v>
      </x:c>
      <x:c r="P362" s="22" t="n">
        <x:f>IF(T362="Ready",MIN(U362,MAX(0,G362-SUMIFS($U$362:$U$366,$O$362:$O$366,"&lt;"&amp;O362))),"n.a.")</x:f>
        <x:v>0</x:v>
      </x:c>
      <x:c r="Q362" s="22" t="n">
        <x:f>IF(T362="Ready",ROUND(N362+P362,2),"n.a.")</x:f>
        <x:v>0</x:v>
      </x:c>
      <x:c r="R362" s="22" t="n">
        <x:f>IF(T362="Ready",ROUND(Q362-M362,2),"n.a.")</x:f>
        <x:v>0</x:v>
      </x:c>
      <x:c r="S362" s="22" t="n">
        <x:f>IF(T362="Ready",MAX(0,ROUND(I362+M362-Q362,2)),"n.a.")</x:f>
        <x:v>0</x:v>
      </x:c>
      <x:c r="T362" s="22" t="str">
        <x:f>IF(AND(COUNT($I$362:$I$366)=5,COUNT(E362:F362)=2),IF(E362&gt;=F362,"Ready","Budget below minima"),"Check inputs")</x:f>
        <x:v>Ready</x:v>
      </x:c>
      <x:c r="U362" s="22" t="n">
        <x:f>IF(COUNT(I362,M362,N362)=3,MAX(0,ROUND(I362+M362-N362,2)),"n.a.")</x:f>
        <x:v>0</x:v>
      </x:c>
    </x:row>
    <x:row r="363" ht="22" customHeight="1">
      <x:c r="A363" s="2"/>
      <x:c r="B363" s="2"/>
      <x:c r="C363" s="27" t="n">
        <x:f>72</x:f>
        <x:v>72</x:v>
      </x:c>
      <x:c r="D363" s="28" t="n">
        <x:f>IF(ISNUMBER('Inputs'!$D$7),EDATE('Inputs'!$D$7,71),"n.a.")</x:f>
        <x:v>48488</x:v>
      </x:c>
      <x:c r="E363" s="26" t="n">
        <x:f>IF('Inputs'!$D$9&lt;&gt;"Ready","n.a.",IF(ISNUMBER('Inputs'!E90),IF('Inputs'!E90&gt;=0,'Inputs'!E90,"n.a."),IF('Inputs'!E90="",'Inputs'!$D$6,"n.a.")))</x:f>
        <x:v>500</x:v>
      </x:c>
      <x:c r="F363" s="22" t="n">
        <x:f>IF(COUNT($N$362:$N$366)=5,SUM($N$362:$N$366),"n.a.")</x:f>
        <x:v>0</x:v>
      </x:c>
      <x:c r="G363" s="22" t="n">
        <x:f>IF(COUNT(E363:F363)=2,MAX(0,E363-F363),"n.a.")</x:f>
        <x:v>500</x:v>
      </x:c>
      <x:c r="H363" s="26" t="str">
        <x:f>'Inputs'!C12</x:f>
        <x:v>Card B</x:v>
      </x:c>
      <x:c r="I363" s="26" t="n">
        <x:f>S358</x:f>
        <x:v>0</x:v>
      </x:c>
      <x:c r="J363" s="29" t="n">
        <x:f>IF('Inputs'!$D$9="Ready",'Inputs'!E12,"n.a.")</x:f>
        <x:v>0.18</x:v>
      </x:c>
      <x:c r="K363" s="26" t="n">
        <x:f>IF('Inputs'!$D$9="Ready",'Inputs'!F12,"n.a.")</x:f>
        <x:v>60</x:v>
      </x:c>
      <x:c r="L363" s="29" t="n">
        <x:f>IF('Inputs'!$D$9="Ready",'Inputs'!G12,"n.a.")</x:f>
        <x:v>0.02</x:v>
      </x:c>
      <x:c r="M363" s="22" t="n">
        <x:f>IF(COUNT(I363:L363)=4,ROUND(I363*J363/12,2),"n.a.")</x:f>
        <x:v>0</x:v>
      </x:c>
      <x:c r="N363" s="22" t="n">
        <x:f>IF(COUNT(I363:M363)=5,MIN(I363+M363,ROUND(MAX(K363,I363*L363+M363),2)),"n.a.")</x:f>
        <x:v>0</x:v>
      </x:c>
      <x:c r="O363" s="30" t="n">
        <x:f>IF(COUNT($I$362:$I$366)&lt;&gt;5,"n.a.",IF(I363=0,6,IF('Inputs'!$D$5=1,COUNTIFS($I$362:$I$366,"&gt;0",$I$362:$I$366,"&lt;"&amp;I363)+COUNTIFS($I$362:I363,I363),COUNTIFS($I$362:$I$366,"&gt;0",$J$362:$J$366,"&gt;"&amp;J363)+COUNTIFS($I$362:I363,"&gt;0",$J$362:J363,J363))))</x:f>
        <x:v>6</x:v>
      </x:c>
      <x:c r="P363" s="22" t="n">
        <x:f>IF(T363="Ready",MIN(U363,MAX(0,G363-SUMIFS($U$362:$U$366,$O$362:$O$366,"&lt;"&amp;O363))),"n.a.")</x:f>
        <x:v>0</x:v>
      </x:c>
      <x:c r="Q363" s="22" t="n">
        <x:f>IF(T363="Ready",ROUND(N363+P363,2),"n.a.")</x:f>
        <x:v>0</x:v>
      </x:c>
      <x:c r="R363" s="22" t="n">
        <x:f>IF(T363="Ready",ROUND(Q363-M363,2),"n.a.")</x:f>
        <x:v>0</x:v>
      </x:c>
      <x:c r="S363" s="22" t="n">
        <x:f>IF(T363="Ready",MAX(0,ROUND(I363+M363-Q363,2)),"n.a.")</x:f>
        <x:v>0</x:v>
      </x:c>
      <x:c r="T363" s="22" t="str">
        <x:f>IF(AND(COUNT($I$362:$I$366)=5,COUNT(E363:F363)=2),IF(E363&gt;=F363,"Ready","Budget below minima"),"Check inputs")</x:f>
        <x:v>Ready</x:v>
      </x:c>
      <x:c r="U363" s="22" t="n">
        <x:f>IF(COUNT(I363,M363,N363)=3,MAX(0,ROUND(I363+M363-N363,2)),"n.a.")</x:f>
        <x:v>0</x:v>
      </x:c>
    </x:row>
    <x:row r="364" ht="22" customHeight="1">
      <x:c r="A364" s="2"/>
      <x:c r="B364" s="2"/>
      <x:c r="C364" s="27" t="n">
        <x:f>72</x:f>
        <x:v>72</x:v>
      </x:c>
      <x:c r="D364" s="28" t="n">
        <x:f>IF(ISNUMBER('Inputs'!$D$7),EDATE('Inputs'!$D$7,71),"n.a.")</x:f>
        <x:v>48488</x:v>
      </x:c>
      <x:c r="E364" s="26" t="n">
        <x:f>IF('Inputs'!$D$9&lt;&gt;"Ready","n.a.",IF(ISNUMBER('Inputs'!E90),IF('Inputs'!E90&gt;=0,'Inputs'!E90,"n.a."),IF('Inputs'!E90="",'Inputs'!$D$6,"n.a.")))</x:f>
        <x:v>500</x:v>
      </x:c>
      <x:c r="F364" s="22" t="n">
        <x:f>IF(COUNT($N$362:$N$366)=5,SUM($N$362:$N$366),"n.a.")</x:f>
        <x:v>0</x:v>
      </x:c>
      <x:c r="G364" s="22" t="n">
        <x:f>IF(COUNT(E364:F364)=2,MAX(0,E364-F364),"n.a.")</x:f>
        <x:v>500</x:v>
      </x:c>
      <x:c r="H364" s="26" t="str">
        <x:f>'Inputs'!C13</x:f>
        <x:v>Loan C</x:v>
      </x:c>
      <x:c r="I364" s="26" t="n">
        <x:f>S359</x:f>
        <x:v>0</x:v>
      </x:c>
      <x:c r="J364" s="29" t="n">
        <x:f>IF('Inputs'!$D$9="Ready",'Inputs'!E13,"n.a.")</x:f>
        <x:v>0.08</x:v>
      </x:c>
      <x:c r="K364" s="26" t="n">
        <x:f>IF('Inputs'!$D$9="Ready",'Inputs'!F13,"n.a.")</x:f>
        <x:v>150</x:v>
      </x:c>
      <x:c r="L364" s="29" t="n">
        <x:f>IF('Inputs'!$D$9="Ready",'Inputs'!G13,"n.a.")</x:f>
        <x:v>0</x:v>
      </x:c>
      <x:c r="M364" s="22" t="n">
        <x:f>IF(COUNT(I364:L364)=4,ROUND(I364*J364/12,2),"n.a.")</x:f>
        <x:v>0</x:v>
      </x:c>
      <x:c r="N364" s="22" t="n">
        <x:f>IF(COUNT(I364:M364)=5,MIN(I364+M364,ROUND(MAX(K364,I364*L364+M364),2)),"n.a.")</x:f>
        <x:v>0</x:v>
      </x:c>
      <x:c r="O364" s="30" t="n">
        <x:f>IF(COUNT($I$362:$I$366)&lt;&gt;5,"n.a.",IF(I364=0,6,IF('Inputs'!$D$5=1,COUNTIFS($I$362:$I$366,"&gt;0",$I$362:$I$366,"&lt;"&amp;I364)+COUNTIFS($I$362:I364,I364),COUNTIFS($I$362:$I$366,"&gt;0",$J$362:$J$366,"&gt;"&amp;J364)+COUNTIFS($I$362:I364,"&gt;0",$J$362:J364,J364))))</x:f>
        <x:v>6</x:v>
      </x:c>
      <x:c r="P364" s="22" t="n">
        <x:f>IF(T364="Ready",MIN(U364,MAX(0,G364-SUMIFS($U$362:$U$366,$O$362:$O$366,"&lt;"&amp;O364))),"n.a.")</x:f>
        <x:v>0</x:v>
      </x:c>
      <x:c r="Q364" s="22" t="n">
        <x:f>IF(T364="Ready",ROUND(N364+P364,2),"n.a.")</x:f>
        <x:v>0</x:v>
      </x:c>
      <x:c r="R364" s="22" t="n">
        <x:f>IF(T364="Ready",ROUND(Q364-M364,2),"n.a.")</x:f>
        <x:v>0</x:v>
      </x:c>
      <x:c r="S364" s="22" t="n">
        <x:f>IF(T364="Ready",MAX(0,ROUND(I364+M364-Q364,2)),"n.a.")</x:f>
        <x:v>0</x:v>
      </x:c>
      <x:c r="T364" s="22" t="str">
        <x:f>IF(AND(COUNT($I$362:$I$366)=5,COUNT(E364:F364)=2),IF(E364&gt;=F364,"Ready","Budget below minima"),"Check inputs")</x:f>
        <x:v>Ready</x:v>
      </x:c>
      <x:c r="U364" s="22" t="n">
        <x:f>IF(COUNT(I364,M364,N364)=3,MAX(0,ROUND(I364+M364-N364,2)),"n.a.")</x:f>
        <x:v>0</x:v>
      </x:c>
    </x:row>
    <x:row r="365" ht="22" customHeight="1">
      <x:c r="A365" s="2"/>
      <x:c r="B365" s="2"/>
      <x:c r="C365" s="27" t="n">
        <x:f>72</x:f>
        <x:v>72</x:v>
      </x:c>
      <x:c r="D365" s="28" t="n">
        <x:f>IF(ISNUMBER('Inputs'!$D$7),EDATE('Inputs'!$D$7,71),"n.a.")</x:f>
        <x:v>48488</x:v>
      </x:c>
      <x:c r="E365" s="26" t="n">
        <x:f>IF('Inputs'!$D$9&lt;&gt;"Ready","n.a.",IF(ISNUMBER('Inputs'!E90),IF('Inputs'!E90&gt;=0,'Inputs'!E90,"n.a."),IF('Inputs'!E90="",'Inputs'!$D$6,"n.a.")))</x:f>
        <x:v>500</x:v>
      </x:c>
      <x:c r="F365" s="22" t="n">
        <x:f>IF(COUNT($N$362:$N$366)=5,SUM($N$362:$N$366),"n.a.")</x:f>
        <x:v>0</x:v>
      </x:c>
      <x:c r="G365" s="22" t="n">
        <x:f>IF(COUNT(E365:F365)=2,MAX(0,E365-F365),"n.a.")</x:f>
        <x:v>500</x:v>
      </x:c>
      <x:c r="H365" s="26" t="str">
        <x:f>'Inputs'!C14</x:f>
        <x:v>Unused 4</x:v>
      </x:c>
      <x:c r="I365" s="26" t="n">
        <x:f>S360</x:f>
        <x:v>0</x:v>
      </x:c>
      <x:c r="J365" s="29" t="n">
        <x:f>IF('Inputs'!$D$9="Ready",'Inputs'!E14,"n.a.")</x:f>
        <x:v>0</x:v>
      </x:c>
      <x:c r="K365" s="26" t="n">
        <x:f>IF('Inputs'!$D$9="Ready",'Inputs'!F14,"n.a.")</x:f>
        <x:v>0</x:v>
      </x:c>
      <x:c r="L365" s="29" t="n">
        <x:f>IF('Inputs'!$D$9="Ready",'Inputs'!G14,"n.a.")</x:f>
        <x:v>0</x:v>
      </x:c>
      <x:c r="M365" s="22" t="n">
        <x:f>IF(COUNT(I365:L365)=4,ROUND(I365*J365/12,2),"n.a.")</x:f>
        <x:v>0</x:v>
      </x:c>
      <x:c r="N365" s="22" t="n">
        <x:f>IF(COUNT(I365:M365)=5,MIN(I365+M365,ROUND(MAX(K365,I365*L365+M365),2)),"n.a.")</x:f>
        <x:v>0</x:v>
      </x:c>
      <x:c r="O365" s="30" t="n">
        <x:f>IF(COUNT($I$362:$I$366)&lt;&gt;5,"n.a.",IF(I365=0,6,IF('Inputs'!$D$5=1,COUNTIFS($I$362:$I$366,"&gt;0",$I$362:$I$366,"&lt;"&amp;I365)+COUNTIFS($I$362:I365,I365),COUNTIFS($I$362:$I$366,"&gt;0",$J$362:$J$366,"&gt;"&amp;J365)+COUNTIFS($I$362:I365,"&gt;0",$J$362:J365,J365))))</x:f>
        <x:v>6</x:v>
      </x:c>
      <x:c r="P365" s="22" t="n">
        <x:f>IF(T365="Ready",MIN(U365,MAX(0,G365-SUMIFS($U$362:$U$366,$O$362:$O$366,"&lt;"&amp;O365))),"n.a.")</x:f>
        <x:v>0</x:v>
      </x:c>
      <x:c r="Q365" s="22" t="n">
        <x:f>IF(T365="Ready",ROUND(N365+P365,2),"n.a.")</x:f>
        <x:v>0</x:v>
      </x:c>
      <x:c r="R365" s="22" t="n">
        <x:f>IF(T365="Ready",ROUND(Q365-M365,2),"n.a.")</x:f>
        <x:v>0</x:v>
      </x:c>
      <x:c r="S365" s="22" t="n">
        <x:f>IF(T365="Ready",MAX(0,ROUND(I365+M365-Q365,2)),"n.a.")</x:f>
        <x:v>0</x:v>
      </x:c>
      <x:c r="T365" s="22" t="str">
        <x:f>IF(AND(COUNT($I$362:$I$366)=5,COUNT(E365:F365)=2),IF(E365&gt;=F365,"Ready","Budget below minima"),"Check inputs")</x:f>
        <x:v>Ready</x:v>
      </x:c>
      <x:c r="U365" s="22" t="n">
        <x:f>IF(COUNT(I365,M365,N365)=3,MAX(0,ROUND(I365+M365-N365,2)),"n.a.")</x:f>
        <x:v>0</x:v>
      </x:c>
    </x:row>
    <x:row r="366" ht="22" customHeight="1">
      <x:c r="A366" s="2"/>
      <x:c r="B366" s="2"/>
      <x:c r="C366" s="27" t="n">
        <x:f>72</x:f>
        <x:v>72</x:v>
      </x:c>
      <x:c r="D366" s="28" t="n">
        <x:f>IF(ISNUMBER('Inputs'!$D$7),EDATE('Inputs'!$D$7,71),"n.a.")</x:f>
        <x:v>48488</x:v>
      </x:c>
      <x:c r="E366" s="26" t="n">
        <x:f>IF('Inputs'!$D$9&lt;&gt;"Ready","n.a.",IF(ISNUMBER('Inputs'!E90),IF('Inputs'!E90&gt;=0,'Inputs'!E90,"n.a."),IF('Inputs'!E90="",'Inputs'!$D$6,"n.a.")))</x:f>
        <x:v>500</x:v>
      </x:c>
      <x:c r="F366" s="22" t="n">
        <x:f>IF(COUNT($N$362:$N$366)=5,SUM($N$362:$N$366),"n.a.")</x:f>
        <x:v>0</x:v>
      </x:c>
      <x:c r="G366" s="22" t="n">
        <x:f>IF(COUNT(E366:F366)=2,MAX(0,E366-F366),"n.a.")</x:f>
        <x:v>500</x:v>
      </x:c>
      <x:c r="H366" s="26" t="str">
        <x:f>'Inputs'!C15</x:f>
        <x:v>Unused 5</x:v>
      </x:c>
      <x:c r="I366" s="26" t="n">
        <x:f>S361</x:f>
        <x:v>0</x:v>
      </x:c>
      <x:c r="J366" s="29" t="n">
        <x:f>IF('Inputs'!$D$9="Ready",'Inputs'!E15,"n.a.")</x:f>
        <x:v>0</x:v>
      </x:c>
      <x:c r="K366" s="26" t="n">
        <x:f>IF('Inputs'!$D$9="Ready",'Inputs'!F15,"n.a.")</x:f>
        <x:v>0</x:v>
      </x:c>
      <x:c r="L366" s="29" t="n">
        <x:f>IF('Inputs'!$D$9="Ready",'Inputs'!G15,"n.a.")</x:f>
        <x:v>0</x:v>
      </x:c>
      <x:c r="M366" s="22" t="n">
        <x:f>IF(COUNT(I366:L366)=4,ROUND(I366*J366/12,2),"n.a.")</x:f>
        <x:v>0</x:v>
      </x:c>
      <x:c r="N366" s="22" t="n">
        <x:f>IF(COUNT(I366:M366)=5,MIN(I366+M366,ROUND(MAX(K366,I366*L366+M366),2)),"n.a.")</x:f>
        <x:v>0</x:v>
      </x:c>
      <x:c r="O366" s="30" t="n">
        <x:f>IF(COUNT($I$362:$I$366)&lt;&gt;5,"n.a.",IF(I366=0,6,IF('Inputs'!$D$5=1,COUNTIFS($I$362:$I$366,"&gt;0",$I$362:$I$366,"&lt;"&amp;I366)+COUNTIFS($I$362:I366,I366),COUNTIFS($I$362:$I$366,"&gt;0",$J$362:$J$366,"&gt;"&amp;J366)+COUNTIFS($I$362:I366,"&gt;0",$J$362:J366,J366))))</x:f>
        <x:v>6</x:v>
      </x:c>
      <x:c r="P366" s="22" t="n">
        <x:f>IF(T366="Ready",MIN(U366,MAX(0,G366-SUMIFS($U$362:$U$366,$O$362:$O$366,"&lt;"&amp;O366))),"n.a.")</x:f>
        <x:v>0</x:v>
      </x:c>
      <x:c r="Q366" s="22" t="n">
        <x:f>IF(T366="Ready",ROUND(N366+P366,2),"n.a.")</x:f>
        <x:v>0</x:v>
      </x:c>
      <x:c r="R366" s="22" t="n">
        <x:f>IF(T366="Ready",ROUND(Q366-M366,2),"n.a.")</x:f>
        <x:v>0</x:v>
      </x:c>
      <x:c r="S366" s="22" t="n">
        <x:f>IF(T366="Ready",MAX(0,ROUND(I366+M366-Q366,2)),"n.a.")</x:f>
        <x:v>0</x:v>
      </x:c>
      <x:c r="T366" s="22" t="str">
        <x:f>IF(AND(COUNT($I$362:$I$366)=5,COUNT(E366:F366)=2),IF(E366&gt;=F366,"Ready","Budget below minima"),"Check inputs")</x:f>
        <x:v>Ready</x:v>
      </x:c>
      <x:c r="U366" s="22" t="n">
        <x:f>IF(COUNT(I366,M366,N366)=3,MAX(0,ROUND(I366+M366-N366,2)),"n.a.")</x:f>
        <x:v>0</x:v>
      </x:c>
    </x:row>
    <x:row r="367" ht="22" customHeight="1">
      <x:c r="A367" s="2"/>
      <x:c r="B367" s="2"/>
      <x:c r="C367" s="27" t="n">
        <x:f>73</x:f>
        <x:v>73</x:v>
      </x:c>
      <x:c r="D367" s="28" t="n">
        <x:f>IF(ISNUMBER('Inputs'!$D$7),EDATE('Inputs'!$D$7,72),"n.a.")</x:f>
        <x:v>48519</x:v>
      </x:c>
      <x:c r="E367" s="26" t="n">
        <x:f>IF('Inputs'!$D$9&lt;&gt;"Ready","n.a.",IF(ISNUMBER('Inputs'!E91),IF('Inputs'!E91&gt;=0,'Inputs'!E91,"n.a."),IF('Inputs'!E91="",'Inputs'!$D$6,"n.a.")))</x:f>
        <x:v>500</x:v>
      </x:c>
      <x:c r="F367" s="22" t="n">
        <x:f>IF(COUNT($N$367:$N$371)=5,SUM($N$367:$N$371),"n.a.")</x:f>
        <x:v>0</x:v>
      </x:c>
      <x:c r="G367" s="22" t="n">
        <x:f>IF(COUNT(E367:F367)=2,MAX(0,E367-F367),"n.a.")</x:f>
        <x:v>500</x:v>
      </x:c>
      <x:c r="H367" s="26" t="str">
        <x:f>'Inputs'!C11</x:f>
        <x:v>Card A</x:v>
      </x:c>
      <x:c r="I367" s="26" t="n">
        <x:f>S362</x:f>
        <x:v>0</x:v>
      </x:c>
      <x:c r="J367" s="29" t="n">
        <x:f>IF('Inputs'!$D$9="Ready",'Inputs'!E11,"n.a.")</x:f>
        <x:v>0.24</x:v>
      </x:c>
      <x:c r="K367" s="26" t="n">
        <x:f>IF('Inputs'!$D$9="Ready",'Inputs'!F11,"n.a.")</x:f>
        <x:v>35</x:v>
      </x:c>
      <x:c r="L367" s="29" t="n">
        <x:f>IF('Inputs'!$D$9="Ready",'Inputs'!G11,"n.a.")</x:f>
        <x:v>0.02</x:v>
      </x:c>
      <x:c r="M367" s="22" t="n">
        <x:f>IF(COUNT(I367:L367)=4,ROUND(I367*J367/12,2),"n.a.")</x:f>
        <x:v>0</x:v>
      </x:c>
      <x:c r="N367" s="22" t="n">
        <x:f>IF(COUNT(I367:M367)=5,MIN(I367+M367,ROUND(MAX(K367,I367*L367+M367),2)),"n.a.")</x:f>
        <x:v>0</x:v>
      </x:c>
      <x:c r="O367" s="30" t="n">
        <x:f>IF(COUNT($I$367:$I$371)&lt;&gt;5,"n.a.",IF(I367=0,6,IF('Inputs'!$D$5=1,COUNTIFS($I$367:$I$371,"&gt;0",$I$367:$I$371,"&lt;"&amp;I367)+COUNTIFS($I$367:I367,I367),COUNTIFS($I$367:$I$371,"&gt;0",$J$367:$J$371,"&gt;"&amp;J367)+COUNTIFS($I$367:I367,"&gt;0",$J$367:J367,J367))))</x:f>
        <x:v>6</x:v>
      </x:c>
      <x:c r="P367" s="22" t="n">
        <x:f>IF(T367="Ready",MIN(U367,MAX(0,G367-SUMIFS($U$367:$U$371,$O$367:$O$371,"&lt;"&amp;O367))),"n.a.")</x:f>
        <x:v>0</x:v>
      </x:c>
      <x:c r="Q367" s="22" t="n">
        <x:f>IF(T367="Ready",ROUND(N367+P367,2),"n.a.")</x:f>
        <x:v>0</x:v>
      </x:c>
      <x:c r="R367" s="22" t="n">
        <x:f>IF(T367="Ready",ROUND(Q367-M367,2),"n.a.")</x:f>
        <x:v>0</x:v>
      </x:c>
      <x:c r="S367" s="22" t="n">
        <x:f>IF(T367="Ready",MAX(0,ROUND(I367+M367-Q367,2)),"n.a.")</x:f>
        <x:v>0</x:v>
      </x:c>
      <x:c r="T367" s="22" t="str">
        <x:f>IF(AND(COUNT($I$367:$I$371)=5,COUNT(E367:F367)=2),IF(E367&gt;=F367,"Ready","Budget below minima"),"Check inputs")</x:f>
        <x:v>Ready</x:v>
      </x:c>
      <x:c r="U367" s="22" t="n">
        <x:f>IF(COUNT(I367,M367,N367)=3,MAX(0,ROUND(I367+M367-N367,2)),"n.a.")</x:f>
        <x:v>0</x:v>
      </x:c>
    </x:row>
    <x:row r="368" ht="22" customHeight="1">
      <x:c r="A368" s="2"/>
      <x:c r="B368" s="2"/>
      <x:c r="C368" s="27" t="n">
        <x:f>73</x:f>
        <x:v>73</x:v>
      </x:c>
      <x:c r="D368" s="28" t="n">
        <x:f>IF(ISNUMBER('Inputs'!$D$7),EDATE('Inputs'!$D$7,72),"n.a.")</x:f>
        <x:v>48519</x:v>
      </x:c>
      <x:c r="E368" s="26" t="n">
        <x:f>IF('Inputs'!$D$9&lt;&gt;"Ready","n.a.",IF(ISNUMBER('Inputs'!E91),IF('Inputs'!E91&gt;=0,'Inputs'!E91,"n.a."),IF('Inputs'!E91="",'Inputs'!$D$6,"n.a.")))</x:f>
        <x:v>500</x:v>
      </x:c>
      <x:c r="F368" s="22" t="n">
        <x:f>IF(COUNT($N$367:$N$371)=5,SUM($N$367:$N$371),"n.a.")</x:f>
        <x:v>0</x:v>
      </x:c>
      <x:c r="G368" s="22" t="n">
        <x:f>IF(COUNT(E368:F368)=2,MAX(0,E368-F368),"n.a.")</x:f>
        <x:v>500</x:v>
      </x:c>
      <x:c r="H368" s="26" t="str">
        <x:f>'Inputs'!C12</x:f>
        <x:v>Card B</x:v>
      </x:c>
      <x:c r="I368" s="26" t="n">
        <x:f>S363</x:f>
        <x:v>0</x:v>
      </x:c>
      <x:c r="J368" s="29" t="n">
        <x:f>IF('Inputs'!$D$9="Ready",'Inputs'!E12,"n.a.")</x:f>
        <x:v>0.18</x:v>
      </x:c>
      <x:c r="K368" s="26" t="n">
        <x:f>IF('Inputs'!$D$9="Ready",'Inputs'!F12,"n.a.")</x:f>
        <x:v>60</x:v>
      </x:c>
      <x:c r="L368" s="29" t="n">
        <x:f>IF('Inputs'!$D$9="Ready",'Inputs'!G12,"n.a.")</x:f>
        <x:v>0.02</x:v>
      </x:c>
      <x:c r="M368" s="22" t="n">
        <x:f>IF(COUNT(I368:L368)=4,ROUND(I368*J368/12,2),"n.a.")</x:f>
        <x:v>0</x:v>
      </x:c>
      <x:c r="N368" s="22" t="n">
        <x:f>IF(COUNT(I368:M368)=5,MIN(I368+M368,ROUND(MAX(K368,I368*L368+M368),2)),"n.a.")</x:f>
        <x:v>0</x:v>
      </x:c>
      <x:c r="O368" s="30" t="n">
        <x:f>IF(COUNT($I$367:$I$371)&lt;&gt;5,"n.a.",IF(I368=0,6,IF('Inputs'!$D$5=1,COUNTIFS($I$367:$I$371,"&gt;0",$I$367:$I$371,"&lt;"&amp;I368)+COUNTIFS($I$367:I368,I368),COUNTIFS($I$367:$I$371,"&gt;0",$J$367:$J$371,"&gt;"&amp;J368)+COUNTIFS($I$367:I368,"&gt;0",$J$367:J368,J368))))</x:f>
        <x:v>6</x:v>
      </x:c>
      <x:c r="P368" s="22" t="n">
        <x:f>IF(T368="Ready",MIN(U368,MAX(0,G368-SUMIFS($U$367:$U$371,$O$367:$O$371,"&lt;"&amp;O368))),"n.a.")</x:f>
        <x:v>0</x:v>
      </x:c>
      <x:c r="Q368" s="22" t="n">
        <x:f>IF(T368="Ready",ROUND(N368+P368,2),"n.a.")</x:f>
        <x:v>0</x:v>
      </x:c>
      <x:c r="R368" s="22" t="n">
        <x:f>IF(T368="Ready",ROUND(Q368-M368,2),"n.a.")</x:f>
        <x:v>0</x:v>
      </x:c>
      <x:c r="S368" s="22" t="n">
        <x:f>IF(T368="Ready",MAX(0,ROUND(I368+M368-Q368,2)),"n.a.")</x:f>
        <x:v>0</x:v>
      </x:c>
      <x:c r="T368" s="22" t="str">
        <x:f>IF(AND(COUNT($I$367:$I$371)=5,COUNT(E368:F368)=2),IF(E368&gt;=F368,"Ready","Budget below minima"),"Check inputs")</x:f>
        <x:v>Ready</x:v>
      </x:c>
      <x:c r="U368" s="22" t="n">
        <x:f>IF(COUNT(I368,M368,N368)=3,MAX(0,ROUND(I368+M368-N368,2)),"n.a.")</x:f>
        <x:v>0</x:v>
      </x:c>
    </x:row>
    <x:row r="369" ht="22" customHeight="1">
      <x:c r="A369" s="2"/>
      <x:c r="B369" s="2"/>
      <x:c r="C369" s="27" t="n">
        <x:f>73</x:f>
        <x:v>73</x:v>
      </x:c>
      <x:c r="D369" s="28" t="n">
        <x:f>IF(ISNUMBER('Inputs'!$D$7),EDATE('Inputs'!$D$7,72),"n.a.")</x:f>
        <x:v>48519</x:v>
      </x:c>
      <x:c r="E369" s="26" t="n">
        <x:f>IF('Inputs'!$D$9&lt;&gt;"Ready","n.a.",IF(ISNUMBER('Inputs'!E91),IF('Inputs'!E91&gt;=0,'Inputs'!E91,"n.a."),IF('Inputs'!E91="",'Inputs'!$D$6,"n.a.")))</x:f>
        <x:v>500</x:v>
      </x:c>
      <x:c r="F369" s="22" t="n">
        <x:f>IF(COUNT($N$367:$N$371)=5,SUM($N$367:$N$371),"n.a.")</x:f>
        <x:v>0</x:v>
      </x:c>
      <x:c r="G369" s="22" t="n">
        <x:f>IF(COUNT(E369:F369)=2,MAX(0,E369-F369),"n.a.")</x:f>
        <x:v>500</x:v>
      </x:c>
      <x:c r="H369" s="26" t="str">
        <x:f>'Inputs'!C13</x:f>
        <x:v>Loan C</x:v>
      </x:c>
      <x:c r="I369" s="26" t="n">
        <x:f>S364</x:f>
        <x:v>0</x:v>
      </x:c>
      <x:c r="J369" s="29" t="n">
        <x:f>IF('Inputs'!$D$9="Ready",'Inputs'!E13,"n.a.")</x:f>
        <x:v>0.08</x:v>
      </x:c>
      <x:c r="K369" s="26" t="n">
        <x:f>IF('Inputs'!$D$9="Ready",'Inputs'!F13,"n.a.")</x:f>
        <x:v>150</x:v>
      </x:c>
      <x:c r="L369" s="29" t="n">
        <x:f>IF('Inputs'!$D$9="Ready",'Inputs'!G13,"n.a.")</x:f>
        <x:v>0</x:v>
      </x:c>
      <x:c r="M369" s="22" t="n">
        <x:f>IF(COUNT(I369:L369)=4,ROUND(I369*J369/12,2),"n.a.")</x:f>
        <x:v>0</x:v>
      </x:c>
      <x:c r="N369" s="22" t="n">
        <x:f>IF(COUNT(I369:M369)=5,MIN(I369+M369,ROUND(MAX(K369,I369*L369+M369),2)),"n.a.")</x:f>
        <x:v>0</x:v>
      </x:c>
      <x:c r="O369" s="30" t="n">
        <x:f>IF(COUNT($I$367:$I$371)&lt;&gt;5,"n.a.",IF(I369=0,6,IF('Inputs'!$D$5=1,COUNTIFS($I$367:$I$371,"&gt;0",$I$367:$I$371,"&lt;"&amp;I369)+COUNTIFS($I$367:I369,I369),COUNTIFS($I$367:$I$371,"&gt;0",$J$367:$J$371,"&gt;"&amp;J369)+COUNTIFS($I$367:I369,"&gt;0",$J$367:J369,J369))))</x:f>
        <x:v>6</x:v>
      </x:c>
      <x:c r="P369" s="22" t="n">
        <x:f>IF(T369="Ready",MIN(U369,MAX(0,G369-SUMIFS($U$367:$U$371,$O$367:$O$371,"&lt;"&amp;O369))),"n.a.")</x:f>
        <x:v>0</x:v>
      </x:c>
      <x:c r="Q369" s="22" t="n">
        <x:f>IF(T369="Ready",ROUND(N369+P369,2),"n.a.")</x:f>
        <x:v>0</x:v>
      </x:c>
      <x:c r="R369" s="22" t="n">
        <x:f>IF(T369="Ready",ROUND(Q369-M369,2),"n.a.")</x:f>
        <x:v>0</x:v>
      </x:c>
      <x:c r="S369" s="22" t="n">
        <x:f>IF(T369="Ready",MAX(0,ROUND(I369+M369-Q369,2)),"n.a.")</x:f>
        <x:v>0</x:v>
      </x:c>
      <x:c r="T369" s="22" t="str">
        <x:f>IF(AND(COUNT($I$367:$I$371)=5,COUNT(E369:F369)=2),IF(E369&gt;=F369,"Ready","Budget below minima"),"Check inputs")</x:f>
        <x:v>Ready</x:v>
      </x:c>
      <x:c r="U369" s="22" t="n">
        <x:f>IF(COUNT(I369,M369,N369)=3,MAX(0,ROUND(I369+M369-N369,2)),"n.a.")</x:f>
        <x:v>0</x:v>
      </x:c>
    </x:row>
    <x:row r="370" ht="22" customHeight="1">
      <x:c r="A370" s="2"/>
      <x:c r="B370" s="2"/>
      <x:c r="C370" s="27" t="n">
        <x:f>73</x:f>
        <x:v>73</x:v>
      </x:c>
      <x:c r="D370" s="28" t="n">
        <x:f>IF(ISNUMBER('Inputs'!$D$7),EDATE('Inputs'!$D$7,72),"n.a.")</x:f>
        <x:v>48519</x:v>
      </x:c>
      <x:c r="E370" s="26" t="n">
        <x:f>IF('Inputs'!$D$9&lt;&gt;"Ready","n.a.",IF(ISNUMBER('Inputs'!E91),IF('Inputs'!E91&gt;=0,'Inputs'!E91,"n.a."),IF('Inputs'!E91="",'Inputs'!$D$6,"n.a.")))</x:f>
        <x:v>500</x:v>
      </x:c>
      <x:c r="F370" s="22" t="n">
        <x:f>IF(COUNT($N$367:$N$371)=5,SUM($N$367:$N$371),"n.a.")</x:f>
        <x:v>0</x:v>
      </x:c>
      <x:c r="G370" s="22" t="n">
        <x:f>IF(COUNT(E370:F370)=2,MAX(0,E370-F370),"n.a.")</x:f>
        <x:v>500</x:v>
      </x:c>
      <x:c r="H370" s="26" t="str">
        <x:f>'Inputs'!C14</x:f>
        <x:v>Unused 4</x:v>
      </x:c>
      <x:c r="I370" s="26" t="n">
        <x:f>S365</x:f>
        <x:v>0</x:v>
      </x:c>
      <x:c r="J370" s="29" t="n">
        <x:f>IF('Inputs'!$D$9="Ready",'Inputs'!E14,"n.a.")</x:f>
        <x:v>0</x:v>
      </x:c>
      <x:c r="K370" s="26" t="n">
        <x:f>IF('Inputs'!$D$9="Ready",'Inputs'!F14,"n.a.")</x:f>
        <x:v>0</x:v>
      </x:c>
      <x:c r="L370" s="29" t="n">
        <x:f>IF('Inputs'!$D$9="Ready",'Inputs'!G14,"n.a.")</x:f>
        <x:v>0</x:v>
      </x:c>
      <x:c r="M370" s="22" t="n">
        <x:f>IF(COUNT(I370:L370)=4,ROUND(I370*J370/12,2),"n.a.")</x:f>
        <x:v>0</x:v>
      </x:c>
      <x:c r="N370" s="22" t="n">
        <x:f>IF(COUNT(I370:M370)=5,MIN(I370+M370,ROUND(MAX(K370,I370*L370+M370),2)),"n.a.")</x:f>
        <x:v>0</x:v>
      </x:c>
      <x:c r="O370" s="30" t="n">
        <x:f>IF(COUNT($I$367:$I$371)&lt;&gt;5,"n.a.",IF(I370=0,6,IF('Inputs'!$D$5=1,COUNTIFS($I$367:$I$371,"&gt;0",$I$367:$I$371,"&lt;"&amp;I370)+COUNTIFS($I$367:I370,I370),COUNTIFS($I$367:$I$371,"&gt;0",$J$367:$J$371,"&gt;"&amp;J370)+COUNTIFS($I$367:I370,"&gt;0",$J$367:J370,J370))))</x:f>
        <x:v>6</x:v>
      </x:c>
      <x:c r="P370" s="22" t="n">
        <x:f>IF(T370="Ready",MIN(U370,MAX(0,G370-SUMIFS($U$367:$U$371,$O$367:$O$371,"&lt;"&amp;O370))),"n.a.")</x:f>
        <x:v>0</x:v>
      </x:c>
      <x:c r="Q370" s="22" t="n">
        <x:f>IF(T370="Ready",ROUND(N370+P370,2),"n.a.")</x:f>
        <x:v>0</x:v>
      </x:c>
      <x:c r="R370" s="22" t="n">
        <x:f>IF(T370="Ready",ROUND(Q370-M370,2),"n.a.")</x:f>
        <x:v>0</x:v>
      </x:c>
      <x:c r="S370" s="22" t="n">
        <x:f>IF(T370="Ready",MAX(0,ROUND(I370+M370-Q370,2)),"n.a.")</x:f>
        <x:v>0</x:v>
      </x:c>
      <x:c r="T370" s="22" t="str">
        <x:f>IF(AND(COUNT($I$367:$I$371)=5,COUNT(E370:F370)=2),IF(E370&gt;=F370,"Ready","Budget below minima"),"Check inputs")</x:f>
        <x:v>Ready</x:v>
      </x:c>
      <x:c r="U370" s="22" t="n">
        <x:f>IF(COUNT(I370,M370,N370)=3,MAX(0,ROUND(I370+M370-N370,2)),"n.a.")</x:f>
        <x:v>0</x:v>
      </x:c>
    </x:row>
    <x:row r="371" ht="22" customHeight="1">
      <x:c r="A371" s="2"/>
      <x:c r="B371" s="2"/>
      <x:c r="C371" s="27" t="n">
        <x:f>73</x:f>
        <x:v>73</x:v>
      </x:c>
      <x:c r="D371" s="28" t="n">
        <x:f>IF(ISNUMBER('Inputs'!$D$7),EDATE('Inputs'!$D$7,72),"n.a.")</x:f>
        <x:v>48519</x:v>
      </x:c>
      <x:c r="E371" s="26" t="n">
        <x:f>IF('Inputs'!$D$9&lt;&gt;"Ready","n.a.",IF(ISNUMBER('Inputs'!E91),IF('Inputs'!E91&gt;=0,'Inputs'!E91,"n.a."),IF('Inputs'!E91="",'Inputs'!$D$6,"n.a.")))</x:f>
        <x:v>500</x:v>
      </x:c>
      <x:c r="F371" s="22" t="n">
        <x:f>IF(COUNT($N$367:$N$371)=5,SUM($N$367:$N$371),"n.a.")</x:f>
        <x:v>0</x:v>
      </x:c>
      <x:c r="G371" s="22" t="n">
        <x:f>IF(COUNT(E371:F371)=2,MAX(0,E371-F371),"n.a.")</x:f>
        <x:v>500</x:v>
      </x:c>
      <x:c r="H371" s="26" t="str">
        <x:f>'Inputs'!C15</x:f>
        <x:v>Unused 5</x:v>
      </x:c>
      <x:c r="I371" s="26" t="n">
        <x:f>S366</x:f>
        <x:v>0</x:v>
      </x:c>
      <x:c r="J371" s="29" t="n">
        <x:f>IF('Inputs'!$D$9="Ready",'Inputs'!E15,"n.a.")</x:f>
        <x:v>0</x:v>
      </x:c>
      <x:c r="K371" s="26" t="n">
        <x:f>IF('Inputs'!$D$9="Ready",'Inputs'!F15,"n.a.")</x:f>
        <x:v>0</x:v>
      </x:c>
      <x:c r="L371" s="29" t="n">
        <x:f>IF('Inputs'!$D$9="Ready",'Inputs'!G15,"n.a.")</x:f>
        <x:v>0</x:v>
      </x:c>
      <x:c r="M371" s="22" t="n">
        <x:f>IF(COUNT(I371:L371)=4,ROUND(I371*J371/12,2),"n.a.")</x:f>
        <x:v>0</x:v>
      </x:c>
      <x:c r="N371" s="22" t="n">
        <x:f>IF(COUNT(I371:M371)=5,MIN(I371+M371,ROUND(MAX(K371,I371*L371+M371),2)),"n.a.")</x:f>
        <x:v>0</x:v>
      </x:c>
      <x:c r="O371" s="30" t="n">
        <x:f>IF(COUNT($I$367:$I$371)&lt;&gt;5,"n.a.",IF(I371=0,6,IF('Inputs'!$D$5=1,COUNTIFS($I$367:$I$371,"&gt;0",$I$367:$I$371,"&lt;"&amp;I371)+COUNTIFS($I$367:I371,I371),COUNTIFS($I$367:$I$371,"&gt;0",$J$367:$J$371,"&gt;"&amp;J371)+COUNTIFS($I$367:I371,"&gt;0",$J$367:J371,J371))))</x:f>
        <x:v>6</x:v>
      </x:c>
      <x:c r="P371" s="22" t="n">
        <x:f>IF(T371="Ready",MIN(U371,MAX(0,G371-SUMIFS($U$367:$U$371,$O$367:$O$371,"&lt;"&amp;O371))),"n.a.")</x:f>
        <x:v>0</x:v>
      </x:c>
      <x:c r="Q371" s="22" t="n">
        <x:f>IF(T371="Ready",ROUND(N371+P371,2),"n.a.")</x:f>
        <x:v>0</x:v>
      </x:c>
      <x:c r="R371" s="22" t="n">
        <x:f>IF(T371="Ready",ROUND(Q371-M371,2),"n.a.")</x:f>
        <x:v>0</x:v>
      </x:c>
      <x:c r="S371" s="22" t="n">
        <x:f>IF(T371="Ready",MAX(0,ROUND(I371+M371-Q371,2)),"n.a.")</x:f>
        <x:v>0</x:v>
      </x:c>
      <x:c r="T371" s="22" t="str">
        <x:f>IF(AND(COUNT($I$367:$I$371)=5,COUNT(E371:F371)=2),IF(E371&gt;=F371,"Ready","Budget below minima"),"Check inputs")</x:f>
        <x:v>Ready</x:v>
      </x:c>
      <x:c r="U371" s="22" t="n">
        <x:f>IF(COUNT(I371,M371,N371)=3,MAX(0,ROUND(I371+M371-N371,2)),"n.a.")</x:f>
        <x:v>0</x:v>
      </x:c>
    </x:row>
    <x:row r="372" ht="22" customHeight="1">
      <x:c r="A372" s="2"/>
      <x:c r="B372" s="2"/>
      <x:c r="C372" s="27" t="n">
        <x:f>74</x:f>
        <x:v>74</x:v>
      </x:c>
      <x:c r="D372" s="28" t="n">
        <x:f>IF(ISNUMBER('Inputs'!$D$7),EDATE('Inputs'!$D$7,73),"n.a.")</x:f>
        <x:v>48549</x:v>
      </x:c>
      <x:c r="E372" s="26" t="n">
        <x:f>IF('Inputs'!$D$9&lt;&gt;"Ready","n.a.",IF(ISNUMBER('Inputs'!E92),IF('Inputs'!E92&gt;=0,'Inputs'!E92,"n.a."),IF('Inputs'!E92="",'Inputs'!$D$6,"n.a.")))</x:f>
        <x:v>500</x:v>
      </x:c>
      <x:c r="F372" s="22" t="n">
        <x:f>IF(COUNT($N$372:$N$376)=5,SUM($N$372:$N$376),"n.a.")</x:f>
        <x:v>0</x:v>
      </x:c>
      <x:c r="G372" s="22" t="n">
        <x:f>IF(COUNT(E372:F372)=2,MAX(0,E372-F372),"n.a.")</x:f>
        <x:v>500</x:v>
      </x:c>
      <x:c r="H372" s="26" t="str">
        <x:f>'Inputs'!C11</x:f>
        <x:v>Card A</x:v>
      </x:c>
      <x:c r="I372" s="26" t="n">
        <x:f>S367</x:f>
        <x:v>0</x:v>
      </x:c>
      <x:c r="J372" s="29" t="n">
        <x:f>IF('Inputs'!$D$9="Ready",'Inputs'!E11,"n.a.")</x:f>
        <x:v>0.24</x:v>
      </x:c>
      <x:c r="K372" s="26" t="n">
        <x:f>IF('Inputs'!$D$9="Ready",'Inputs'!F11,"n.a.")</x:f>
        <x:v>35</x:v>
      </x:c>
      <x:c r="L372" s="29" t="n">
        <x:f>IF('Inputs'!$D$9="Ready",'Inputs'!G11,"n.a.")</x:f>
        <x:v>0.02</x:v>
      </x:c>
      <x:c r="M372" s="22" t="n">
        <x:f>IF(COUNT(I372:L372)=4,ROUND(I372*J372/12,2),"n.a.")</x:f>
        <x:v>0</x:v>
      </x:c>
      <x:c r="N372" s="22" t="n">
        <x:f>IF(COUNT(I372:M372)=5,MIN(I372+M372,ROUND(MAX(K372,I372*L372+M372),2)),"n.a.")</x:f>
        <x:v>0</x:v>
      </x:c>
      <x:c r="O372" s="30" t="n">
        <x:f>IF(COUNT($I$372:$I$376)&lt;&gt;5,"n.a.",IF(I372=0,6,IF('Inputs'!$D$5=1,COUNTIFS($I$372:$I$376,"&gt;0",$I$372:$I$376,"&lt;"&amp;I372)+COUNTIFS($I$372:I372,I372),COUNTIFS($I$372:$I$376,"&gt;0",$J$372:$J$376,"&gt;"&amp;J372)+COUNTIFS($I$372:I372,"&gt;0",$J$372:J372,J372))))</x:f>
        <x:v>6</x:v>
      </x:c>
      <x:c r="P372" s="22" t="n">
        <x:f>IF(T372="Ready",MIN(U372,MAX(0,G372-SUMIFS($U$372:$U$376,$O$372:$O$376,"&lt;"&amp;O372))),"n.a.")</x:f>
        <x:v>0</x:v>
      </x:c>
      <x:c r="Q372" s="22" t="n">
        <x:f>IF(T372="Ready",ROUND(N372+P372,2),"n.a.")</x:f>
        <x:v>0</x:v>
      </x:c>
      <x:c r="R372" s="22" t="n">
        <x:f>IF(T372="Ready",ROUND(Q372-M372,2),"n.a.")</x:f>
        <x:v>0</x:v>
      </x:c>
      <x:c r="S372" s="22" t="n">
        <x:f>IF(T372="Ready",MAX(0,ROUND(I372+M372-Q372,2)),"n.a.")</x:f>
        <x:v>0</x:v>
      </x:c>
      <x:c r="T372" s="22" t="str">
        <x:f>IF(AND(COUNT($I$372:$I$376)=5,COUNT(E372:F372)=2),IF(E372&gt;=F372,"Ready","Budget below minima"),"Check inputs")</x:f>
        <x:v>Ready</x:v>
      </x:c>
      <x:c r="U372" s="22" t="n">
        <x:f>IF(COUNT(I372,M372,N372)=3,MAX(0,ROUND(I372+M372-N372,2)),"n.a.")</x:f>
        <x:v>0</x:v>
      </x:c>
    </x:row>
    <x:row r="373" ht="22" customHeight="1">
      <x:c r="A373" s="2"/>
      <x:c r="B373" s="2"/>
      <x:c r="C373" s="27" t="n">
        <x:f>74</x:f>
        <x:v>74</x:v>
      </x:c>
      <x:c r="D373" s="28" t="n">
        <x:f>IF(ISNUMBER('Inputs'!$D$7),EDATE('Inputs'!$D$7,73),"n.a.")</x:f>
        <x:v>48549</x:v>
      </x:c>
      <x:c r="E373" s="26" t="n">
        <x:f>IF('Inputs'!$D$9&lt;&gt;"Ready","n.a.",IF(ISNUMBER('Inputs'!E92),IF('Inputs'!E92&gt;=0,'Inputs'!E92,"n.a."),IF('Inputs'!E92="",'Inputs'!$D$6,"n.a.")))</x:f>
        <x:v>500</x:v>
      </x:c>
      <x:c r="F373" s="22" t="n">
        <x:f>IF(COUNT($N$372:$N$376)=5,SUM($N$372:$N$376),"n.a.")</x:f>
        <x:v>0</x:v>
      </x:c>
      <x:c r="G373" s="22" t="n">
        <x:f>IF(COUNT(E373:F373)=2,MAX(0,E373-F373),"n.a.")</x:f>
        <x:v>500</x:v>
      </x:c>
      <x:c r="H373" s="26" t="str">
        <x:f>'Inputs'!C12</x:f>
        <x:v>Card B</x:v>
      </x:c>
      <x:c r="I373" s="26" t="n">
        <x:f>S368</x:f>
        <x:v>0</x:v>
      </x:c>
      <x:c r="J373" s="29" t="n">
        <x:f>IF('Inputs'!$D$9="Ready",'Inputs'!E12,"n.a.")</x:f>
        <x:v>0.18</x:v>
      </x:c>
      <x:c r="K373" s="26" t="n">
        <x:f>IF('Inputs'!$D$9="Ready",'Inputs'!F12,"n.a.")</x:f>
        <x:v>60</x:v>
      </x:c>
      <x:c r="L373" s="29" t="n">
        <x:f>IF('Inputs'!$D$9="Ready",'Inputs'!G12,"n.a.")</x:f>
        <x:v>0.02</x:v>
      </x:c>
      <x:c r="M373" s="22" t="n">
        <x:f>IF(COUNT(I373:L373)=4,ROUND(I373*J373/12,2),"n.a.")</x:f>
        <x:v>0</x:v>
      </x:c>
      <x:c r="N373" s="22" t="n">
        <x:f>IF(COUNT(I373:M373)=5,MIN(I373+M373,ROUND(MAX(K373,I373*L373+M373),2)),"n.a.")</x:f>
        <x:v>0</x:v>
      </x:c>
      <x:c r="O373" s="30" t="n">
        <x:f>IF(COUNT($I$372:$I$376)&lt;&gt;5,"n.a.",IF(I373=0,6,IF('Inputs'!$D$5=1,COUNTIFS($I$372:$I$376,"&gt;0",$I$372:$I$376,"&lt;"&amp;I373)+COUNTIFS($I$372:I373,I373),COUNTIFS($I$372:$I$376,"&gt;0",$J$372:$J$376,"&gt;"&amp;J373)+COUNTIFS($I$372:I373,"&gt;0",$J$372:J373,J373))))</x:f>
        <x:v>6</x:v>
      </x:c>
      <x:c r="P373" s="22" t="n">
        <x:f>IF(T373="Ready",MIN(U373,MAX(0,G373-SUMIFS($U$372:$U$376,$O$372:$O$376,"&lt;"&amp;O373))),"n.a.")</x:f>
        <x:v>0</x:v>
      </x:c>
      <x:c r="Q373" s="22" t="n">
        <x:f>IF(T373="Ready",ROUND(N373+P373,2),"n.a.")</x:f>
        <x:v>0</x:v>
      </x:c>
      <x:c r="R373" s="22" t="n">
        <x:f>IF(T373="Ready",ROUND(Q373-M373,2),"n.a.")</x:f>
        <x:v>0</x:v>
      </x:c>
      <x:c r="S373" s="22" t="n">
        <x:f>IF(T373="Ready",MAX(0,ROUND(I373+M373-Q373,2)),"n.a.")</x:f>
        <x:v>0</x:v>
      </x:c>
      <x:c r="T373" s="22" t="str">
        <x:f>IF(AND(COUNT($I$372:$I$376)=5,COUNT(E373:F373)=2),IF(E373&gt;=F373,"Ready","Budget below minima"),"Check inputs")</x:f>
        <x:v>Ready</x:v>
      </x:c>
      <x:c r="U373" s="22" t="n">
        <x:f>IF(COUNT(I373,M373,N373)=3,MAX(0,ROUND(I373+M373-N373,2)),"n.a.")</x:f>
        <x:v>0</x:v>
      </x:c>
    </x:row>
    <x:row r="374" ht="22" customHeight="1">
      <x:c r="A374" s="2"/>
      <x:c r="B374" s="2"/>
      <x:c r="C374" s="27" t="n">
        <x:f>74</x:f>
        <x:v>74</x:v>
      </x:c>
      <x:c r="D374" s="28" t="n">
        <x:f>IF(ISNUMBER('Inputs'!$D$7),EDATE('Inputs'!$D$7,73),"n.a.")</x:f>
        <x:v>48549</x:v>
      </x:c>
      <x:c r="E374" s="26" t="n">
        <x:f>IF('Inputs'!$D$9&lt;&gt;"Ready","n.a.",IF(ISNUMBER('Inputs'!E92),IF('Inputs'!E92&gt;=0,'Inputs'!E92,"n.a."),IF('Inputs'!E92="",'Inputs'!$D$6,"n.a.")))</x:f>
        <x:v>500</x:v>
      </x:c>
      <x:c r="F374" s="22" t="n">
        <x:f>IF(COUNT($N$372:$N$376)=5,SUM($N$372:$N$376),"n.a.")</x:f>
        <x:v>0</x:v>
      </x:c>
      <x:c r="G374" s="22" t="n">
        <x:f>IF(COUNT(E374:F374)=2,MAX(0,E374-F374),"n.a.")</x:f>
        <x:v>500</x:v>
      </x:c>
      <x:c r="H374" s="26" t="str">
        <x:f>'Inputs'!C13</x:f>
        <x:v>Loan C</x:v>
      </x:c>
      <x:c r="I374" s="26" t="n">
        <x:f>S369</x:f>
        <x:v>0</x:v>
      </x:c>
      <x:c r="J374" s="29" t="n">
        <x:f>IF('Inputs'!$D$9="Ready",'Inputs'!E13,"n.a.")</x:f>
        <x:v>0.08</x:v>
      </x:c>
      <x:c r="K374" s="26" t="n">
        <x:f>IF('Inputs'!$D$9="Ready",'Inputs'!F13,"n.a.")</x:f>
        <x:v>150</x:v>
      </x:c>
      <x:c r="L374" s="29" t="n">
        <x:f>IF('Inputs'!$D$9="Ready",'Inputs'!G13,"n.a.")</x:f>
        <x:v>0</x:v>
      </x:c>
      <x:c r="M374" s="22" t="n">
        <x:f>IF(COUNT(I374:L374)=4,ROUND(I374*J374/12,2),"n.a.")</x:f>
        <x:v>0</x:v>
      </x:c>
      <x:c r="N374" s="22" t="n">
        <x:f>IF(COUNT(I374:M374)=5,MIN(I374+M374,ROUND(MAX(K374,I374*L374+M374),2)),"n.a.")</x:f>
        <x:v>0</x:v>
      </x:c>
      <x:c r="O374" s="30" t="n">
        <x:f>IF(COUNT($I$372:$I$376)&lt;&gt;5,"n.a.",IF(I374=0,6,IF('Inputs'!$D$5=1,COUNTIFS($I$372:$I$376,"&gt;0",$I$372:$I$376,"&lt;"&amp;I374)+COUNTIFS($I$372:I374,I374),COUNTIFS($I$372:$I$376,"&gt;0",$J$372:$J$376,"&gt;"&amp;J374)+COUNTIFS($I$372:I374,"&gt;0",$J$372:J374,J374))))</x:f>
        <x:v>6</x:v>
      </x:c>
      <x:c r="P374" s="22" t="n">
        <x:f>IF(T374="Ready",MIN(U374,MAX(0,G374-SUMIFS($U$372:$U$376,$O$372:$O$376,"&lt;"&amp;O374))),"n.a.")</x:f>
        <x:v>0</x:v>
      </x:c>
      <x:c r="Q374" s="22" t="n">
        <x:f>IF(T374="Ready",ROUND(N374+P374,2),"n.a.")</x:f>
        <x:v>0</x:v>
      </x:c>
      <x:c r="R374" s="22" t="n">
        <x:f>IF(T374="Ready",ROUND(Q374-M374,2),"n.a.")</x:f>
        <x:v>0</x:v>
      </x:c>
      <x:c r="S374" s="22" t="n">
        <x:f>IF(T374="Ready",MAX(0,ROUND(I374+M374-Q374,2)),"n.a.")</x:f>
        <x:v>0</x:v>
      </x:c>
      <x:c r="T374" s="22" t="str">
        <x:f>IF(AND(COUNT($I$372:$I$376)=5,COUNT(E374:F374)=2),IF(E374&gt;=F374,"Ready","Budget below minima"),"Check inputs")</x:f>
        <x:v>Ready</x:v>
      </x:c>
      <x:c r="U374" s="22" t="n">
        <x:f>IF(COUNT(I374,M374,N374)=3,MAX(0,ROUND(I374+M374-N374,2)),"n.a.")</x:f>
        <x:v>0</x:v>
      </x:c>
    </x:row>
    <x:row r="375" ht="22" customHeight="1">
      <x:c r="A375" s="2"/>
      <x:c r="B375" s="2"/>
      <x:c r="C375" s="27" t="n">
        <x:f>74</x:f>
        <x:v>74</x:v>
      </x:c>
      <x:c r="D375" s="28" t="n">
        <x:f>IF(ISNUMBER('Inputs'!$D$7),EDATE('Inputs'!$D$7,73),"n.a.")</x:f>
        <x:v>48549</x:v>
      </x:c>
      <x:c r="E375" s="26" t="n">
        <x:f>IF('Inputs'!$D$9&lt;&gt;"Ready","n.a.",IF(ISNUMBER('Inputs'!E92),IF('Inputs'!E92&gt;=0,'Inputs'!E92,"n.a."),IF('Inputs'!E92="",'Inputs'!$D$6,"n.a.")))</x:f>
        <x:v>500</x:v>
      </x:c>
      <x:c r="F375" s="22" t="n">
        <x:f>IF(COUNT($N$372:$N$376)=5,SUM($N$372:$N$376),"n.a.")</x:f>
        <x:v>0</x:v>
      </x:c>
      <x:c r="G375" s="22" t="n">
        <x:f>IF(COUNT(E375:F375)=2,MAX(0,E375-F375),"n.a.")</x:f>
        <x:v>500</x:v>
      </x:c>
      <x:c r="H375" s="26" t="str">
        <x:f>'Inputs'!C14</x:f>
        <x:v>Unused 4</x:v>
      </x:c>
      <x:c r="I375" s="26" t="n">
        <x:f>S370</x:f>
        <x:v>0</x:v>
      </x:c>
      <x:c r="J375" s="29" t="n">
        <x:f>IF('Inputs'!$D$9="Ready",'Inputs'!E14,"n.a.")</x:f>
        <x:v>0</x:v>
      </x:c>
      <x:c r="K375" s="26" t="n">
        <x:f>IF('Inputs'!$D$9="Ready",'Inputs'!F14,"n.a.")</x:f>
        <x:v>0</x:v>
      </x:c>
      <x:c r="L375" s="29" t="n">
        <x:f>IF('Inputs'!$D$9="Ready",'Inputs'!G14,"n.a.")</x:f>
        <x:v>0</x:v>
      </x:c>
      <x:c r="M375" s="22" t="n">
        <x:f>IF(COUNT(I375:L375)=4,ROUND(I375*J375/12,2),"n.a.")</x:f>
        <x:v>0</x:v>
      </x:c>
      <x:c r="N375" s="22" t="n">
        <x:f>IF(COUNT(I375:M375)=5,MIN(I375+M375,ROUND(MAX(K375,I375*L375+M375),2)),"n.a.")</x:f>
        <x:v>0</x:v>
      </x:c>
      <x:c r="O375" s="30" t="n">
        <x:f>IF(COUNT($I$372:$I$376)&lt;&gt;5,"n.a.",IF(I375=0,6,IF('Inputs'!$D$5=1,COUNTIFS($I$372:$I$376,"&gt;0",$I$372:$I$376,"&lt;"&amp;I375)+COUNTIFS($I$372:I375,I375),COUNTIFS($I$372:$I$376,"&gt;0",$J$372:$J$376,"&gt;"&amp;J375)+COUNTIFS($I$372:I375,"&gt;0",$J$372:J375,J375))))</x:f>
        <x:v>6</x:v>
      </x:c>
      <x:c r="P375" s="22" t="n">
        <x:f>IF(T375="Ready",MIN(U375,MAX(0,G375-SUMIFS($U$372:$U$376,$O$372:$O$376,"&lt;"&amp;O375))),"n.a.")</x:f>
        <x:v>0</x:v>
      </x:c>
      <x:c r="Q375" s="22" t="n">
        <x:f>IF(T375="Ready",ROUND(N375+P375,2),"n.a.")</x:f>
        <x:v>0</x:v>
      </x:c>
      <x:c r="R375" s="22" t="n">
        <x:f>IF(T375="Ready",ROUND(Q375-M375,2),"n.a.")</x:f>
        <x:v>0</x:v>
      </x:c>
      <x:c r="S375" s="22" t="n">
        <x:f>IF(T375="Ready",MAX(0,ROUND(I375+M375-Q375,2)),"n.a.")</x:f>
        <x:v>0</x:v>
      </x:c>
      <x:c r="T375" s="22" t="str">
        <x:f>IF(AND(COUNT($I$372:$I$376)=5,COUNT(E375:F375)=2),IF(E375&gt;=F375,"Ready","Budget below minima"),"Check inputs")</x:f>
        <x:v>Ready</x:v>
      </x:c>
      <x:c r="U375" s="22" t="n">
        <x:f>IF(COUNT(I375,M375,N375)=3,MAX(0,ROUND(I375+M375-N375,2)),"n.a.")</x:f>
        <x:v>0</x:v>
      </x:c>
    </x:row>
    <x:row r="376" ht="22" customHeight="1">
      <x:c r="A376" s="2"/>
      <x:c r="B376" s="2"/>
      <x:c r="C376" s="27" t="n">
        <x:f>74</x:f>
        <x:v>74</x:v>
      </x:c>
      <x:c r="D376" s="28" t="n">
        <x:f>IF(ISNUMBER('Inputs'!$D$7),EDATE('Inputs'!$D$7,73),"n.a.")</x:f>
        <x:v>48549</x:v>
      </x:c>
      <x:c r="E376" s="26" t="n">
        <x:f>IF('Inputs'!$D$9&lt;&gt;"Ready","n.a.",IF(ISNUMBER('Inputs'!E92),IF('Inputs'!E92&gt;=0,'Inputs'!E92,"n.a."),IF('Inputs'!E92="",'Inputs'!$D$6,"n.a.")))</x:f>
        <x:v>500</x:v>
      </x:c>
      <x:c r="F376" s="22" t="n">
        <x:f>IF(COUNT($N$372:$N$376)=5,SUM($N$372:$N$376),"n.a.")</x:f>
        <x:v>0</x:v>
      </x:c>
      <x:c r="G376" s="22" t="n">
        <x:f>IF(COUNT(E376:F376)=2,MAX(0,E376-F376),"n.a.")</x:f>
        <x:v>500</x:v>
      </x:c>
      <x:c r="H376" s="26" t="str">
        <x:f>'Inputs'!C15</x:f>
        <x:v>Unused 5</x:v>
      </x:c>
      <x:c r="I376" s="26" t="n">
        <x:f>S371</x:f>
        <x:v>0</x:v>
      </x:c>
      <x:c r="J376" s="29" t="n">
        <x:f>IF('Inputs'!$D$9="Ready",'Inputs'!E15,"n.a.")</x:f>
        <x:v>0</x:v>
      </x:c>
      <x:c r="K376" s="26" t="n">
        <x:f>IF('Inputs'!$D$9="Ready",'Inputs'!F15,"n.a.")</x:f>
        <x:v>0</x:v>
      </x:c>
      <x:c r="L376" s="29" t="n">
        <x:f>IF('Inputs'!$D$9="Ready",'Inputs'!G15,"n.a.")</x:f>
        <x:v>0</x:v>
      </x:c>
      <x:c r="M376" s="22" t="n">
        <x:f>IF(COUNT(I376:L376)=4,ROUND(I376*J376/12,2),"n.a.")</x:f>
        <x:v>0</x:v>
      </x:c>
      <x:c r="N376" s="22" t="n">
        <x:f>IF(COUNT(I376:M376)=5,MIN(I376+M376,ROUND(MAX(K376,I376*L376+M376),2)),"n.a.")</x:f>
        <x:v>0</x:v>
      </x:c>
      <x:c r="O376" s="30" t="n">
        <x:f>IF(COUNT($I$372:$I$376)&lt;&gt;5,"n.a.",IF(I376=0,6,IF('Inputs'!$D$5=1,COUNTIFS($I$372:$I$376,"&gt;0",$I$372:$I$376,"&lt;"&amp;I376)+COUNTIFS($I$372:I376,I376),COUNTIFS($I$372:$I$376,"&gt;0",$J$372:$J$376,"&gt;"&amp;J376)+COUNTIFS($I$372:I376,"&gt;0",$J$372:J376,J376))))</x:f>
        <x:v>6</x:v>
      </x:c>
      <x:c r="P376" s="22" t="n">
        <x:f>IF(T376="Ready",MIN(U376,MAX(0,G376-SUMIFS($U$372:$U$376,$O$372:$O$376,"&lt;"&amp;O376))),"n.a.")</x:f>
        <x:v>0</x:v>
      </x:c>
      <x:c r="Q376" s="22" t="n">
        <x:f>IF(T376="Ready",ROUND(N376+P376,2),"n.a.")</x:f>
        <x:v>0</x:v>
      </x:c>
      <x:c r="R376" s="22" t="n">
        <x:f>IF(T376="Ready",ROUND(Q376-M376,2),"n.a.")</x:f>
        <x:v>0</x:v>
      </x:c>
      <x:c r="S376" s="22" t="n">
        <x:f>IF(T376="Ready",MAX(0,ROUND(I376+M376-Q376,2)),"n.a.")</x:f>
        <x:v>0</x:v>
      </x:c>
      <x:c r="T376" s="22" t="str">
        <x:f>IF(AND(COUNT($I$372:$I$376)=5,COUNT(E376:F376)=2),IF(E376&gt;=F376,"Ready","Budget below minima"),"Check inputs")</x:f>
        <x:v>Ready</x:v>
      </x:c>
      <x:c r="U376" s="22" t="n">
        <x:f>IF(COUNT(I376,M376,N376)=3,MAX(0,ROUND(I376+M376-N376,2)),"n.a.")</x:f>
        <x:v>0</x:v>
      </x:c>
    </x:row>
    <x:row r="377" ht="22" customHeight="1">
      <x:c r="A377" s="2"/>
      <x:c r="B377" s="2"/>
      <x:c r="C377" s="27" t="n">
        <x:f>75</x:f>
        <x:v>75</x:v>
      </x:c>
      <x:c r="D377" s="28" t="n">
        <x:f>IF(ISNUMBER('Inputs'!$D$7),EDATE('Inputs'!$D$7,74),"n.a.")</x:f>
        <x:v>48580</x:v>
      </x:c>
      <x:c r="E377" s="26" t="n">
        <x:f>IF('Inputs'!$D$9&lt;&gt;"Ready","n.a.",IF(ISNUMBER('Inputs'!E93),IF('Inputs'!E93&gt;=0,'Inputs'!E93,"n.a."),IF('Inputs'!E93="",'Inputs'!$D$6,"n.a.")))</x:f>
        <x:v>500</x:v>
      </x:c>
      <x:c r="F377" s="22" t="n">
        <x:f>IF(COUNT($N$377:$N$381)=5,SUM($N$377:$N$381),"n.a.")</x:f>
        <x:v>0</x:v>
      </x:c>
      <x:c r="G377" s="22" t="n">
        <x:f>IF(COUNT(E377:F377)=2,MAX(0,E377-F377),"n.a.")</x:f>
        <x:v>500</x:v>
      </x:c>
      <x:c r="H377" s="26" t="str">
        <x:f>'Inputs'!C11</x:f>
        <x:v>Card A</x:v>
      </x:c>
      <x:c r="I377" s="26" t="n">
        <x:f>S372</x:f>
        <x:v>0</x:v>
      </x:c>
      <x:c r="J377" s="29" t="n">
        <x:f>IF('Inputs'!$D$9="Ready",'Inputs'!E11,"n.a.")</x:f>
        <x:v>0.24</x:v>
      </x:c>
      <x:c r="K377" s="26" t="n">
        <x:f>IF('Inputs'!$D$9="Ready",'Inputs'!F11,"n.a.")</x:f>
        <x:v>35</x:v>
      </x:c>
      <x:c r="L377" s="29" t="n">
        <x:f>IF('Inputs'!$D$9="Ready",'Inputs'!G11,"n.a.")</x:f>
        <x:v>0.02</x:v>
      </x:c>
      <x:c r="M377" s="22" t="n">
        <x:f>IF(COUNT(I377:L377)=4,ROUND(I377*J377/12,2),"n.a.")</x:f>
        <x:v>0</x:v>
      </x:c>
      <x:c r="N377" s="22" t="n">
        <x:f>IF(COUNT(I377:M377)=5,MIN(I377+M377,ROUND(MAX(K377,I377*L377+M377),2)),"n.a.")</x:f>
        <x:v>0</x:v>
      </x:c>
      <x:c r="O377" s="30" t="n">
        <x:f>IF(COUNT($I$377:$I$381)&lt;&gt;5,"n.a.",IF(I377=0,6,IF('Inputs'!$D$5=1,COUNTIFS($I$377:$I$381,"&gt;0",$I$377:$I$381,"&lt;"&amp;I377)+COUNTIFS($I$377:I377,I377),COUNTIFS($I$377:$I$381,"&gt;0",$J$377:$J$381,"&gt;"&amp;J377)+COUNTIFS($I$377:I377,"&gt;0",$J$377:J377,J377))))</x:f>
        <x:v>6</x:v>
      </x:c>
      <x:c r="P377" s="22" t="n">
        <x:f>IF(T377="Ready",MIN(U377,MAX(0,G377-SUMIFS($U$377:$U$381,$O$377:$O$381,"&lt;"&amp;O377))),"n.a.")</x:f>
        <x:v>0</x:v>
      </x:c>
      <x:c r="Q377" s="22" t="n">
        <x:f>IF(T377="Ready",ROUND(N377+P377,2),"n.a.")</x:f>
        <x:v>0</x:v>
      </x:c>
      <x:c r="R377" s="22" t="n">
        <x:f>IF(T377="Ready",ROUND(Q377-M377,2),"n.a.")</x:f>
        <x:v>0</x:v>
      </x:c>
      <x:c r="S377" s="22" t="n">
        <x:f>IF(T377="Ready",MAX(0,ROUND(I377+M377-Q377,2)),"n.a.")</x:f>
        <x:v>0</x:v>
      </x:c>
      <x:c r="T377" s="22" t="str">
        <x:f>IF(AND(COUNT($I$377:$I$381)=5,COUNT(E377:F377)=2),IF(E377&gt;=F377,"Ready","Budget below minima"),"Check inputs")</x:f>
        <x:v>Ready</x:v>
      </x:c>
      <x:c r="U377" s="22" t="n">
        <x:f>IF(COUNT(I377,M377,N377)=3,MAX(0,ROUND(I377+M377-N377,2)),"n.a.")</x:f>
        <x:v>0</x:v>
      </x:c>
    </x:row>
    <x:row r="378" ht="22" customHeight="1">
      <x:c r="A378" s="2"/>
      <x:c r="B378" s="2"/>
      <x:c r="C378" s="27" t="n">
        <x:f>75</x:f>
        <x:v>75</x:v>
      </x:c>
      <x:c r="D378" s="28" t="n">
        <x:f>IF(ISNUMBER('Inputs'!$D$7),EDATE('Inputs'!$D$7,74),"n.a.")</x:f>
        <x:v>48580</x:v>
      </x:c>
      <x:c r="E378" s="26" t="n">
        <x:f>IF('Inputs'!$D$9&lt;&gt;"Ready","n.a.",IF(ISNUMBER('Inputs'!E93),IF('Inputs'!E93&gt;=0,'Inputs'!E93,"n.a."),IF('Inputs'!E93="",'Inputs'!$D$6,"n.a.")))</x:f>
        <x:v>500</x:v>
      </x:c>
      <x:c r="F378" s="22" t="n">
        <x:f>IF(COUNT($N$377:$N$381)=5,SUM($N$377:$N$381),"n.a.")</x:f>
        <x:v>0</x:v>
      </x:c>
      <x:c r="G378" s="22" t="n">
        <x:f>IF(COUNT(E378:F378)=2,MAX(0,E378-F378),"n.a.")</x:f>
        <x:v>500</x:v>
      </x:c>
      <x:c r="H378" s="26" t="str">
        <x:f>'Inputs'!C12</x:f>
        <x:v>Card B</x:v>
      </x:c>
      <x:c r="I378" s="26" t="n">
        <x:f>S373</x:f>
        <x:v>0</x:v>
      </x:c>
      <x:c r="J378" s="29" t="n">
        <x:f>IF('Inputs'!$D$9="Ready",'Inputs'!E12,"n.a.")</x:f>
        <x:v>0.18</x:v>
      </x:c>
      <x:c r="K378" s="26" t="n">
        <x:f>IF('Inputs'!$D$9="Ready",'Inputs'!F12,"n.a.")</x:f>
        <x:v>60</x:v>
      </x:c>
      <x:c r="L378" s="29" t="n">
        <x:f>IF('Inputs'!$D$9="Ready",'Inputs'!G12,"n.a.")</x:f>
        <x:v>0.02</x:v>
      </x:c>
      <x:c r="M378" s="22" t="n">
        <x:f>IF(COUNT(I378:L378)=4,ROUND(I378*J378/12,2),"n.a.")</x:f>
        <x:v>0</x:v>
      </x:c>
      <x:c r="N378" s="22" t="n">
        <x:f>IF(COUNT(I378:M378)=5,MIN(I378+M378,ROUND(MAX(K378,I378*L378+M378),2)),"n.a.")</x:f>
        <x:v>0</x:v>
      </x:c>
      <x:c r="O378" s="30" t="n">
        <x:f>IF(COUNT($I$377:$I$381)&lt;&gt;5,"n.a.",IF(I378=0,6,IF('Inputs'!$D$5=1,COUNTIFS($I$377:$I$381,"&gt;0",$I$377:$I$381,"&lt;"&amp;I378)+COUNTIFS($I$377:I378,I378),COUNTIFS($I$377:$I$381,"&gt;0",$J$377:$J$381,"&gt;"&amp;J378)+COUNTIFS($I$377:I378,"&gt;0",$J$377:J378,J378))))</x:f>
        <x:v>6</x:v>
      </x:c>
      <x:c r="P378" s="22" t="n">
        <x:f>IF(T378="Ready",MIN(U378,MAX(0,G378-SUMIFS($U$377:$U$381,$O$377:$O$381,"&lt;"&amp;O378))),"n.a.")</x:f>
        <x:v>0</x:v>
      </x:c>
      <x:c r="Q378" s="22" t="n">
        <x:f>IF(T378="Ready",ROUND(N378+P378,2),"n.a.")</x:f>
        <x:v>0</x:v>
      </x:c>
      <x:c r="R378" s="22" t="n">
        <x:f>IF(T378="Ready",ROUND(Q378-M378,2),"n.a.")</x:f>
        <x:v>0</x:v>
      </x:c>
      <x:c r="S378" s="22" t="n">
        <x:f>IF(T378="Ready",MAX(0,ROUND(I378+M378-Q378,2)),"n.a.")</x:f>
        <x:v>0</x:v>
      </x:c>
      <x:c r="T378" s="22" t="str">
        <x:f>IF(AND(COUNT($I$377:$I$381)=5,COUNT(E378:F378)=2),IF(E378&gt;=F378,"Ready","Budget below minima"),"Check inputs")</x:f>
        <x:v>Ready</x:v>
      </x:c>
      <x:c r="U378" s="22" t="n">
        <x:f>IF(COUNT(I378,M378,N378)=3,MAX(0,ROUND(I378+M378-N378,2)),"n.a.")</x:f>
        <x:v>0</x:v>
      </x:c>
    </x:row>
    <x:row r="379" ht="22" customHeight="1">
      <x:c r="A379" s="2"/>
      <x:c r="B379" s="2"/>
      <x:c r="C379" s="27" t="n">
        <x:f>75</x:f>
        <x:v>75</x:v>
      </x:c>
      <x:c r="D379" s="28" t="n">
        <x:f>IF(ISNUMBER('Inputs'!$D$7),EDATE('Inputs'!$D$7,74),"n.a.")</x:f>
        <x:v>48580</x:v>
      </x:c>
      <x:c r="E379" s="26" t="n">
        <x:f>IF('Inputs'!$D$9&lt;&gt;"Ready","n.a.",IF(ISNUMBER('Inputs'!E93),IF('Inputs'!E93&gt;=0,'Inputs'!E93,"n.a."),IF('Inputs'!E93="",'Inputs'!$D$6,"n.a.")))</x:f>
        <x:v>500</x:v>
      </x:c>
      <x:c r="F379" s="22" t="n">
        <x:f>IF(COUNT($N$377:$N$381)=5,SUM($N$377:$N$381),"n.a.")</x:f>
        <x:v>0</x:v>
      </x:c>
      <x:c r="G379" s="22" t="n">
        <x:f>IF(COUNT(E379:F379)=2,MAX(0,E379-F379),"n.a.")</x:f>
        <x:v>500</x:v>
      </x:c>
      <x:c r="H379" s="26" t="str">
        <x:f>'Inputs'!C13</x:f>
        <x:v>Loan C</x:v>
      </x:c>
      <x:c r="I379" s="26" t="n">
        <x:f>S374</x:f>
        <x:v>0</x:v>
      </x:c>
      <x:c r="J379" s="29" t="n">
        <x:f>IF('Inputs'!$D$9="Ready",'Inputs'!E13,"n.a.")</x:f>
        <x:v>0.08</x:v>
      </x:c>
      <x:c r="K379" s="26" t="n">
        <x:f>IF('Inputs'!$D$9="Ready",'Inputs'!F13,"n.a.")</x:f>
        <x:v>150</x:v>
      </x:c>
      <x:c r="L379" s="29" t="n">
        <x:f>IF('Inputs'!$D$9="Ready",'Inputs'!G13,"n.a.")</x:f>
        <x:v>0</x:v>
      </x:c>
      <x:c r="M379" s="22" t="n">
        <x:f>IF(COUNT(I379:L379)=4,ROUND(I379*J379/12,2),"n.a.")</x:f>
        <x:v>0</x:v>
      </x:c>
      <x:c r="N379" s="22" t="n">
        <x:f>IF(COUNT(I379:M379)=5,MIN(I379+M379,ROUND(MAX(K379,I379*L379+M379),2)),"n.a.")</x:f>
        <x:v>0</x:v>
      </x:c>
      <x:c r="O379" s="30" t="n">
        <x:f>IF(COUNT($I$377:$I$381)&lt;&gt;5,"n.a.",IF(I379=0,6,IF('Inputs'!$D$5=1,COUNTIFS($I$377:$I$381,"&gt;0",$I$377:$I$381,"&lt;"&amp;I379)+COUNTIFS($I$377:I379,I379),COUNTIFS($I$377:$I$381,"&gt;0",$J$377:$J$381,"&gt;"&amp;J379)+COUNTIFS($I$377:I379,"&gt;0",$J$377:J379,J379))))</x:f>
        <x:v>6</x:v>
      </x:c>
      <x:c r="P379" s="22" t="n">
        <x:f>IF(T379="Ready",MIN(U379,MAX(0,G379-SUMIFS($U$377:$U$381,$O$377:$O$381,"&lt;"&amp;O379))),"n.a.")</x:f>
        <x:v>0</x:v>
      </x:c>
      <x:c r="Q379" s="22" t="n">
        <x:f>IF(T379="Ready",ROUND(N379+P379,2),"n.a.")</x:f>
        <x:v>0</x:v>
      </x:c>
      <x:c r="R379" s="22" t="n">
        <x:f>IF(T379="Ready",ROUND(Q379-M379,2),"n.a.")</x:f>
        <x:v>0</x:v>
      </x:c>
      <x:c r="S379" s="22" t="n">
        <x:f>IF(T379="Ready",MAX(0,ROUND(I379+M379-Q379,2)),"n.a.")</x:f>
        <x:v>0</x:v>
      </x:c>
      <x:c r="T379" s="22" t="str">
        <x:f>IF(AND(COUNT($I$377:$I$381)=5,COUNT(E379:F379)=2),IF(E379&gt;=F379,"Ready","Budget below minima"),"Check inputs")</x:f>
        <x:v>Ready</x:v>
      </x:c>
      <x:c r="U379" s="22" t="n">
        <x:f>IF(COUNT(I379,M379,N379)=3,MAX(0,ROUND(I379+M379-N379,2)),"n.a.")</x:f>
        <x:v>0</x:v>
      </x:c>
    </x:row>
    <x:row r="380" ht="22" customHeight="1">
      <x:c r="A380" s="2"/>
      <x:c r="B380" s="2"/>
      <x:c r="C380" s="27" t="n">
        <x:f>75</x:f>
        <x:v>75</x:v>
      </x:c>
      <x:c r="D380" s="28" t="n">
        <x:f>IF(ISNUMBER('Inputs'!$D$7),EDATE('Inputs'!$D$7,74),"n.a.")</x:f>
        <x:v>48580</x:v>
      </x:c>
      <x:c r="E380" s="26" t="n">
        <x:f>IF('Inputs'!$D$9&lt;&gt;"Ready","n.a.",IF(ISNUMBER('Inputs'!E93),IF('Inputs'!E93&gt;=0,'Inputs'!E93,"n.a."),IF('Inputs'!E93="",'Inputs'!$D$6,"n.a.")))</x:f>
        <x:v>500</x:v>
      </x:c>
      <x:c r="F380" s="22" t="n">
        <x:f>IF(COUNT($N$377:$N$381)=5,SUM($N$377:$N$381),"n.a.")</x:f>
        <x:v>0</x:v>
      </x:c>
      <x:c r="G380" s="22" t="n">
        <x:f>IF(COUNT(E380:F380)=2,MAX(0,E380-F380),"n.a.")</x:f>
        <x:v>500</x:v>
      </x:c>
      <x:c r="H380" s="26" t="str">
        <x:f>'Inputs'!C14</x:f>
        <x:v>Unused 4</x:v>
      </x:c>
      <x:c r="I380" s="26" t="n">
        <x:f>S375</x:f>
        <x:v>0</x:v>
      </x:c>
      <x:c r="J380" s="29" t="n">
        <x:f>IF('Inputs'!$D$9="Ready",'Inputs'!E14,"n.a.")</x:f>
        <x:v>0</x:v>
      </x:c>
      <x:c r="K380" s="26" t="n">
        <x:f>IF('Inputs'!$D$9="Ready",'Inputs'!F14,"n.a.")</x:f>
        <x:v>0</x:v>
      </x:c>
      <x:c r="L380" s="29" t="n">
        <x:f>IF('Inputs'!$D$9="Ready",'Inputs'!G14,"n.a.")</x:f>
        <x:v>0</x:v>
      </x:c>
      <x:c r="M380" s="22" t="n">
        <x:f>IF(COUNT(I380:L380)=4,ROUND(I380*J380/12,2),"n.a.")</x:f>
        <x:v>0</x:v>
      </x:c>
      <x:c r="N380" s="22" t="n">
        <x:f>IF(COUNT(I380:M380)=5,MIN(I380+M380,ROUND(MAX(K380,I380*L380+M380),2)),"n.a.")</x:f>
        <x:v>0</x:v>
      </x:c>
      <x:c r="O380" s="30" t="n">
        <x:f>IF(COUNT($I$377:$I$381)&lt;&gt;5,"n.a.",IF(I380=0,6,IF('Inputs'!$D$5=1,COUNTIFS($I$377:$I$381,"&gt;0",$I$377:$I$381,"&lt;"&amp;I380)+COUNTIFS($I$377:I380,I380),COUNTIFS($I$377:$I$381,"&gt;0",$J$377:$J$381,"&gt;"&amp;J380)+COUNTIFS($I$377:I380,"&gt;0",$J$377:J380,J380))))</x:f>
        <x:v>6</x:v>
      </x:c>
      <x:c r="P380" s="22" t="n">
        <x:f>IF(T380="Ready",MIN(U380,MAX(0,G380-SUMIFS($U$377:$U$381,$O$377:$O$381,"&lt;"&amp;O380))),"n.a.")</x:f>
        <x:v>0</x:v>
      </x:c>
      <x:c r="Q380" s="22" t="n">
        <x:f>IF(T380="Ready",ROUND(N380+P380,2),"n.a.")</x:f>
        <x:v>0</x:v>
      </x:c>
      <x:c r="R380" s="22" t="n">
        <x:f>IF(T380="Ready",ROUND(Q380-M380,2),"n.a.")</x:f>
        <x:v>0</x:v>
      </x:c>
      <x:c r="S380" s="22" t="n">
        <x:f>IF(T380="Ready",MAX(0,ROUND(I380+M380-Q380,2)),"n.a.")</x:f>
        <x:v>0</x:v>
      </x:c>
      <x:c r="T380" s="22" t="str">
        <x:f>IF(AND(COUNT($I$377:$I$381)=5,COUNT(E380:F380)=2),IF(E380&gt;=F380,"Ready","Budget below minima"),"Check inputs")</x:f>
        <x:v>Ready</x:v>
      </x:c>
      <x:c r="U380" s="22" t="n">
        <x:f>IF(COUNT(I380,M380,N380)=3,MAX(0,ROUND(I380+M380-N380,2)),"n.a.")</x:f>
        <x:v>0</x:v>
      </x:c>
    </x:row>
    <x:row r="381" ht="22" customHeight="1">
      <x:c r="A381" s="2"/>
      <x:c r="B381" s="2"/>
      <x:c r="C381" s="27" t="n">
        <x:f>75</x:f>
        <x:v>75</x:v>
      </x:c>
      <x:c r="D381" s="28" t="n">
        <x:f>IF(ISNUMBER('Inputs'!$D$7),EDATE('Inputs'!$D$7,74),"n.a.")</x:f>
        <x:v>48580</x:v>
      </x:c>
      <x:c r="E381" s="26" t="n">
        <x:f>IF('Inputs'!$D$9&lt;&gt;"Ready","n.a.",IF(ISNUMBER('Inputs'!E93),IF('Inputs'!E93&gt;=0,'Inputs'!E93,"n.a."),IF('Inputs'!E93="",'Inputs'!$D$6,"n.a.")))</x:f>
        <x:v>500</x:v>
      </x:c>
      <x:c r="F381" s="22" t="n">
        <x:f>IF(COUNT($N$377:$N$381)=5,SUM($N$377:$N$381),"n.a.")</x:f>
        <x:v>0</x:v>
      </x:c>
      <x:c r="G381" s="22" t="n">
        <x:f>IF(COUNT(E381:F381)=2,MAX(0,E381-F381),"n.a.")</x:f>
        <x:v>500</x:v>
      </x:c>
      <x:c r="H381" s="26" t="str">
        <x:f>'Inputs'!C15</x:f>
        <x:v>Unused 5</x:v>
      </x:c>
      <x:c r="I381" s="26" t="n">
        <x:f>S376</x:f>
        <x:v>0</x:v>
      </x:c>
      <x:c r="J381" s="29" t="n">
        <x:f>IF('Inputs'!$D$9="Ready",'Inputs'!E15,"n.a.")</x:f>
        <x:v>0</x:v>
      </x:c>
      <x:c r="K381" s="26" t="n">
        <x:f>IF('Inputs'!$D$9="Ready",'Inputs'!F15,"n.a.")</x:f>
        <x:v>0</x:v>
      </x:c>
      <x:c r="L381" s="29" t="n">
        <x:f>IF('Inputs'!$D$9="Ready",'Inputs'!G15,"n.a.")</x:f>
        <x:v>0</x:v>
      </x:c>
      <x:c r="M381" s="22" t="n">
        <x:f>IF(COUNT(I381:L381)=4,ROUND(I381*J381/12,2),"n.a.")</x:f>
        <x:v>0</x:v>
      </x:c>
      <x:c r="N381" s="22" t="n">
        <x:f>IF(COUNT(I381:M381)=5,MIN(I381+M381,ROUND(MAX(K381,I381*L381+M381),2)),"n.a.")</x:f>
        <x:v>0</x:v>
      </x:c>
      <x:c r="O381" s="30" t="n">
        <x:f>IF(COUNT($I$377:$I$381)&lt;&gt;5,"n.a.",IF(I381=0,6,IF('Inputs'!$D$5=1,COUNTIFS($I$377:$I$381,"&gt;0",$I$377:$I$381,"&lt;"&amp;I381)+COUNTIFS($I$377:I381,I381),COUNTIFS($I$377:$I$381,"&gt;0",$J$377:$J$381,"&gt;"&amp;J381)+COUNTIFS($I$377:I381,"&gt;0",$J$377:J381,J381))))</x:f>
        <x:v>6</x:v>
      </x:c>
      <x:c r="P381" s="22" t="n">
        <x:f>IF(T381="Ready",MIN(U381,MAX(0,G381-SUMIFS($U$377:$U$381,$O$377:$O$381,"&lt;"&amp;O381))),"n.a.")</x:f>
        <x:v>0</x:v>
      </x:c>
      <x:c r="Q381" s="22" t="n">
        <x:f>IF(T381="Ready",ROUND(N381+P381,2),"n.a.")</x:f>
        <x:v>0</x:v>
      </x:c>
      <x:c r="R381" s="22" t="n">
        <x:f>IF(T381="Ready",ROUND(Q381-M381,2),"n.a.")</x:f>
        <x:v>0</x:v>
      </x:c>
      <x:c r="S381" s="22" t="n">
        <x:f>IF(T381="Ready",MAX(0,ROUND(I381+M381-Q381,2)),"n.a.")</x:f>
        <x:v>0</x:v>
      </x:c>
      <x:c r="T381" s="22" t="str">
        <x:f>IF(AND(COUNT($I$377:$I$381)=5,COUNT(E381:F381)=2),IF(E381&gt;=F381,"Ready","Budget below minima"),"Check inputs")</x:f>
        <x:v>Ready</x:v>
      </x:c>
      <x:c r="U381" s="22" t="n">
        <x:f>IF(COUNT(I381,M381,N381)=3,MAX(0,ROUND(I381+M381-N381,2)),"n.a.")</x:f>
        <x:v>0</x:v>
      </x:c>
    </x:row>
    <x:row r="382" ht="22" customHeight="1">
      <x:c r="A382" s="2"/>
      <x:c r="B382" s="2"/>
      <x:c r="C382" s="27" t="n">
        <x:f>76</x:f>
        <x:v>76</x:v>
      </x:c>
      <x:c r="D382" s="28" t="n">
        <x:f>IF(ISNUMBER('Inputs'!$D$7),EDATE('Inputs'!$D$7,75),"n.a.")</x:f>
        <x:v>48611</x:v>
      </x:c>
      <x:c r="E382" s="26" t="n">
        <x:f>IF('Inputs'!$D$9&lt;&gt;"Ready","n.a.",IF(ISNUMBER('Inputs'!E94),IF('Inputs'!E94&gt;=0,'Inputs'!E94,"n.a."),IF('Inputs'!E94="",'Inputs'!$D$6,"n.a.")))</x:f>
        <x:v>500</x:v>
      </x:c>
      <x:c r="F382" s="22" t="n">
        <x:f>IF(COUNT($N$382:$N$386)=5,SUM($N$382:$N$386),"n.a.")</x:f>
        <x:v>0</x:v>
      </x:c>
      <x:c r="G382" s="22" t="n">
        <x:f>IF(COUNT(E382:F382)=2,MAX(0,E382-F382),"n.a.")</x:f>
        <x:v>500</x:v>
      </x:c>
      <x:c r="H382" s="26" t="str">
        <x:f>'Inputs'!C11</x:f>
        <x:v>Card A</x:v>
      </x:c>
      <x:c r="I382" s="26" t="n">
        <x:f>S377</x:f>
        <x:v>0</x:v>
      </x:c>
      <x:c r="J382" s="29" t="n">
        <x:f>IF('Inputs'!$D$9="Ready",'Inputs'!E11,"n.a.")</x:f>
        <x:v>0.24</x:v>
      </x:c>
      <x:c r="K382" s="26" t="n">
        <x:f>IF('Inputs'!$D$9="Ready",'Inputs'!F11,"n.a.")</x:f>
        <x:v>35</x:v>
      </x:c>
      <x:c r="L382" s="29" t="n">
        <x:f>IF('Inputs'!$D$9="Ready",'Inputs'!G11,"n.a.")</x:f>
        <x:v>0.02</x:v>
      </x:c>
      <x:c r="M382" s="22" t="n">
        <x:f>IF(COUNT(I382:L382)=4,ROUND(I382*J382/12,2),"n.a.")</x:f>
        <x:v>0</x:v>
      </x:c>
      <x:c r="N382" s="22" t="n">
        <x:f>IF(COUNT(I382:M382)=5,MIN(I382+M382,ROUND(MAX(K382,I382*L382+M382),2)),"n.a.")</x:f>
        <x:v>0</x:v>
      </x:c>
      <x:c r="O382" s="30" t="n">
        <x:f>IF(COUNT($I$382:$I$386)&lt;&gt;5,"n.a.",IF(I382=0,6,IF('Inputs'!$D$5=1,COUNTIFS($I$382:$I$386,"&gt;0",$I$382:$I$386,"&lt;"&amp;I382)+COUNTIFS($I$382:I382,I382),COUNTIFS($I$382:$I$386,"&gt;0",$J$382:$J$386,"&gt;"&amp;J382)+COUNTIFS($I$382:I382,"&gt;0",$J$382:J382,J382))))</x:f>
        <x:v>6</x:v>
      </x:c>
      <x:c r="P382" s="22" t="n">
        <x:f>IF(T382="Ready",MIN(U382,MAX(0,G382-SUMIFS($U$382:$U$386,$O$382:$O$386,"&lt;"&amp;O382))),"n.a.")</x:f>
        <x:v>0</x:v>
      </x:c>
      <x:c r="Q382" s="22" t="n">
        <x:f>IF(T382="Ready",ROUND(N382+P382,2),"n.a.")</x:f>
        <x:v>0</x:v>
      </x:c>
      <x:c r="R382" s="22" t="n">
        <x:f>IF(T382="Ready",ROUND(Q382-M382,2),"n.a.")</x:f>
        <x:v>0</x:v>
      </x:c>
      <x:c r="S382" s="22" t="n">
        <x:f>IF(T382="Ready",MAX(0,ROUND(I382+M382-Q382,2)),"n.a.")</x:f>
        <x:v>0</x:v>
      </x:c>
      <x:c r="T382" s="22" t="str">
        <x:f>IF(AND(COUNT($I$382:$I$386)=5,COUNT(E382:F382)=2),IF(E382&gt;=F382,"Ready","Budget below minima"),"Check inputs")</x:f>
        <x:v>Ready</x:v>
      </x:c>
      <x:c r="U382" s="22" t="n">
        <x:f>IF(COUNT(I382,M382,N382)=3,MAX(0,ROUND(I382+M382-N382,2)),"n.a.")</x:f>
        <x:v>0</x:v>
      </x:c>
    </x:row>
    <x:row r="383" ht="22" customHeight="1">
      <x:c r="A383" s="2"/>
      <x:c r="B383" s="2"/>
      <x:c r="C383" s="27" t="n">
        <x:f>76</x:f>
        <x:v>76</x:v>
      </x:c>
      <x:c r="D383" s="28" t="n">
        <x:f>IF(ISNUMBER('Inputs'!$D$7),EDATE('Inputs'!$D$7,75),"n.a.")</x:f>
        <x:v>48611</x:v>
      </x:c>
      <x:c r="E383" s="26" t="n">
        <x:f>IF('Inputs'!$D$9&lt;&gt;"Ready","n.a.",IF(ISNUMBER('Inputs'!E94),IF('Inputs'!E94&gt;=0,'Inputs'!E94,"n.a."),IF('Inputs'!E94="",'Inputs'!$D$6,"n.a.")))</x:f>
        <x:v>500</x:v>
      </x:c>
      <x:c r="F383" s="22" t="n">
        <x:f>IF(COUNT($N$382:$N$386)=5,SUM($N$382:$N$386),"n.a.")</x:f>
        <x:v>0</x:v>
      </x:c>
      <x:c r="G383" s="22" t="n">
        <x:f>IF(COUNT(E383:F383)=2,MAX(0,E383-F383),"n.a.")</x:f>
        <x:v>500</x:v>
      </x:c>
      <x:c r="H383" s="26" t="str">
        <x:f>'Inputs'!C12</x:f>
        <x:v>Card B</x:v>
      </x:c>
      <x:c r="I383" s="26" t="n">
        <x:f>S378</x:f>
        <x:v>0</x:v>
      </x:c>
      <x:c r="J383" s="29" t="n">
        <x:f>IF('Inputs'!$D$9="Ready",'Inputs'!E12,"n.a.")</x:f>
        <x:v>0.18</x:v>
      </x:c>
      <x:c r="K383" s="26" t="n">
        <x:f>IF('Inputs'!$D$9="Ready",'Inputs'!F12,"n.a.")</x:f>
        <x:v>60</x:v>
      </x:c>
      <x:c r="L383" s="29" t="n">
        <x:f>IF('Inputs'!$D$9="Ready",'Inputs'!G12,"n.a.")</x:f>
        <x:v>0.02</x:v>
      </x:c>
      <x:c r="M383" s="22" t="n">
        <x:f>IF(COUNT(I383:L383)=4,ROUND(I383*J383/12,2),"n.a.")</x:f>
        <x:v>0</x:v>
      </x:c>
      <x:c r="N383" s="22" t="n">
        <x:f>IF(COUNT(I383:M383)=5,MIN(I383+M383,ROUND(MAX(K383,I383*L383+M383),2)),"n.a.")</x:f>
        <x:v>0</x:v>
      </x:c>
      <x:c r="O383" s="30" t="n">
        <x:f>IF(COUNT($I$382:$I$386)&lt;&gt;5,"n.a.",IF(I383=0,6,IF('Inputs'!$D$5=1,COUNTIFS($I$382:$I$386,"&gt;0",$I$382:$I$386,"&lt;"&amp;I383)+COUNTIFS($I$382:I383,I383),COUNTIFS($I$382:$I$386,"&gt;0",$J$382:$J$386,"&gt;"&amp;J383)+COUNTIFS($I$382:I383,"&gt;0",$J$382:J383,J383))))</x:f>
        <x:v>6</x:v>
      </x:c>
      <x:c r="P383" s="22" t="n">
        <x:f>IF(T383="Ready",MIN(U383,MAX(0,G383-SUMIFS($U$382:$U$386,$O$382:$O$386,"&lt;"&amp;O383))),"n.a.")</x:f>
        <x:v>0</x:v>
      </x:c>
      <x:c r="Q383" s="22" t="n">
        <x:f>IF(T383="Ready",ROUND(N383+P383,2),"n.a.")</x:f>
        <x:v>0</x:v>
      </x:c>
      <x:c r="R383" s="22" t="n">
        <x:f>IF(T383="Ready",ROUND(Q383-M383,2),"n.a.")</x:f>
        <x:v>0</x:v>
      </x:c>
      <x:c r="S383" s="22" t="n">
        <x:f>IF(T383="Ready",MAX(0,ROUND(I383+M383-Q383,2)),"n.a.")</x:f>
        <x:v>0</x:v>
      </x:c>
      <x:c r="T383" s="22" t="str">
        <x:f>IF(AND(COUNT($I$382:$I$386)=5,COUNT(E383:F383)=2),IF(E383&gt;=F383,"Ready","Budget below minima"),"Check inputs")</x:f>
        <x:v>Ready</x:v>
      </x:c>
      <x:c r="U383" s="22" t="n">
        <x:f>IF(COUNT(I383,M383,N383)=3,MAX(0,ROUND(I383+M383-N383,2)),"n.a.")</x:f>
        <x:v>0</x:v>
      </x:c>
    </x:row>
    <x:row r="384" ht="22" customHeight="1">
      <x:c r="A384" s="2"/>
      <x:c r="B384" s="2"/>
      <x:c r="C384" s="27" t="n">
        <x:f>76</x:f>
        <x:v>76</x:v>
      </x:c>
      <x:c r="D384" s="28" t="n">
        <x:f>IF(ISNUMBER('Inputs'!$D$7),EDATE('Inputs'!$D$7,75),"n.a.")</x:f>
        <x:v>48611</x:v>
      </x:c>
      <x:c r="E384" s="26" t="n">
        <x:f>IF('Inputs'!$D$9&lt;&gt;"Ready","n.a.",IF(ISNUMBER('Inputs'!E94),IF('Inputs'!E94&gt;=0,'Inputs'!E94,"n.a."),IF('Inputs'!E94="",'Inputs'!$D$6,"n.a.")))</x:f>
        <x:v>500</x:v>
      </x:c>
      <x:c r="F384" s="22" t="n">
        <x:f>IF(COUNT($N$382:$N$386)=5,SUM($N$382:$N$386),"n.a.")</x:f>
        <x:v>0</x:v>
      </x:c>
      <x:c r="G384" s="22" t="n">
        <x:f>IF(COUNT(E384:F384)=2,MAX(0,E384-F384),"n.a.")</x:f>
        <x:v>500</x:v>
      </x:c>
      <x:c r="H384" s="26" t="str">
        <x:f>'Inputs'!C13</x:f>
        <x:v>Loan C</x:v>
      </x:c>
      <x:c r="I384" s="26" t="n">
        <x:f>S379</x:f>
        <x:v>0</x:v>
      </x:c>
      <x:c r="J384" s="29" t="n">
        <x:f>IF('Inputs'!$D$9="Ready",'Inputs'!E13,"n.a.")</x:f>
        <x:v>0.08</x:v>
      </x:c>
      <x:c r="K384" s="26" t="n">
        <x:f>IF('Inputs'!$D$9="Ready",'Inputs'!F13,"n.a.")</x:f>
        <x:v>150</x:v>
      </x:c>
      <x:c r="L384" s="29" t="n">
        <x:f>IF('Inputs'!$D$9="Ready",'Inputs'!G13,"n.a.")</x:f>
        <x:v>0</x:v>
      </x:c>
      <x:c r="M384" s="22" t="n">
        <x:f>IF(COUNT(I384:L384)=4,ROUND(I384*J384/12,2),"n.a.")</x:f>
        <x:v>0</x:v>
      </x:c>
      <x:c r="N384" s="22" t="n">
        <x:f>IF(COUNT(I384:M384)=5,MIN(I384+M384,ROUND(MAX(K384,I384*L384+M384),2)),"n.a.")</x:f>
        <x:v>0</x:v>
      </x:c>
      <x:c r="O384" s="30" t="n">
        <x:f>IF(COUNT($I$382:$I$386)&lt;&gt;5,"n.a.",IF(I384=0,6,IF('Inputs'!$D$5=1,COUNTIFS($I$382:$I$386,"&gt;0",$I$382:$I$386,"&lt;"&amp;I384)+COUNTIFS($I$382:I384,I384),COUNTIFS($I$382:$I$386,"&gt;0",$J$382:$J$386,"&gt;"&amp;J384)+COUNTIFS($I$382:I384,"&gt;0",$J$382:J384,J384))))</x:f>
        <x:v>6</x:v>
      </x:c>
      <x:c r="P384" s="22" t="n">
        <x:f>IF(T384="Ready",MIN(U384,MAX(0,G384-SUMIFS($U$382:$U$386,$O$382:$O$386,"&lt;"&amp;O384))),"n.a.")</x:f>
        <x:v>0</x:v>
      </x:c>
      <x:c r="Q384" s="22" t="n">
        <x:f>IF(T384="Ready",ROUND(N384+P384,2),"n.a.")</x:f>
        <x:v>0</x:v>
      </x:c>
      <x:c r="R384" s="22" t="n">
        <x:f>IF(T384="Ready",ROUND(Q384-M384,2),"n.a.")</x:f>
        <x:v>0</x:v>
      </x:c>
      <x:c r="S384" s="22" t="n">
        <x:f>IF(T384="Ready",MAX(0,ROUND(I384+M384-Q384,2)),"n.a.")</x:f>
        <x:v>0</x:v>
      </x:c>
      <x:c r="T384" s="22" t="str">
        <x:f>IF(AND(COUNT($I$382:$I$386)=5,COUNT(E384:F384)=2),IF(E384&gt;=F384,"Ready","Budget below minima"),"Check inputs")</x:f>
        <x:v>Ready</x:v>
      </x:c>
      <x:c r="U384" s="22" t="n">
        <x:f>IF(COUNT(I384,M384,N384)=3,MAX(0,ROUND(I384+M384-N384,2)),"n.a.")</x:f>
        <x:v>0</x:v>
      </x:c>
    </x:row>
    <x:row r="385" ht="22" customHeight="1">
      <x:c r="A385" s="2"/>
      <x:c r="B385" s="2"/>
      <x:c r="C385" s="27" t="n">
        <x:f>76</x:f>
        <x:v>76</x:v>
      </x:c>
      <x:c r="D385" s="28" t="n">
        <x:f>IF(ISNUMBER('Inputs'!$D$7),EDATE('Inputs'!$D$7,75),"n.a.")</x:f>
        <x:v>48611</x:v>
      </x:c>
      <x:c r="E385" s="26" t="n">
        <x:f>IF('Inputs'!$D$9&lt;&gt;"Ready","n.a.",IF(ISNUMBER('Inputs'!E94),IF('Inputs'!E94&gt;=0,'Inputs'!E94,"n.a."),IF('Inputs'!E94="",'Inputs'!$D$6,"n.a.")))</x:f>
        <x:v>500</x:v>
      </x:c>
      <x:c r="F385" s="22" t="n">
        <x:f>IF(COUNT($N$382:$N$386)=5,SUM($N$382:$N$386),"n.a.")</x:f>
        <x:v>0</x:v>
      </x:c>
      <x:c r="G385" s="22" t="n">
        <x:f>IF(COUNT(E385:F385)=2,MAX(0,E385-F385),"n.a.")</x:f>
        <x:v>500</x:v>
      </x:c>
      <x:c r="H385" s="26" t="str">
        <x:f>'Inputs'!C14</x:f>
        <x:v>Unused 4</x:v>
      </x:c>
      <x:c r="I385" s="26" t="n">
        <x:f>S380</x:f>
        <x:v>0</x:v>
      </x:c>
      <x:c r="J385" s="29" t="n">
        <x:f>IF('Inputs'!$D$9="Ready",'Inputs'!E14,"n.a.")</x:f>
        <x:v>0</x:v>
      </x:c>
      <x:c r="K385" s="26" t="n">
        <x:f>IF('Inputs'!$D$9="Ready",'Inputs'!F14,"n.a.")</x:f>
        <x:v>0</x:v>
      </x:c>
      <x:c r="L385" s="29" t="n">
        <x:f>IF('Inputs'!$D$9="Ready",'Inputs'!G14,"n.a.")</x:f>
        <x:v>0</x:v>
      </x:c>
      <x:c r="M385" s="22" t="n">
        <x:f>IF(COUNT(I385:L385)=4,ROUND(I385*J385/12,2),"n.a.")</x:f>
        <x:v>0</x:v>
      </x:c>
      <x:c r="N385" s="22" t="n">
        <x:f>IF(COUNT(I385:M385)=5,MIN(I385+M385,ROUND(MAX(K385,I385*L385+M385),2)),"n.a.")</x:f>
        <x:v>0</x:v>
      </x:c>
      <x:c r="O385" s="30" t="n">
        <x:f>IF(COUNT($I$382:$I$386)&lt;&gt;5,"n.a.",IF(I385=0,6,IF('Inputs'!$D$5=1,COUNTIFS($I$382:$I$386,"&gt;0",$I$382:$I$386,"&lt;"&amp;I385)+COUNTIFS($I$382:I385,I385),COUNTIFS($I$382:$I$386,"&gt;0",$J$382:$J$386,"&gt;"&amp;J385)+COUNTIFS($I$382:I385,"&gt;0",$J$382:J385,J385))))</x:f>
        <x:v>6</x:v>
      </x:c>
      <x:c r="P385" s="22" t="n">
        <x:f>IF(T385="Ready",MIN(U385,MAX(0,G385-SUMIFS($U$382:$U$386,$O$382:$O$386,"&lt;"&amp;O385))),"n.a.")</x:f>
        <x:v>0</x:v>
      </x:c>
      <x:c r="Q385" s="22" t="n">
        <x:f>IF(T385="Ready",ROUND(N385+P385,2),"n.a.")</x:f>
        <x:v>0</x:v>
      </x:c>
      <x:c r="R385" s="22" t="n">
        <x:f>IF(T385="Ready",ROUND(Q385-M385,2),"n.a.")</x:f>
        <x:v>0</x:v>
      </x:c>
      <x:c r="S385" s="22" t="n">
        <x:f>IF(T385="Ready",MAX(0,ROUND(I385+M385-Q385,2)),"n.a.")</x:f>
        <x:v>0</x:v>
      </x:c>
      <x:c r="T385" s="22" t="str">
        <x:f>IF(AND(COUNT($I$382:$I$386)=5,COUNT(E385:F385)=2),IF(E385&gt;=F385,"Ready","Budget below minima"),"Check inputs")</x:f>
        <x:v>Ready</x:v>
      </x:c>
      <x:c r="U385" s="22" t="n">
        <x:f>IF(COUNT(I385,M385,N385)=3,MAX(0,ROUND(I385+M385-N385,2)),"n.a.")</x:f>
        <x:v>0</x:v>
      </x:c>
    </x:row>
    <x:row r="386" ht="22" customHeight="1">
      <x:c r="A386" s="2"/>
      <x:c r="B386" s="2"/>
      <x:c r="C386" s="27" t="n">
        <x:f>76</x:f>
        <x:v>76</x:v>
      </x:c>
      <x:c r="D386" s="28" t="n">
        <x:f>IF(ISNUMBER('Inputs'!$D$7),EDATE('Inputs'!$D$7,75),"n.a.")</x:f>
        <x:v>48611</x:v>
      </x:c>
      <x:c r="E386" s="26" t="n">
        <x:f>IF('Inputs'!$D$9&lt;&gt;"Ready","n.a.",IF(ISNUMBER('Inputs'!E94),IF('Inputs'!E94&gt;=0,'Inputs'!E94,"n.a."),IF('Inputs'!E94="",'Inputs'!$D$6,"n.a.")))</x:f>
        <x:v>500</x:v>
      </x:c>
      <x:c r="F386" s="22" t="n">
        <x:f>IF(COUNT($N$382:$N$386)=5,SUM($N$382:$N$386),"n.a.")</x:f>
        <x:v>0</x:v>
      </x:c>
      <x:c r="G386" s="22" t="n">
        <x:f>IF(COUNT(E386:F386)=2,MAX(0,E386-F386),"n.a.")</x:f>
        <x:v>500</x:v>
      </x:c>
      <x:c r="H386" s="26" t="str">
        <x:f>'Inputs'!C15</x:f>
        <x:v>Unused 5</x:v>
      </x:c>
      <x:c r="I386" s="26" t="n">
        <x:f>S381</x:f>
        <x:v>0</x:v>
      </x:c>
      <x:c r="J386" s="29" t="n">
        <x:f>IF('Inputs'!$D$9="Ready",'Inputs'!E15,"n.a.")</x:f>
        <x:v>0</x:v>
      </x:c>
      <x:c r="K386" s="26" t="n">
        <x:f>IF('Inputs'!$D$9="Ready",'Inputs'!F15,"n.a.")</x:f>
        <x:v>0</x:v>
      </x:c>
      <x:c r="L386" s="29" t="n">
        <x:f>IF('Inputs'!$D$9="Ready",'Inputs'!G15,"n.a.")</x:f>
        <x:v>0</x:v>
      </x:c>
      <x:c r="M386" s="22" t="n">
        <x:f>IF(COUNT(I386:L386)=4,ROUND(I386*J386/12,2),"n.a.")</x:f>
        <x:v>0</x:v>
      </x:c>
      <x:c r="N386" s="22" t="n">
        <x:f>IF(COUNT(I386:M386)=5,MIN(I386+M386,ROUND(MAX(K386,I386*L386+M386),2)),"n.a.")</x:f>
        <x:v>0</x:v>
      </x:c>
      <x:c r="O386" s="30" t="n">
        <x:f>IF(COUNT($I$382:$I$386)&lt;&gt;5,"n.a.",IF(I386=0,6,IF('Inputs'!$D$5=1,COUNTIFS($I$382:$I$386,"&gt;0",$I$382:$I$386,"&lt;"&amp;I386)+COUNTIFS($I$382:I386,I386),COUNTIFS($I$382:$I$386,"&gt;0",$J$382:$J$386,"&gt;"&amp;J386)+COUNTIFS($I$382:I386,"&gt;0",$J$382:J386,J386))))</x:f>
        <x:v>6</x:v>
      </x:c>
      <x:c r="P386" s="22" t="n">
        <x:f>IF(T386="Ready",MIN(U386,MAX(0,G386-SUMIFS($U$382:$U$386,$O$382:$O$386,"&lt;"&amp;O386))),"n.a.")</x:f>
        <x:v>0</x:v>
      </x:c>
      <x:c r="Q386" s="22" t="n">
        <x:f>IF(T386="Ready",ROUND(N386+P386,2),"n.a.")</x:f>
        <x:v>0</x:v>
      </x:c>
      <x:c r="R386" s="22" t="n">
        <x:f>IF(T386="Ready",ROUND(Q386-M386,2),"n.a.")</x:f>
        <x:v>0</x:v>
      </x:c>
      <x:c r="S386" s="22" t="n">
        <x:f>IF(T386="Ready",MAX(0,ROUND(I386+M386-Q386,2)),"n.a.")</x:f>
        <x:v>0</x:v>
      </x:c>
      <x:c r="T386" s="22" t="str">
        <x:f>IF(AND(COUNT($I$382:$I$386)=5,COUNT(E386:F386)=2),IF(E386&gt;=F386,"Ready","Budget below minima"),"Check inputs")</x:f>
        <x:v>Ready</x:v>
      </x:c>
      <x:c r="U386" s="22" t="n">
        <x:f>IF(COUNT(I386,M386,N386)=3,MAX(0,ROUND(I386+M386-N386,2)),"n.a.")</x:f>
        <x:v>0</x:v>
      </x:c>
    </x:row>
    <x:row r="387" ht="22" customHeight="1">
      <x:c r="A387" s="2"/>
      <x:c r="B387" s="2"/>
      <x:c r="C387" s="27" t="n">
        <x:f>77</x:f>
        <x:v>77</x:v>
      </x:c>
      <x:c r="D387" s="28" t="n">
        <x:f>IF(ISNUMBER('Inputs'!$D$7),EDATE('Inputs'!$D$7,76),"n.a.")</x:f>
        <x:v>48639</x:v>
      </x:c>
      <x:c r="E387" s="26" t="n">
        <x:f>IF('Inputs'!$D$9&lt;&gt;"Ready","n.a.",IF(ISNUMBER('Inputs'!E95),IF('Inputs'!E95&gt;=0,'Inputs'!E95,"n.a."),IF('Inputs'!E95="",'Inputs'!$D$6,"n.a.")))</x:f>
        <x:v>500</x:v>
      </x:c>
      <x:c r="F387" s="22" t="n">
        <x:f>IF(COUNT($N$387:$N$391)=5,SUM($N$387:$N$391),"n.a.")</x:f>
        <x:v>0</x:v>
      </x:c>
      <x:c r="G387" s="22" t="n">
        <x:f>IF(COUNT(E387:F387)=2,MAX(0,E387-F387),"n.a.")</x:f>
        <x:v>500</x:v>
      </x:c>
      <x:c r="H387" s="26" t="str">
        <x:f>'Inputs'!C11</x:f>
        <x:v>Card A</x:v>
      </x:c>
      <x:c r="I387" s="26" t="n">
        <x:f>S382</x:f>
        <x:v>0</x:v>
      </x:c>
      <x:c r="J387" s="29" t="n">
        <x:f>IF('Inputs'!$D$9="Ready",'Inputs'!E11,"n.a.")</x:f>
        <x:v>0.24</x:v>
      </x:c>
      <x:c r="K387" s="26" t="n">
        <x:f>IF('Inputs'!$D$9="Ready",'Inputs'!F11,"n.a.")</x:f>
        <x:v>35</x:v>
      </x:c>
      <x:c r="L387" s="29" t="n">
        <x:f>IF('Inputs'!$D$9="Ready",'Inputs'!G11,"n.a.")</x:f>
        <x:v>0.02</x:v>
      </x:c>
      <x:c r="M387" s="22" t="n">
        <x:f>IF(COUNT(I387:L387)=4,ROUND(I387*J387/12,2),"n.a.")</x:f>
        <x:v>0</x:v>
      </x:c>
      <x:c r="N387" s="22" t="n">
        <x:f>IF(COUNT(I387:M387)=5,MIN(I387+M387,ROUND(MAX(K387,I387*L387+M387),2)),"n.a.")</x:f>
        <x:v>0</x:v>
      </x:c>
      <x:c r="O387" s="30" t="n">
        <x:f>IF(COUNT($I$387:$I$391)&lt;&gt;5,"n.a.",IF(I387=0,6,IF('Inputs'!$D$5=1,COUNTIFS($I$387:$I$391,"&gt;0",$I$387:$I$391,"&lt;"&amp;I387)+COUNTIFS($I$387:I387,I387),COUNTIFS($I$387:$I$391,"&gt;0",$J$387:$J$391,"&gt;"&amp;J387)+COUNTIFS($I$387:I387,"&gt;0",$J$387:J387,J387))))</x:f>
        <x:v>6</x:v>
      </x:c>
      <x:c r="P387" s="22" t="n">
        <x:f>IF(T387="Ready",MIN(U387,MAX(0,G387-SUMIFS($U$387:$U$391,$O$387:$O$391,"&lt;"&amp;O387))),"n.a.")</x:f>
        <x:v>0</x:v>
      </x:c>
      <x:c r="Q387" s="22" t="n">
        <x:f>IF(T387="Ready",ROUND(N387+P387,2),"n.a.")</x:f>
        <x:v>0</x:v>
      </x:c>
      <x:c r="R387" s="22" t="n">
        <x:f>IF(T387="Ready",ROUND(Q387-M387,2),"n.a.")</x:f>
        <x:v>0</x:v>
      </x:c>
      <x:c r="S387" s="22" t="n">
        <x:f>IF(T387="Ready",MAX(0,ROUND(I387+M387-Q387,2)),"n.a.")</x:f>
        <x:v>0</x:v>
      </x:c>
      <x:c r="T387" s="22" t="str">
        <x:f>IF(AND(COUNT($I$387:$I$391)=5,COUNT(E387:F387)=2),IF(E387&gt;=F387,"Ready","Budget below minima"),"Check inputs")</x:f>
        <x:v>Ready</x:v>
      </x:c>
      <x:c r="U387" s="22" t="n">
        <x:f>IF(COUNT(I387,M387,N387)=3,MAX(0,ROUND(I387+M387-N387,2)),"n.a.")</x:f>
        <x:v>0</x:v>
      </x:c>
    </x:row>
    <x:row r="388" ht="22" customHeight="1">
      <x:c r="A388" s="2"/>
      <x:c r="B388" s="2"/>
      <x:c r="C388" s="27" t="n">
        <x:f>77</x:f>
        <x:v>77</x:v>
      </x:c>
      <x:c r="D388" s="28" t="n">
        <x:f>IF(ISNUMBER('Inputs'!$D$7),EDATE('Inputs'!$D$7,76),"n.a.")</x:f>
        <x:v>48639</x:v>
      </x:c>
      <x:c r="E388" s="26" t="n">
        <x:f>IF('Inputs'!$D$9&lt;&gt;"Ready","n.a.",IF(ISNUMBER('Inputs'!E95),IF('Inputs'!E95&gt;=0,'Inputs'!E95,"n.a."),IF('Inputs'!E95="",'Inputs'!$D$6,"n.a.")))</x:f>
        <x:v>500</x:v>
      </x:c>
      <x:c r="F388" s="22" t="n">
        <x:f>IF(COUNT($N$387:$N$391)=5,SUM($N$387:$N$391),"n.a.")</x:f>
        <x:v>0</x:v>
      </x:c>
      <x:c r="G388" s="22" t="n">
        <x:f>IF(COUNT(E388:F388)=2,MAX(0,E388-F388),"n.a.")</x:f>
        <x:v>500</x:v>
      </x:c>
      <x:c r="H388" s="26" t="str">
        <x:f>'Inputs'!C12</x:f>
        <x:v>Card B</x:v>
      </x:c>
      <x:c r="I388" s="26" t="n">
        <x:f>S383</x:f>
        <x:v>0</x:v>
      </x:c>
      <x:c r="J388" s="29" t="n">
        <x:f>IF('Inputs'!$D$9="Ready",'Inputs'!E12,"n.a.")</x:f>
        <x:v>0.18</x:v>
      </x:c>
      <x:c r="K388" s="26" t="n">
        <x:f>IF('Inputs'!$D$9="Ready",'Inputs'!F12,"n.a.")</x:f>
        <x:v>60</x:v>
      </x:c>
      <x:c r="L388" s="29" t="n">
        <x:f>IF('Inputs'!$D$9="Ready",'Inputs'!G12,"n.a.")</x:f>
        <x:v>0.02</x:v>
      </x:c>
      <x:c r="M388" s="22" t="n">
        <x:f>IF(COUNT(I388:L388)=4,ROUND(I388*J388/12,2),"n.a.")</x:f>
        <x:v>0</x:v>
      </x:c>
      <x:c r="N388" s="22" t="n">
        <x:f>IF(COUNT(I388:M388)=5,MIN(I388+M388,ROUND(MAX(K388,I388*L388+M388),2)),"n.a.")</x:f>
        <x:v>0</x:v>
      </x:c>
      <x:c r="O388" s="30" t="n">
        <x:f>IF(COUNT($I$387:$I$391)&lt;&gt;5,"n.a.",IF(I388=0,6,IF('Inputs'!$D$5=1,COUNTIFS($I$387:$I$391,"&gt;0",$I$387:$I$391,"&lt;"&amp;I388)+COUNTIFS($I$387:I388,I388),COUNTIFS($I$387:$I$391,"&gt;0",$J$387:$J$391,"&gt;"&amp;J388)+COUNTIFS($I$387:I388,"&gt;0",$J$387:J388,J388))))</x:f>
        <x:v>6</x:v>
      </x:c>
      <x:c r="P388" s="22" t="n">
        <x:f>IF(T388="Ready",MIN(U388,MAX(0,G388-SUMIFS($U$387:$U$391,$O$387:$O$391,"&lt;"&amp;O388))),"n.a.")</x:f>
        <x:v>0</x:v>
      </x:c>
      <x:c r="Q388" s="22" t="n">
        <x:f>IF(T388="Ready",ROUND(N388+P388,2),"n.a.")</x:f>
        <x:v>0</x:v>
      </x:c>
      <x:c r="R388" s="22" t="n">
        <x:f>IF(T388="Ready",ROUND(Q388-M388,2),"n.a.")</x:f>
        <x:v>0</x:v>
      </x:c>
      <x:c r="S388" s="22" t="n">
        <x:f>IF(T388="Ready",MAX(0,ROUND(I388+M388-Q388,2)),"n.a.")</x:f>
        <x:v>0</x:v>
      </x:c>
      <x:c r="T388" s="22" t="str">
        <x:f>IF(AND(COUNT($I$387:$I$391)=5,COUNT(E388:F388)=2),IF(E388&gt;=F388,"Ready","Budget below minima"),"Check inputs")</x:f>
        <x:v>Ready</x:v>
      </x:c>
      <x:c r="U388" s="22" t="n">
        <x:f>IF(COUNT(I388,M388,N388)=3,MAX(0,ROUND(I388+M388-N388,2)),"n.a.")</x:f>
        <x:v>0</x:v>
      </x:c>
    </x:row>
    <x:row r="389" ht="22" customHeight="1">
      <x:c r="A389" s="2"/>
      <x:c r="B389" s="2"/>
      <x:c r="C389" s="27" t="n">
        <x:f>77</x:f>
        <x:v>77</x:v>
      </x:c>
      <x:c r="D389" s="28" t="n">
        <x:f>IF(ISNUMBER('Inputs'!$D$7),EDATE('Inputs'!$D$7,76),"n.a.")</x:f>
        <x:v>48639</x:v>
      </x:c>
      <x:c r="E389" s="26" t="n">
        <x:f>IF('Inputs'!$D$9&lt;&gt;"Ready","n.a.",IF(ISNUMBER('Inputs'!E95),IF('Inputs'!E95&gt;=0,'Inputs'!E95,"n.a."),IF('Inputs'!E95="",'Inputs'!$D$6,"n.a.")))</x:f>
        <x:v>500</x:v>
      </x:c>
      <x:c r="F389" s="22" t="n">
        <x:f>IF(COUNT($N$387:$N$391)=5,SUM($N$387:$N$391),"n.a.")</x:f>
        <x:v>0</x:v>
      </x:c>
      <x:c r="G389" s="22" t="n">
        <x:f>IF(COUNT(E389:F389)=2,MAX(0,E389-F389),"n.a.")</x:f>
        <x:v>500</x:v>
      </x:c>
      <x:c r="H389" s="26" t="str">
        <x:f>'Inputs'!C13</x:f>
        <x:v>Loan C</x:v>
      </x:c>
      <x:c r="I389" s="26" t="n">
        <x:f>S384</x:f>
        <x:v>0</x:v>
      </x:c>
      <x:c r="J389" s="29" t="n">
        <x:f>IF('Inputs'!$D$9="Ready",'Inputs'!E13,"n.a.")</x:f>
        <x:v>0.08</x:v>
      </x:c>
      <x:c r="K389" s="26" t="n">
        <x:f>IF('Inputs'!$D$9="Ready",'Inputs'!F13,"n.a.")</x:f>
        <x:v>150</x:v>
      </x:c>
      <x:c r="L389" s="29" t="n">
        <x:f>IF('Inputs'!$D$9="Ready",'Inputs'!G13,"n.a.")</x:f>
        <x:v>0</x:v>
      </x:c>
      <x:c r="M389" s="22" t="n">
        <x:f>IF(COUNT(I389:L389)=4,ROUND(I389*J389/12,2),"n.a.")</x:f>
        <x:v>0</x:v>
      </x:c>
      <x:c r="N389" s="22" t="n">
        <x:f>IF(COUNT(I389:M389)=5,MIN(I389+M389,ROUND(MAX(K389,I389*L389+M389),2)),"n.a.")</x:f>
        <x:v>0</x:v>
      </x:c>
      <x:c r="O389" s="30" t="n">
        <x:f>IF(COUNT($I$387:$I$391)&lt;&gt;5,"n.a.",IF(I389=0,6,IF('Inputs'!$D$5=1,COUNTIFS($I$387:$I$391,"&gt;0",$I$387:$I$391,"&lt;"&amp;I389)+COUNTIFS($I$387:I389,I389),COUNTIFS($I$387:$I$391,"&gt;0",$J$387:$J$391,"&gt;"&amp;J389)+COUNTIFS($I$387:I389,"&gt;0",$J$387:J389,J389))))</x:f>
        <x:v>6</x:v>
      </x:c>
      <x:c r="P389" s="22" t="n">
        <x:f>IF(T389="Ready",MIN(U389,MAX(0,G389-SUMIFS($U$387:$U$391,$O$387:$O$391,"&lt;"&amp;O389))),"n.a.")</x:f>
        <x:v>0</x:v>
      </x:c>
      <x:c r="Q389" s="22" t="n">
        <x:f>IF(T389="Ready",ROUND(N389+P389,2),"n.a.")</x:f>
        <x:v>0</x:v>
      </x:c>
      <x:c r="R389" s="22" t="n">
        <x:f>IF(T389="Ready",ROUND(Q389-M389,2),"n.a.")</x:f>
        <x:v>0</x:v>
      </x:c>
      <x:c r="S389" s="22" t="n">
        <x:f>IF(T389="Ready",MAX(0,ROUND(I389+M389-Q389,2)),"n.a.")</x:f>
        <x:v>0</x:v>
      </x:c>
      <x:c r="T389" s="22" t="str">
        <x:f>IF(AND(COUNT($I$387:$I$391)=5,COUNT(E389:F389)=2),IF(E389&gt;=F389,"Ready","Budget below minima"),"Check inputs")</x:f>
        <x:v>Ready</x:v>
      </x:c>
      <x:c r="U389" s="22" t="n">
        <x:f>IF(COUNT(I389,M389,N389)=3,MAX(0,ROUND(I389+M389-N389,2)),"n.a.")</x:f>
        <x:v>0</x:v>
      </x:c>
    </x:row>
    <x:row r="390" ht="22" customHeight="1">
      <x:c r="A390" s="2"/>
      <x:c r="B390" s="2"/>
      <x:c r="C390" s="27" t="n">
        <x:f>77</x:f>
        <x:v>77</x:v>
      </x:c>
      <x:c r="D390" s="28" t="n">
        <x:f>IF(ISNUMBER('Inputs'!$D$7),EDATE('Inputs'!$D$7,76),"n.a.")</x:f>
        <x:v>48639</x:v>
      </x:c>
      <x:c r="E390" s="26" t="n">
        <x:f>IF('Inputs'!$D$9&lt;&gt;"Ready","n.a.",IF(ISNUMBER('Inputs'!E95),IF('Inputs'!E95&gt;=0,'Inputs'!E95,"n.a."),IF('Inputs'!E95="",'Inputs'!$D$6,"n.a.")))</x:f>
        <x:v>500</x:v>
      </x:c>
      <x:c r="F390" s="22" t="n">
        <x:f>IF(COUNT($N$387:$N$391)=5,SUM($N$387:$N$391),"n.a.")</x:f>
        <x:v>0</x:v>
      </x:c>
      <x:c r="G390" s="22" t="n">
        <x:f>IF(COUNT(E390:F390)=2,MAX(0,E390-F390),"n.a.")</x:f>
        <x:v>500</x:v>
      </x:c>
      <x:c r="H390" s="26" t="str">
        <x:f>'Inputs'!C14</x:f>
        <x:v>Unused 4</x:v>
      </x:c>
      <x:c r="I390" s="26" t="n">
        <x:f>S385</x:f>
        <x:v>0</x:v>
      </x:c>
      <x:c r="J390" s="29" t="n">
        <x:f>IF('Inputs'!$D$9="Ready",'Inputs'!E14,"n.a.")</x:f>
        <x:v>0</x:v>
      </x:c>
      <x:c r="K390" s="26" t="n">
        <x:f>IF('Inputs'!$D$9="Ready",'Inputs'!F14,"n.a.")</x:f>
        <x:v>0</x:v>
      </x:c>
      <x:c r="L390" s="29" t="n">
        <x:f>IF('Inputs'!$D$9="Ready",'Inputs'!G14,"n.a.")</x:f>
        <x:v>0</x:v>
      </x:c>
      <x:c r="M390" s="22" t="n">
        <x:f>IF(COUNT(I390:L390)=4,ROUND(I390*J390/12,2),"n.a.")</x:f>
        <x:v>0</x:v>
      </x:c>
      <x:c r="N390" s="22" t="n">
        <x:f>IF(COUNT(I390:M390)=5,MIN(I390+M390,ROUND(MAX(K390,I390*L390+M390),2)),"n.a.")</x:f>
        <x:v>0</x:v>
      </x:c>
      <x:c r="O390" s="30" t="n">
        <x:f>IF(COUNT($I$387:$I$391)&lt;&gt;5,"n.a.",IF(I390=0,6,IF('Inputs'!$D$5=1,COUNTIFS($I$387:$I$391,"&gt;0",$I$387:$I$391,"&lt;"&amp;I390)+COUNTIFS($I$387:I390,I390),COUNTIFS($I$387:$I$391,"&gt;0",$J$387:$J$391,"&gt;"&amp;J390)+COUNTIFS($I$387:I390,"&gt;0",$J$387:J390,J390))))</x:f>
        <x:v>6</x:v>
      </x:c>
      <x:c r="P390" s="22" t="n">
        <x:f>IF(T390="Ready",MIN(U390,MAX(0,G390-SUMIFS($U$387:$U$391,$O$387:$O$391,"&lt;"&amp;O390))),"n.a.")</x:f>
        <x:v>0</x:v>
      </x:c>
      <x:c r="Q390" s="22" t="n">
        <x:f>IF(T390="Ready",ROUND(N390+P390,2),"n.a.")</x:f>
        <x:v>0</x:v>
      </x:c>
      <x:c r="R390" s="22" t="n">
        <x:f>IF(T390="Ready",ROUND(Q390-M390,2),"n.a.")</x:f>
        <x:v>0</x:v>
      </x:c>
      <x:c r="S390" s="22" t="n">
        <x:f>IF(T390="Ready",MAX(0,ROUND(I390+M390-Q390,2)),"n.a.")</x:f>
        <x:v>0</x:v>
      </x:c>
      <x:c r="T390" s="22" t="str">
        <x:f>IF(AND(COUNT($I$387:$I$391)=5,COUNT(E390:F390)=2),IF(E390&gt;=F390,"Ready","Budget below minima"),"Check inputs")</x:f>
        <x:v>Ready</x:v>
      </x:c>
      <x:c r="U390" s="22" t="n">
        <x:f>IF(COUNT(I390,M390,N390)=3,MAX(0,ROUND(I390+M390-N390,2)),"n.a.")</x:f>
        <x:v>0</x:v>
      </x:c>
    </x:row>
    <x:row r="391" ht="22" customHeight="1">
      <x:c r="A391" s="2"/>
      <x:c r="B391" s="2"/>
      <x:c r="C391" s="27" t="n">
        <x:f>77</x:f>
        <x:v>77</x:v>
      </x:c>
      <x:c r="D391" s="28" t="n">
        <x:f>IF(ISNUMBER('Inputs'!$D$7),EDATE('Inputs'!$D$7,76),"n.a.")</x:f>
        <x:v>48639</x:v>
      </x:c>
      <x:c r="E391" s="26" t="n">
        <x:f>IF('Inputs'!$D$9&lt;&gt;"Ready","n.a.",IF(ISNUMBER('Inputs'!E95),IF('Inputs'!E95&gt;=0,'Inputs'!E95,"n.a."),IF('Inputs'!E95="",'Inputs'!$D$6,"n.a.")))</x:f>
        <x:v>500</x:v>
      </x:c>
      <x:c r="F391" s="22" t="n">
        <x:f>IF(COUNT($N$387:$N$391)=5,SUM($N$387:$N$391),"n.a.")</x:f>
        <x:v>0</x:v>
      </x:c>
      <x:c r="G391" s="22" t="n">
        <x:f>IF(COUNT(E391:F391)=2,MAX(0,E391-F391),"n.a.")</x:f>
        <x:v>500</x:v>
      </x:c>
      <x:c r="H391" s="26" t="str">
        <x:f>'Inputs'!C15</x:f>
        <x:v>Unused 5</x:v>
      </x:c>
      <x:c r="I391" s="26" t="n">
        <x:f>S386</x:f>
        <x:v>0</x:v>
      </x:c>
      <x:c r="J391" s="29" t="n">
        <x:f>IF('Inputs'!$D$9="Ready",'Inputs'!E15,"n.a.")</x:f>
        <x:v>0</x:v>
      </x:c>
      <x:c r="K391" s="26" t="n">
        <x:f>IF('Inputs'!$D$9="Ready",'Inputs'!F15,"n.a.")</x:f>
        <x:v>0</x:v>
      </x:c>
      <x:c r="L391" s="29" t="n">
        <x:f>IF('Inputs'!$D$9="Ready",'Inputs'!G15,"n.a.")</x:f>
        <x:v>0</x:v>
      </x:c>
      <x:c r="M391" s="22" t="n">
        <x:f>IF(COUNT(I391:L391)=4,ROUND(I391*J391/12,2),"n.a.")</x:f>
        <x:v>0</x:v>
      </x:c>
      <x:c r="N391" s="22" t="n">
        <x:f>IF(COUNT(I391:M391)=5,MIN(I391+M391,ROUND(MAX(K391,I391*L391+M391),2)),"n.a.")</x:f>
        <x:v>0</x:v>
      </x:c>
      <x:c r="O391" s="30" t="n">
        <x:f>IF(COUNT($I$387:$I$391)&lt;&gt;5,"n.a.",IF(I391=0,6,IF('Inputs'!$D$5=1,COUNTIFS($I$387:$I$391,"&gt;0",$I$387:$I$391,"&lt;"&amp;I391)+COUNTIFS($I$387:I391,I391),COUNTIFS($I$387:$I$391,"&gt;0",$J$387:$J$391,"&gt;"&amp;J391)+COUNTIFS($I$387:I391,"&gt;0",$J$387:J391,J391))))</x:f>
        <x:v>6</x:v>
      </x:c>
      <x:c r="P391" s="22" t="n">
        <x:f>IF(T391="Ready",MIN(U391,MAX(0,G391-SUMIFS($U$387:$U$391,$O$387:$O$391,"&lt;"&amp;O391))),"n.a.")</x:f>
        <x:v>0</x:v>
      </x:c>
      <x:c r="Q391" s="22" t="n">
        <x:f>IF(T391="Ready",ROUND(N391+P391,2),"n.a.")</x:f>
        <x:v>0</x:v>
      </x:c>
      <x:c r="R391" s="22" t="n">
        <x:f>IF(T391="Ready",ROUND(Q391-M391,2),"n.a.")</x:f>
        <x:v>0</x:v>
      </x:c>
      <x:c r="S391" s="22" t="n">
        <x:f>IF(T391="Ready",MAX(0,ROUND(I391+M391-Q391,2)),"n.a.")</x:f>
        <x:v>0</x:v>
      </x:c>
      <x:c r="T391" s="22" t="str">
        <x:f>IF(AND(COUNT($I$387:$I$391)=5,COUNT(E391:F391)=2),IF(E391&gt;=F391,"Ready","Budget below minima"),"Check inputs")</x:f>
        <x:v>Ready</x:v>
      </x:c>
      <x:c r="U391" s="22" t="n">
        <x:f>IF(COUNT(I391,M391,N391)=3,MAX(0,ROUND(I391+M391-N391,2)),"n.a.")</x:f>
        <x:v>0</x:v>
      </x:c>
    </x:row>
    <x:row r="392" ht="22" customHeight="1">
      <x:c r="A392" s="2"/>
      <x:c r="B392" s="2"/>
      <x:c r="C392" s="27" t="n">
        <x:f>78</x:f>
        <x:v>78</x:v>
      </x:c>
      <x:c r="D392" s="28" t="n">
        <x:f>IF(ISNUMBER('Inputs'!$D$7),EDATE('Inputs'!$D$7,77),"n.a.")</x:f>
        <x:v>48670</x:v>
      </x:c>
      <x:c r="E392" s="26" t="n">
        <x:f>IF('Inputs'!$D$9&lt;&gt;"Ready","n.a.",IF(ISNUMBER('Inputs'!E96),IF('Inputs'!E96&gt;=0,'Inputs'!E96,"n.a."),IF('Inputs'!E96="",'Inputs'!$D$6,"n.a.")))</x:f>
        <x:v>500</x:v>
      </x:c>
      <x:c r="F392" s="22" t="n">
        <x:f>IF(COUNT($N$392:$N$396)=5,SUM($N$392:$N$396),"n.a.")</x:f>
        <x:v>0</x:v>
      </x:c>
      <x:c r="G392" s="22" t="n">
        <x:f>IF(COUNT(E392:F392)=2,MAX(0,E392-F392),"n.a.")</x:f>
        <x:v>500</x:v>
      </x:c>
      <x:c r="H392" s="26" t="str">
        <x:f>'Inputs'!C11</x:f>
        <x:v>Card A</x:v>
      </x:c>
      <x:c r="I392" s="26" t="n">
        <x:f>S387</x:f>
        <x:v>0</x:v>
      </x:c>
      <x:c r="J392" s="29" t="n">
        <x:f>IF('Inputs'!$D$9="Ready",'Inputs'!E11,"n.a.")</x:f>
        <x:v>0.24</x:v>
      </x:c>
      <x:c r="K392" s="26" t="n">
        <x:f>IF('Inputs'!$D$9="Ready",'Inputs'!F11,"n.a.")</x:f>
        <x:v>35</x:v>
      </x:c>
      <x:c r="L392" s="29" t="n">
        <x:f>IF('Inputs'!$D$9="Ready",'Inputs'!G11,"n.a.")</x:f>
        <x:v>0.02</x:v>
      </x:c>
      <x:c r="M392" s="22" t="n">
        <x:f>IF(COUNT(I392:L392)=4,ROUND(I392*J392/12,2),"n.a.")</x:f>
        <x:v>0</x:v>
      </x:c>
      <x:c r="N392" s="22" t="n">
        <x:f>IF(COUNT(I392:M392)=5,MIN(I392+M392,ROUND(MAX(K392,I392*L392+M392),2)),"n.a.")</x:f>
        <x:v>0</x:v>
      </x:c>
      <x:c r="O392" s="30" t="n">
        <x:f>IF(COUNT($I$392:$I$396)&lt;&gt;5,"n.a.",IF(I392=0,6,IF('Inputs'!$D$5=1,COUNTIFS($I$392:$I$396,"&gt;0",$I$392:$I$396,"&lt;"&amp;I392)+COUNTIFS($I$392:I392,I392),COUNTIFS($I$392:$I$396,"&gt;0",$J$392:$J$396,"&gt;"&amp;J392)+COUNTIFS($I$392:I392,"&gt;0",$J$392:J392,J392))))</x:f>
        <x:v>6</x:v>
      </x:c>
      <x:c r="P392" s="22" t="n">
        <x:f>IF(T392="Ready",MIN(U392,MAX(0,G392-SUMIFS($U$392:$U$396,$O$392:$O$396,"&lt;"&amp;O392))),"n.a.")</x:f>
        <x:v>0</x:v>
      </x:c>
      <x:c r="Q392" s="22" t="n">
        <x:f>IF(T392="Ready",ROUND(N392+P392,2),"n.a.")</x:f>
        <x:v>0</x:v>
      </x:c>
      <x:c r="R392" s="22" t="n">
        <x:f>IF(T392="Ready",ROUND(Q392-M392,2),"n.a.")</x:f>
        <x:v>0</x:v>
      </x:c>
      <x:c r="S392" s="22" t="n">
        <x:f>IF(T392="Ready",MAX(0,ROUND(I392+M392-Q392,2)),"n.a.")</x:f>
        <x:v>0</x:v>
      </x:c>
      <x:c r="T392" s="22" t="str">
        <x:f>IF(AND(COUNT($I$392:$I$396)=5,COUNT(E392:F392)=2),IF(E392&gt;=F392,"Ready","Budget below minima"),"Check inputs")</x:f>
        <x:v>Ready</x:v>
      </x:c>
      <x:c r="U392" s="22" t="n">
        <x:f>IF(COUNT(I392,M392,N392)=3,MAX(0,ROUND(I392+M392-N392,2)),"n.a.")</x:f>
        <x:v>0</x:v>
      </x:c>
    </x:row>
    <x:row r="393" ht="22" customHeight="1">
      <x:c r="A393" s="2"/>
      <x:c r="B393" s="2"/>
      <x:c r="C393" s="27" t="n">
        <x:f>78</x:f>
        <x:v>78</x:v>
      </x:c>
      <x:c r="D393" s="28" t="n">
        <x:f>IF(ISNUMBER('Inputs'!$D$7),EDATE('Inputs'!$D$7,77),"n.a.")</x:f>
        <x:v>48670</x:v>
      </x:c>
      <x:c r="E393" s="26" t="n">
        <x:f>IF('Inputs'!$D$9&lt;&gt;"Ready","n.a.",IF(ISNUMBER('Inputs'!E96),IF('Inputs'!E96&gt;=0,'Inputs'!E96,"n.a."),IF('Inputs'!E96="",'Inputs'!$D$6,"n.a.")))</x:f>
        <x:v>500</x:v>
      </x:c>
      <x:c r="F393" s="22" t="n">
        <x:f>IF(COUNT($N$392:$N$396)=5,SUM($N$392:$N$396),"n.a.")</x:f>
        <x:v>0</x:v>
      </x:c>
      <x:c r="G393" s="22" t="n">
        <x:f>IF(COUNT(E393:F393)=2,MAX(0,E393-F393),"n.a.")</x:f>
        <x:v>500</x:v>
      </x:c>
      <x:c r="H393" s="26" t="str">
        <x:f>'Inputs'!C12</x:f>
        <x:v>Card B</x:v>
      </x:c>
      <x:c r="I393" s="26" t="n">
        <x:f>S388</x:f>
        <x:v>0</x:v>
      </x:c>
      <x:c r="J393" s="29" t="n">
        <x:f>IF('Inputs'!$D$9="Ready",'Inputs'!E12,"n.a.")</x:f>
        <x:v>0.18</x:v>
      </x:c>
      <x:c r="K393" s="26" t="n">
        <x:f>IF('Inputs'!$D$9="Ready",'Inputs'!F12,"n.a.")</x:f>
        <x:v>60</x:v>
      </x:c>
      <x:c r="L393" s="29" t="n">
        <x:f>IF('Inputs'!$D$9="Ready",'Inputs'!G12,"n.a.")</x:f>
        <x:v>0.02</x:v>
      </x:c>
      <x:c r="M393" s="22" t="n">
        <x:f>IF(COUNT(I393:L393)=4,ROUND(I393*J393/12,2),"n.a.")</x:f>
        <x:v>0</x:v>
      </x:c>
      <x:c r="N393" s="22" t="n">
        <x:f>IF(COUNT(I393:M393)=5,MIN(I393+M393,ROUND(MAX(K393,I393*L393+M393),2)),"n.a.")</x:f>
        <x:v>0</x:v>
      </x:c>
      <x:c r="O393" s="30" t="n">
        <x:f>IF(COUNT($I$392:$I$396)&lt;&gt;5,"n.a.",IF(I393=0,6,IF('Inputs'!$D$5=1,COUNTIFS($I$392:$I$396,"&gt;0",$I$392:$I$396,"&lt;"&amp;I393)+COUNTIFS($I$392:I393,I393),COUNTIFS($I$392:$I$396,"&gt;0",$J$392:$J$396,"&gt;"&amp;J393)+COUNTIFS($I$392:I393,"&gt;0",$J$392:J393,J393))))</x:f>
        <x:v>6</x:v>
      </x:c>
      <x:c r="P393" s="22" t="n">
        <x:f>IF(T393="Ready",MIN(U393,MAX(0,G393-SUMIFS($U$392:$U$396,$O$392:$O$396,"&lt;"&amp;O393))),"n.a.")</x:f>
        <x:v>0</x:v>
      </x:c>
      <x:c r="Q393" s="22" t="n">
        <x:f>IF(T393="Ready",ROUND(N393+P393,2),"n.a.")</x:f>
        <x:v>0</x:v>
      </x:c>
      <x:c r="R393" s="22" t="n">
        <x:f>IF(T393="Ready",ROUND(Q393-M393,2),"n.a.")</x:f>
        <x:v>0</x:v>
      </x:c>
      <x:c r="S393" s="22" t="n">
        <x:f>IF(T393="Ready",MAX(0,ROUND(I393+M393-Q393,2)),"n.a.")</x:f>
        <x:v>0</x:v>
      </x:c>
      <x:c r="T393" s="22" t="str">
        <x:f>IF(AND(COUNT($I$392:$I$396)=5,COUNT(E393:F393)=2),IF(E393&gt;=F393,"Ready","Budget below minima"),"Check inputs")</x:f>
        <x:v>Ready</x:v>
      </x:c>
      <x:c r="U393" s="22" t="n">
        <x:f>IF(COUNT(I393,M393,N393)=3,MAX(0,ROUND(I393+M393-N393,2)),"n.a.")</x:f>
        <x:v>0</x:v>
      </x:c>
    </x:row>
    <x:row r="394" ht="22" customHeight="1">
      <x:c r="A394" s="2"/>
      <x:c r="B394" s="2"/>
      <x:c r="C394" s="27" t="n">
        <x:f>78</x:f>
        <x:v>78</x:v>
      </x:c>
      <x:c r="D394" s="28" t="n">
        <x:f>IF(ISNUMBER('Inputs'!$D$7),EDATE('Inputs'!$D$7,77),"n.a.")</x:f>
        <x:v>48670</x:v>
      </x:c>
      <x:c r="E394" s="26" t="n">
        <x:f>IF('Inputs'!$D$9&lt;&gt;"Ready","n.a.",IF(ISNUMBER('Inputs'!E96),IF('Inputs'!E96&gt;=0,'Inputs'!E96,"n.a."),IF('Inputs'!E96="",'Inputs'!$D$6,"n.a.")))</x:f>
        <x:v>500</x:v>
      </x:c>
      <x:c r="F394" s="22" t="n">
        <x:f>IF(COUNT($N$392:$N$396)=5,SUM($N$392:$N$396),"n.a.")</x:f>
        <x:v>0</x:v>
      </x:c>
      <x:c r="G394" s="22" t="n">
        <x:f>IF(COUNT(E394:F394)=2,MAX(0,E394-F394),"n.a.")</x:f>
        <x:v>500</x:v>
      </x:c>
      <x:c r="H394" s="26" t="str">
        <x:f>'Inputs'!C13</x:f>
        <x:v>Loan C</x:v>
      </x:c>
      <x:c r="I394" s="26" t="n">
        <x:f>S389</x:f>
        <x:v>0</x:v>
      </x:c>
      <x:c r="J394" s="29" t="n">
        <x:f>IF('Inputs'!$D$9="Ready",'Inputs'!E13,"n.a.")</x:f>
        <x:v>0.08</x:v>
      </x:c>
      <x:c r="K394" s="26" t="n">
        <x:f>IF('Inputs'!$D$9="Ready",'Inputs'!F13,"n.a.")</x:f>
        <x:v>150</x:v>
      </x:c>
      <x:c r="L394" s="29" t="n">
        <x:f>IF('Inputs'!$D$9="Ready",'Inputs'!G13,"n.a.")</x:f>
        <x:v>0</x:v>
      </x:c>
      <x:c r="M394" s="22" t="n">
        <x:f>IF(COUNT(I394:L394)=4,ROUND(I394*J394/12,2),"n.a.")</x:f>
        <x:v>0</x:v>
      </x:c>
      <x:c r="N394" s="22" t="n">
        <x:f>IF(COUNT(I394:M394)=5,MIN(I394+M394,ROUND(MAX(K394,I394*L394+M394),2)),"n.a.")</x:f>
        <x:v>0</x:v>
      </x:c>
      <x:c r="O394" s="30" t="n">
        <x:f>IF(COUNT($I$392:$I$396)&lt;&gt;5,"n.a.",IF(I394=0,6,IF('Inputs'!$D$5=1,COUNTIFS($I$392:$I$396,"&gt;0",$I$392:$I$396,"&lt;"&amp;I394)+COUNTIFS($I$392:I394,I394),COUNTIFS($I$392:$I$396,"&gt;0",$J$392:$J$396,"&gt;"&amp;J394)+COUNTIFS($I$392:I394,"&gt;0",$J$392:J394,J394))))</x:f>
        <x:v>6</x:v>
      </x:c>
      <x:c r="P394" s="22" t="n">
        <x:f>IF(T394="Ready",MIN(U394,MAX(0,G394-SUMIFS($U$392:$U$396,$O$392:$O$396,"&lt;"&amp;O394))),"n.a.")</x:f>
        <x:v>0</x:v>
      </x:c>
      <x:c r="Q394" s="22" t="n">
        <x:f>IF(T394="Ready",ROUND(N394+P394,2),"n.a.")</x:f>
        <x:v>0</x:v>
      </x:c>
      <x:c r="R394" s="22" t="n">
        <x:f>IF(T394="Ready",ROUND(Q394-M394,2),"n.a.")</x:f>
        <x:v>0</x:v>
      </x:c>
      <x:c r="S394" s="22" t="n">
        <x:f>IF(T394="Ready",MAX(0,ROUND(I394+M394-Q394,2)),"n.a.")</x:f>
        <x:v>0</x:v>
      </x:c>
      <x:c r="T394" s="22" t="str">
        <x:f>IF(AND(COUNT($I$392:$I$396)=5,COUNT(E394:F394)=2),IF(E394&gt;=F394,"Ready","Budget below minima"),"Check inputs")</x:f>
        <x:v>Ready</x:v>
      </x:c>
      <x:c r="U394" s="22" t="n">
        <x:f>IF(COUNT(I394,M394,N394)=3,MAX(0,ROUND(I394+M394-N394,2)),"n.a.")</x:f>
        <x:v>0</x:v>
      </x:c>
    </x:row>
    <x:row r="395" ht="22" customHeight="1">
      <x:c r="A395" s="2"/>
      <x:c r="B395" s="2"/>
      <x:c r="C395" s="27" t="n">
        <x:f>78</x:f>
        <x:v>78</x:v>
      </x:c>
      <x:c r="D395" s="28" t="n">
        <x:f>IF(ISNUMBER('Inputs'!$D$7),EDATE('Inputs'!$D$7,77),"n.a.")</x:f>
        <x:v>48670</x:v>
      </x:c>
      <x:c r="E395" s="26" t="n">
        <x:f>IF('Inputs'!$D$9&lt;&gt;"Ready","n.a.",IF(ISNUMBER('Inputs'!E96),IF('Inputs'!E96&gt;=0,'Inputs'!E96,"n.a."),IF('Inputs'!E96="",'Inputs'!$D$6,"n.a.")))</x:f>
        <x:v>500</x:v>
      </x:c>
      <x:c r="F395" s="22" t="n">
        <x:f>IF(COUNT($N$392:$N$396)=5,SUM($N$392:$N$396),"n.a.")</x:f>
        <x:v>0</x:v>
      </x:c>
      <x:c r="G395" s="22" t="n">
        <x:f>IF(COUNT(E395:F395)=2,MAX(0,E395-F395),"n.a.")</x:f>
        <x:v>500</x:v>
      </x:c>
      <x:c r="H395" s="26" t="str">
        <x:f>'Inputs'!C14</x:f>
        <x:v>Unused 4</x:v>
      </x:c>
      <x:c r="I395" s="26" t="n">
        <x:f>S390</x:f>
        <x:v>0</x:v>
      </x:c>
      <x:c r="J395" s="29" t="n">
        <x:f>IF('Inputs'!$D$9="Ready",'Inputs'!E14,"n.a.")</x:f>
        <x:v>0</x:v>
      </x:c>
      <x:c r="K395" s="26" t="n">
        <x:f>IF('Inputs'!$D$9="Ready",'Inputs'!F14,"n.a.")</x:f>
        <x:v>0</x:v>
      </x:c>
      <x:c r="L395" s="29" t="n">
        <x:f>IF('Inputs'!$D$9="Ready",'Inputs'!G14,"n.a.")</x:f>
        <x:v>0</x:v>
      </x:c>
      <x:c r="M395" s="22" t="n">
        <x:f>IF(COUNT(I395:L395)=4,ROUND(I395*J395/12,2),"n.a.")</x:f>
        <x:v>0</x:v>
      </x:c>
      <x:c r="N395" s="22" t="n">
        <x:f>IF(COUNT(I395:M395)=5,MIN(I395+M395,ROUND(MAX(K395,I395*L395+M395),2)),"n.a.")</x:f>
        <x:v>0</x:v>
      </x:c>
      <x:c r="O395" s="30" t="n">
        <x:f>IF(COUNT($I$392:$I$396)&lt;&gt;5,"n.a.",IF(I395=0,6,IF('Inputs'!$D$5=1,COUNTIFS($I$392:$I$396,"&gt;0",$I$392:$I$396,"&lt;"&amp;I395)+COUNTIFS($I$392:I395,I395),COUNTIFS($I$392:$I$396,"&gt;0",$J$392:$J$396,"&gt;"&amp;J395)+COUNTIFS($I$392:I395,"&gt;0",$J$392:J395,J395))))</x:f>
        <x:v>6</x:v>
      </x:c>
      <x:c r="P395" s="22" t="n">
        <x:f>IF(T395="Ready",MIN(U395,MAX(0,G395-SUMIFS($U$392:$U$396,$O$392:$O$396,"&lt;"&amp;O395))),"n.a.")</x:f>
        <x:v>0</x:v>
      </x:c>
      <x:c r="Q395" s="22" t="n">
        <x:f>IF(T395="Ready",ROUND(N395+P395,2),"n.a.")</x:f>
        <x:v>0</x:v>
      </x:c>
      <x:c r="R395" s="22" t="n">
        <x:f>IF(T395="Ready",ROUND(Q395-M395,2),"n.a.")</x:f>
        <x:v>0</x:v>
      </x:c>
      <x:c r="S395" s="22" t="n">
        <x:f>IF(T395="Ready",MAX(0,ROUND(I395+M395-Q395,2)),"n.a.")</x:f>
        <x:v>0</x:v>
      </x:c>
      <x:c r="T395" s="22" t="str">
        <x:f>IF(AND(COUNT($I$392:$I$396)=5,COUNT(E395:F395)=2),IF(E395&gt;=F395,"Ready","Budget below minima"),"Check inputs")</x:f>
        <x:v>Ready</x:v>
      </x:c>
      <x:c r="U395" s="22" t="n">
        <x:f>IF(COUNT(I395,M395,N395)=3,MAX(0,ROUND(I395+M395-N395,2)),"n.a.")</x:f>
        <x:v>0</x:v>
      </x:c>
    </x:row>
    <x:row r="396" ht="22" customHeight="1">
      <x:c r="A396" s="2"/>
      <x:c r="B396" s="2"/>
      <x:c r="C396" s="27" t="n">
        <x:f>78</x:f>
        <x:v>78</x:v>
      </x:c>
      <x:c r="D396" s="28" t="n">
        <x:f>IF(ISNUMBER('Inputs'!$D$7),EDATE('Inputs'!$D$7,77),"n.a.")</x:f>
        <x:v>48670</x:v>
      </x:c>
      <x:c r="E396" s="26" t="n">
        <x:f>IF('Inputs'!$D$9&lt;&gt;"Ready","n.a.",IF(ISNUMBER('Inputs'!E96),IF('Inputs'!E96&gt;=0,'Inputs'!E96,"n.a."),IF('Inputs'!E96="",'Inputs'!$D$6,"n.a.")))</x:f>
        <x:v>500</x:v>
      </x:c>
      <x:c r="F396" s="22" t="n">
        <x:f>IF(COUNT($N$392:$N$396)=5,SUM($N$392:$N$396),"n.a.")</x:f>
        <x:v>0</x:v>
      </x:c>
      <x:c r="G396" s="22" t="n">
        <x:f>IF(COUNT(E396:F396)=2,MAX(0,E396-F396),"n.a.")</x:f>
        <x:v>500</x:v>
      </x:c>
      <x:c r="H396" s="26" t="str">
        <x:f>'Inputs'!C15</x:f>
        <x:v>Unused 5</x:v>
      </x:c>
      <x:c r="I396" s="26" t="n">
        <x:f>S391</x:f>
        <x:v>0</x:v>
      </x:c>
      <x:c r="J396" s="29" t="n">
        <x:f>IF('Inputs'!$D$9="Ready",'Inputs'!E15,"n.a.")</x:f>
        <x:v>0</x:v>
      </x:c>
      <x:c r="K396" s="26" t="n">
        <x:f>IF('Inputs'!$D$9="Ready",'Inputs'!F15,"n.a.")</x:f>
        <x:v>0</x:v>
      </x:c>
      <x:c r="L396" s="29" t="n">
        <x:f>IF('Inputs'!$D$9="Ready",'Inputs'!G15,"n.a.")</x:f>
        <x:v>0</x:v>
      </x:c>
      <x:c r="M396" s="22" t="n">
        <x:f>IF(COUNT(I396:L396)=4,ROUND(I396*J396/12,2),"n.a.")</x:f>
        <x:v>0</x:v>
      </x:c>
      <x:c r="N396" s="22" t="n">
        <x:f>IF(COUNT(I396:M396)=5,MIN(I396+M396,ROUND(MAX(K396,I396*L396+M396),2)),"n.a.")</x:f>
        <x:v>0</x:v>
      </x:c>
      <x:c r="O396" s="30" t="n">
        <x:f>IF(COUNT($I$392:$I$396)&lt;&gt;5,"n.a.",IF(I396=0,6,IF('Inputs'!$D$5=1,COUNTIFS($I$392:$I$396,"&gt;0",$I$392:$I$396,"&lt;"&amp;I396)+COUNTIFS($I$392:I396,I396),COUNTIFS($I$392:$I$396,"&gt;0",$J$392:$J$396,"&gt;"&amp;J396)+COUNTIFS($I$392:I396,"&gt;0",$J$392:J396,J396))))</x:f>
        <x:v>6</x:v>
      </x:c>
      <x:c r="P396" s="22" t="n">
        <x:f>IF(T396="Ready",MIN(U396,MAX(0,G396-SUMIFS($U$392:$U$396,$O$392:$O$396,"&lt;"&amp;O396))),"n.a.")</x:f>
        <x:v>0</x:v>
      </x:c>
      <x:c r="Q396" s="22" t="n">
        <x:f>IF(T396="Ready",ROUND(N396+P396,2),"n.a.")</x:f>
        <x:v>0</x:v>
      </x:c>
      <x:c r="R396" s="22" t="n">
        <x:f>IF(T396="Ready",ROUND(Q396-M396,2),"n.a.")</x:f>
        <x:v>0</x:v>
      </x:c>
      <x:c r="S396" s="22" t="n">
        <x:f>IF(T396="Ready",MAX(0,ROUND(I396+M396-Q396,2)),"n.a.")</x:f>
        <x:v>0</x:v>
      </x:c>
      <x:c r="T396" s="22" t="str">
        <x:f>IF(AND(COUNT($I$392:$I$396)=5,COUNT(E396:F396)=2),IF(E396&gt;=F396,"Ready","Budget below minima"),"Check inputs")</x:f>
        <x:v>Ready</x:v>
      </x:c>
      <x:c r="U396" s="22" t="n">
        <x:f>IF(COUNT(I396,M396,N396)=3,MAX(0,ROUND(I396+M396-N396,2)),"n.a.")</x:f>
        <x:v>0</x:v>
      </x:c>
    </x:row>
    <x:row r="397" ht="22" customHeight="1">
      <x:c r="A397" s="2"/>
      <x:c r="B397" s="2"/>
      <x:c r="C397" s="27" t="n">
        <x:f>79</x:f>
        <x:v>79</x:v>
      </x:c>
      <x:c r="D397" s="28" t="n">
        <x:f>IF(ISNUMBER('Inputs'!$D$7),EDATE('Inputs'!$D$7,78),"n.a.")</x:f>
        <x:v>48700</x:v>
      </x:c>
      <x:c r="E397" s="26" t="n">
        <x:f>IF('Inputs'!$D$9&lt;&gt;"Ready","n.a.",IF(ISNUMBER('Inputs'!E97),IF('Inputs'!E97&gt;=0,'Inputs'!E97,"n.a."),IF('Inputs'!E97="",'Inputs'!$D$6,"n.a.")))</x:f>
        <x:v>500</x:v>
      </x:c>
      <x:c r="F397" s="22" t="n">
        <x:f>IF(COUNT($N$397:$N$401)=5,SUM($N$397:$N$401),"n.a.")</x:f>
        <x:v>0</x:v>
      </x:c>
      <x:c r="G397" s="22" t="n">
        <x:f>IF(COUNT(E397:F397)=2,MAX(0,E397-F397),"n.a.")</x:f>
        <x:v>500</x:v>
      </x:c>
      <x:c r="H397" s="26" t="str">
        <x:f>'Inputs'!C11</x:f>
        <x:v>Card A</x:v>
      </x:c>
      <x:c r="I397" s="26" t="n">
        <x:f>S392</x:f>
        <x:v>0</x:v>
      </x:c>
      <x:c r="J397" s="29" t="n">
        <x:f>IF('Inputs'!$D$9="Ready",'Inputs'!E11,"n.a.")</x:f>
        <x:v>0.24</x:v>
      </x:c>
      <x:c r="K397" s="26" t="n">
        <x:f>IF('Inputs'!$D$9="Ready",'Inputs'!F11,"n.a.")</x:f>
        <x:v>35</x:v>
      </x:c>
      <x:c r="L397" s="29" t="n">
        <x:f>IF('Inputs'!$D$9="Ready",'Inputs'!G11,"n.a.")</x:f>
        <x:v>0.02</x:v>
      </x:c>
      <x:c r="M397" s="22" t="n">
        <x:f>IF(COUNT(I397:L397)=4,ROUND(I397*J397/12,2),"n.a.")</x:f>
        <x:v>0</x:v>
      </x:c>
      <x:c r="N397" s="22" t="n">
        <x:f>IF(COUNT(I397:M397)=5,MIN(I397+M397,ROUND(MAX(K397,I397*L397+M397),2)),"n.a.")</x:f>
        <x:v>0</x:v>
      </x:c>
      <x:c r="O397" s="30" t="n">
        <x:f>IF(COUNT($I$397:$I$401)&lt;&gt;5,"n.a.",IF(I397=0,6,IF('Inputs'!$D$5=1,COUNTIFS($I$397:$I$401,"&gt;0",$I$397:$I$401,"&lt;"&amp;I397)+COUNTIFS($I$397:I397,I397),COUNTIFS($I$397:$I$401,"&gt;0",$J$397:$J$401,"&gt;"&amp;J397)+COUNTIFS($I$397:I397,"&gt;0",$J$397:J397,J397))))</x:f>
        <x:v>6</x:v>
      </x:c>
      <x:c r="P397" s="22" t="n">
        <x:f>IF(T397="Ready",MIN(U397,MAX(0,G397-SUMIFS($U$397:$U$401,$O$397:$O$401,"&lt;"&amp;O397))),"n.a.")</x:f>
        <x:v>0</x:v>
      </x:c>
      <x:c r="Q397" s="22" t="n">
        <x:f>IF(T397="Ready",ROUND(N397+P397,2),"n.a.")</x:f>
        <x:v>0</x:v>
      </x:c>
      <x:c r="R397" s="22" t="n">
        <x:f>IF(T397="Ready",ROUND(Q397-M397,2),"n.a.")</x:f>
        <x:v>0</x:v>
      </x:c>
      <x:c r="S397" s="22" t="n">
        <x:f>IF(T397="Ready",MAX(0,ROUND(I397+M397-Q397,2)),"n.a.")</x:f>
        <x:v>0</x:v>
      </x:c>
      <x:c r="T397" s="22" t="str">
        <x:f>IF(AND(COUNT($I$397:$I$401)=5,COUNT(E397:F397)=2),IF(E397&gt;=F397,"Ready","Budget below minima"),"Check inputs")</x:f>
        <x:v>Ready</x:v>
      </x:c>
      <x:c r="U397" s="22" t="n">
        <x:f>IF(COUNT(I397,M397,N397)=3,MAX(0,ROUND(I397+M397-N397,2)),"n.a.")</x:f>
        <x:v>0</x:v>
      </x:c>
    </x:row>
    <x:row r="398" ht="22" customHeight="1">
      <x:c r="A398" s="2"/>
      <x:c r="B398" s="2"/>
      <x:c r="C398" s="27" t="n">
        <x:f>79</x:f>
        <x:v>79</x:v>
      </x:c>
      <x:c r="D398" s="28" t="n">
        <x:f>IF(ISNUMBER('Inputs'!$D$7),EDATE('Inputs'!$D$7,78),"n.a.")</x:f>
        <x:v>48700</x:v>
      </x:c>
      <x:c r="E398" s="26" t="n">
        <x:f>IF('Inputs'!$D$9&lt;&gt;"Ready","n.a.",IF(ISNUMBER('Inputs'!E97),IF('Inputs'!E97&gt;=0,'Inputs'!E97,"n.a."),IF('Inputs'!E97="",'Inputs'!$D$6,"n.a.")))</x:f>
        <x:v>500</x:v>
      </x:c>
      <x:c r="F398" s="22" t="n">
        <x:f>IF(COUNT($N$397:$N$401)=5,SUM($N$397:$N$401),"n.a.")</x:f>
        <x:v>0</x:v>
      </x:c>
      <x:c r="G398" s="22" t="n">
        <x:f>IF(COUNT(E398:F398)=2,MAX(0,E398-F398),"n.a.")</x:f>
        <x:v>500</x:v>
      </x:c>
      <x:c r="H398" s="26" t="str">
        <x:f>'Inputs'!C12</x:f>
        <x:v>Card B</x:v>
      </x:c>
      <x:c r="I398" s="26" t="n">
        <x:f>S393</x:f>
        <x:v>0</x:v>
      </x:c>
      <x:c r="J398" s="29" t="n">
        <x:f>IF('Inputs'!$D$9="Ready",'Inputs'!E12,"n.a.")</x:f>
        <x:v>0.18</x:v>
      </x:c>
      <x:c r="K398" s="26" t="n">
        <x:f>IF('Inputs'!$D$9="Ready",'Inputs'!F12,"n.a.")</x:f>
        <x:v>60</x:v>
      </x:c>
      <x:c r="L398" s="29" t="n">
        <x:f>IF('Inputs'!$D$9="Ready",'Inputs'!G12,"n.a.")</x:f>
        <x:v>0.02</x:v>
      </x:c>
      <x:c r="M398" s="22" t="n">
        <x:f>IF(COUNT(I398:L398)=4,ROUND(I398*J398/12,2),"n.a.")</x:f>
        <x:v>0</x:v>
      </x:c>
      <x:c r="N398" s="22" t="n">
        <x:f>IF(COUNT(I398:M398)=5,MIN(I398+M398,ROUND(MAX(K398,I398*L398+M398),2)),"n.a.")</x:f>
        <x:v>0</x:v>
      </x:c>
      <x:c r="O398" s="30" t="n">
        <x:f>IF(COUNT($I$397:$I$401)&lt;&gt;5,"n.a.",IF(I398=0,6,IF('Inputs'!$D$5=1,COUNTIFS($I$397:$I$401,"&gt;0",$I$397:$I$401,"&lt;"&amp;I398)+COUNTIFS($I$397:I398,I398),COUNTIFS($I$397:$I$401,"&gt;0",$J$397:$J$401,"&gt;"&amp;J398)+COUNTIFS($I$397:I398,"&gt;0",$J$397:J398,J398))))</x:f>
        <x:v>6</x:v>
      </x:c>
      <x:c r="P398" s="22" t="n">
        <x:f>IF(T398="Ready",MIN(U398,MAX(0,G398-SUMIFS($U$397:$U$401,$O$397:$O$401,"&lt;"&amp;O398))),"n.a.")</x:f>
        <x:v>0</x:v>
      </x:c>
      <x:c r="Q398" s="22" t="n">
        <x:f>IF(T398="Ready",ROUND(N398+P398,2),"n.a.")</x:f>
        <x:v>0</x:v>
      </x:c>
      <x:c r="R398" s="22" t="n">
        <x:f>IF(T398="Ready",ROUND(Q398-M398,2),"n.a.")</x:f>
        <x:v>0</x:v>
      </x:c>
      <x:c r="S398" s="22" t="n">
        <x:f>IF(T398="Ready",MAX(0,ROUND(I398+M398-Q398,2)),"n.a.")</x:f>
        <x:v>0</x:v>
      </x:c>
      <x:c r="T398" s="22" t="str">
        <x:f>IF(AND(COUNT($I$397:$I$401)=5,COUNT(E398:F398)=2),IF(E398&gt;=F398,"Ready","Budget below minima"),"Check inputs")</x:f>
        <x:v>Ready</x:v>
      </x:c>
      <x:c r="U398" s="22" t="n">
        <x:f>IF(COUNT(I398,M398,N398)=3,MAX(0,ROUND(I398+M398-N398,2)),"n.a.")</x:f>
        <x:v>0</x:v>
      </x:c>
    </x:row>
    <x:row r="399" ht="22" customHeight="1">
      <x:c r="A399" s="2"/>
      <x:c r="B399" s="2"/>
      <x:c r="C399" s="27" t="n">
        <x:f>79</x:f>
        <x:v>79</x:v>
      </x:c>
      <x:c r="D399" s="28" t="n">
        <x:f>IF(ISNUMBER('Inputs'!$D$7),EDATE('Inputs'!$D$7,78),"n.a.")</x:f>
        <x:v>48700</x:v>
      </x:c>
      <x:c r="E399" s="26" t="n">
        <x:f>IF('Inputs'!$D$9&lt;&gt;"Ready","n.a.",IF(ISNUMBER('Inputs'!E97),IF('Inputs'!E97&gt;=0,'Inputs'!E97,"n.a."),IF('Inputs'!E97="",'Inputs'!$D$6,"n.a.")))</x:f>
        <x:v>500</x:v>
      </x:c>
      <x:c r="F399" s="22" t="n">
        <x:f>IF(COUNT($N$397:$N$401)=5,SUM($N$397:$N$401),"n.a.")</x:f>
        <x:v>0</x:v>
      </x:c>
      <x:c r="G399" s="22" t="n">
        <x:f>IF(COUNT(E399:F399)=2,MAX(0,E399-F399),"n.a.")</x:f>
        <x:v>500</x:v>
      </x:c>
      <x:c r="H399" s="26" t="str">
        <x:f>'Inputs'!C13</x:f>
        <x:v>Loan C</x:v>
      </x:c>
      <x:c r="I399" s="26" t="n">
        <x:f>S394</x:f>
        <x:v>0</x:v>
      </x:c>
      <x:c r="J399" s="29" t="n">
        <x:f>IF('Inputs'!$D$9="Ready",'Inputs'!E13,"n.a.")</x:f>
        <x:v>0.08</x:v>
      </x:c>
      <x:c r="K399" s="26" t="n">
        <x:f>IF('Inputs'!$D$9="Ready",'Inputs'!F13,"n.a.")</x:f>
        <x:v>150</x:v>
      </x:c>
      <x:c r="L399" s="29" t="n">
        <x:f>IF('Inputs'!$D$9="Ready",'Inputs'!G13,"n.a.")</x:f>
        <x:v>0</x:v>
      </x:c>
      <x:c r="M399" s="22" t="n">
        <x:f>IF(COUNT(I399:L399)=4,ROUND(I399*J399/12,2),"n.a.")</x:f>
        <x:v>0</x:v>
      </x:c>
      <x:c r="N399" s="22" t="n">
        <x:f>IF(COUNT(I399:M399)=5,MIN(I399+M399,ROUND(MAX(K399,I399*L399+M399),2)),"n.a.")</x:f>
        <x:v>0</x:v>
      </x:c>
      <x:c r="O399" s="30" t="n">
        <x:f>IF(COUNT($I$397:$I$401)&lt;&gt;5,"n.a.",IF(I399=0,6,IF('Inputs'!$D$5=1,COUNTIFS($I$397:$I$401,"&gt;0",$I$397:$I$401,"&lt;"&amp;I399)+COUNTIFS($I$397:I399,I399),COUNTIFS($I$397:$I$401,"&gt;0",$J$397:$J$401,"&gt;"&amp;J399)+COUNTIFS($I$397:I399,"&gt;0",$J$397:J399,J399))))</x:f>
        <x:v>6</x:v>
      </x:c>
      <x:c r="P399" s="22" t="n">
        <x:f>IF(T399="Ready",MIN(U399,MAX(0,G399-SUMIFS($U$397:$U$401,$O$397:$O$401,"&lt;"&amp;O399))),"n.a.")</x:f>
        <x:v>0</x:v>
      </x:c>
      <x:c r="Q399" s="22" t="n">
        <x:f>IF(T399="Ready",ROUND(N399+P399,2),"n.a.")</x:f>
        <x:v>0</x:v>
      </x:c>
      <x:c r="R399" s="22" t="n">
        <x:f>IF(T399="Ready",ROUND(Q399-M399,2),"n.a.")</x:f>
        <x:v>0</x:v>
      </x:c>
      <x:c r="S399" s="22" t="n">
        <x:f>IF(T399="Ready",MAX(0,ROUND(I399+M399-Q399,2)),"n.a.")</x:f>
        <x:v>0</x:v>
      </x:c>
      <x:c r="T399" s="22" t="str">
        <x:f>IF(AND(COUNT($I$397:$I$401)=5,COUNT(E399:F399)=2),IF(E399&gt;=F399,"Ready","Budget below minima"),"Check inputs")</x:f>
        <x:v>Ready</x:v>
      </x:c>
      <x:c r="U399" s="22" t="n">
        <x:f>IF(COUNT(I399,M399,N399)=3,MAX(0,ROUND(I399+M399-N399,2)),"n.a.")</x:f>
        <x:v>0</x:v>
      </x:c>
    </x:row>
    <x:row r="400" ht="22" customHeight="1">
      <x:c r="A400" s="2"/>
      <x:c r="B400" s="2"/>
      <x:c r="C400" s="27" t="n">
        <x:f>79</x:f>
        <x:v>79</x:v>
      </x:c>
      <x:c r="D400" s="28" t="n">
        <x:f>IF(ISNUMBER('Inputs'!$D$7),EDATE('Inputs'!$D$7,78),"n.a.")</x:f>
        <x:v>48700</x:v>
      </x:c>
      <x:c r="E400" s="26" t="n">
        <x:f>IF('Inputs'!$D$9&lt;&gt;"Ready","n.a.",IF(ISNUMBER('Inputs'!E97),IF('Inputs'!E97&gt;=0,'Inputs'!E97,"n.a."),IF('Inputs'!E97="",'Inputs'!$D$6,"n.a.")))</x:f>
        <x:v>500</x:v>
      </x:c>
      <x:c r="F400" s="22" t="n">
        <x:f>IF(COUNT($N$397:$N$401)=5,SUM($N$397:$N$401),"n.a.")</x:f>
        <x:v>0</x:v>
      </x:c>
      <x:c r="G400" s="22" t="n">
        <x:f>IF(COUNT(E400:F400)=2,MAX(0,E400-F400),"n.a.")</x:f>
        <x:v>500</x:v>
      </x:c>
      <x:c r="H400" s="26" t="str">
        <x:f>'Inputs'!C14</x:f>
        <x:v>Unused 4</x:v>
      </x:c>
      <x:c r="I400" s="26" t="n">
        <x:f>S395</x:f>
        <x:v>0</x:v>
      </x:c>
      <x:c r="J400" s="29" t="n">
        <x:f>IF('Inputs'!$D$9="Ready",'Inputs'!E14,"n.a.")</x:f>
        <x:v>0</x:v>
      </x:c>
      <x:c r="K400" s="26" t="n">
        <x:f>IF('Inputs'!$D$9="Ready",'Inputs'!F14,"n.a.")</x:f>
        <x:v>0</x:v>
      </x:c>
      <x:c r="L400" s="29" t="n">
        <x:f>IF('Inputs'!$D$9="Ready",'Inputs'!G14,"n.a.")</x:f>
        <x:v>0</x:v>
      </x:c>
      <x:c r="M400" s="22" t="n">
        <x:f>IF(COUNT(I400:L400)=4,ROUND(I400*J400/12,2),"n.a.")</x:f>
        <x:v>0</x:v>
      </x:c>
      <x:c r="N400" s="22" t="n">
        <x:f>IF(COUNT(I400:M400)=5,MIN(I400+M400,ROUND(MAX(K400,I400*L400+M400),2)),"n.a.")</x:f>
        <x:v>0</x:v>
      </x:c>
      <x:c r="O400" s="30" t="n">
        <x:f>IF(COUNT($I$397:$I$401)&lt;&gt;5,"n.a.",IF(I400=0,6,IF('Inputs'!$D$5=1,COUNTIFS($I$397:$I$401,"&gt;0",$I$397:$I$401,"&lt;"&amp;I400)+COUNTIFS($I$397:I400,I400),COUNTIFS($I$397:$I$401,"&gt;0",$J$397:$J$401,"&gt;"&amp;J400)+COUNTIFS($I$397:I400,"&gt;0",$J$397:J400,J400))))</x:f>
        <x:v>6</x:v>
      </x:c>
      <x:c r="P400" s="22" t="n">
        <x:f>IF(T400="Ready",MIN(U400,MAX(0,G400-SUMIFS($U$397:$U$401,$O$397:$O$401,"&lt;"&amp;O400))),"n.a.")</x:f>
        <x:v>0</x:v>
      </x:c>
      <x:c r="Q400" s="22" t="n">
        <x:f>IF(T400="Ready",ROUND(N400+P400,2),"n.a.")</x:f>
        <x:v>0</x:v>
      </x:c>
      <x:c r="R400" s="22" t="n">
        <x:f>IF(T400="Ready",ROUND(Q400-M400,2),"n.a.")</x:f>
        <x:v>0</x:v>
      </x:c>
      <x:c r="S400" s="22" t="n">
        <x:f>IF(T400="Ready",MAX(0,ROUND(I400+M400-Q400,2)),"n.a.")</x:f>
        <x:v>0</x:v>
      </x:c>
      <x:c r="T400" s="22" t="str">
        <x:f>IF(AND(COUNT($I$397:$I$401)=5,COUNT(E400:F400)=2),IF(E400&gt;=F400,"Ready","Budget below minima"),"Check inputs")</x:f>
        <x:v>Ready</x:v>
      </x:c>
      <x:c r="U400" s="22" t="n">
        <x:f>IF(COUNT(I400,M400,N400)=3,MAX(0,ROUND(I400+M400-N400,2)),"n.a.")</x:f>
        <x:v>0</x:v>
      </x:c>
    </x:row>
    <x:row r="401" ht="22" customHeight="1">
      <x:c r="A401" s="2"/>
      <x:c r="B401" s="2"/>
      <x:c r="C401" s="27" t="n">
        <x:f>79</x:f>
        <x:v>79</x:v>
      </x:c>
      <x:c r="D401" s="28" t="n">
        <x:f>IF(ISNUMBER('Inputs'!$D$7),EDATE('Inputs'!$D$7,78),"n.a.")</x:f>
        <x:v>48700</x:v>
      </x:c>
      <x:c r="E401" s="26" t="n">
        <x:f>IF('Inputs'!$D$9&lt;&gt;"Ready","n.a.",IF(ISNUMBER('Inputs'!E97),IF('Inputs'!E97&gt;=0,'Inputs'!E97,"n.a."),IF('Inputs'!E97="",'Inputs'!$D$6,"n.a.")))</x:f>
        <x:v>500</x:v>
      </x:c>
      <x:c r="F401" s="22" t="n">
        <x:f>IF(COUNT($N$397:$N$401)=5,SUM($N$397:$N$401),"n.a.")</x:f>
        <x:v>0</x:v>
      </x:c>
      <x:c r="G401" s="22" t="n">
        <x:f>IF(COUNT(E401:F401)=2,MAX(0,E401-F401),"n.a.")</x:f>
        <x:v>500</x:v>
      </x:c>
      <x:c r="H401" s="26" t="str">
        <x:f>'Inputs'!C15</x:f>
        <x:v>Unused 5</x:v>
      </x:c>
      <x:c r="I401" s="26" t="n">
        <x:f>S396</x:f>
        <x:v>0</x:v>
      </x:c>
      <x:c r="J401" s="29" t="n">
        <x:f>IF('Inputs'!$D$9="Ready",'Inputs'!E15,"n.a.")</x:f>
        <x:v>0</x:v>
      </x:c>
      <x:c r="K401" s="26" t="n">
        <x:f>IF('Inputs'!$D$9="Ready",'Inputs'!F15,"n.a.")</x:f>
        <x:v>0</x:v>
      </x:c>
      <x:c r="L401" s="29" t="n">
        <x:f>IF('Inputs'!$D$9="Ready",'Inputs'!G15,"n.a.")</x:f>
        <x:v>0</x:v>
      </x:c>
      <x:c r="M401" s="22" t="n">
        <x:f>IF(COUNT(I401:L401)=4,ROUND(I401*J401/12,2),"n.a.")</x:f>
        <x:v>0</x:v>
      </x:c>
      <x:c r="N401" s="22" t="n">
        <x:f>IF(COUNT(I401:M401)=5,MIN(I401+M401,ROUND(MAX(K401,I401*L401+M401),2)),"n.a.")</x:f>
        <x:v>0</x:v>
      </x:c>
      <x:c r="O401" s="30" t="n">
        <x:f>IF(COUNT($I$397:$I$401)&lt;&gt;5,"n.a.",IF(I401=0,6,IF('Inputs'!$D$5=1,COUNTIFS($I$397:$I$401,"&gt;0",$I$397:$I$401,"&lt;"&amp;I401)+COUNTIFS($I$397:I401,I401),COUNTIFS($I$397:$I$401,"&gt;0",$J$397:$J$401,"&gt;"&amp;J401)+COUNTIFS($I$397:I401,"&gt;0",$J$397:J401,J401))))</x:f>
        <x:v>6</x:v>
      </x:c>
      <x:c r="P401" s="22" t="n">
        <x:f>IF(T401="Ready",MIN(U401,MAX(0,G401-SUMIFS($U$397:$U$401,$O$397:$O$401,"&lt;"&amp;O401))),"n.a.")</x:f>
        <x:v>0</x:v>
      </x:c>
      <x:c r="Q401" s="22" t="n">
        <x:f>IF(T401="Ready",ROUND(N401+P401,2),"n.a.")</x:f>
        <x:v>0</x:v>
      </x:c>
      <x:c r="R401" s="22" t="n">
        <x:f>IF(T401="Ready",ROUND(Q401-M401,2),"n.a.")</x:f>
        <x:v>0</x:v>
      </x:c>
      <x:c r="S401" s="22" t="n">
        <x:f>IF(T401="Ready",MAX(0,ROUND(I401+M401-Q401,2)),"n.a.")</x:f>
        <x:v>0</x:v>
      </x:c>
      <x:c r="T401" s="22" t="str">
        <x:f>IF(AND(COUNT($I$397:$I$401)=5,COUNT(E401:F401)=2),IF(E401&gt;=F401,"Ready","Budget below minima"),"Check inputs")</x:f>
        <x:v>Ready</x:v>
      </x:c>
      <x:c r="U401" s="22" t="n">
        <x:f>IF(COUNT(I401,M401,N401)=3,MAX(0,ROUND(I401+M401-N401,2)),"n.a.")</x:f>
        <x:v>0</x:v>
      </x:c>
    </x:row>
    <x:row r="402" ht="22" customHeight="1">
      <x:c r="A402" s="2"/>
      <x:c r="B402" s="2"/>
      <x:c r="C402" s="27" t="n">
        <x:f>80</x:f>
        <x:v>80</x:v>
      </x:c>
      <x:c r="D402" s="28" t="n">
        <x:f>IF(ISNUMBER('Inputs'!$D$7),EDATE('Inputs'!$D$7,79),"n.a.")</x:f>
        <x:v>48731</x:v>
      </x:c>
      <x:c r="E402" s="26" t="n">
        <x:f>IF('Inputs'!$D$9&lt;&gt;"Ready","n.a.",IF(ISNUMBER('Inputs'!E98),IF('Inputs'!E98&gt;=0,'Inputs'!E98,"n.a."),IF('Inputs'!E98="",'Inputs'!$D$6,"n.a.")))</x:f>
        <x:v>500</x:v>
      </x:c>
      <x:c r="F402" s="22" t="n">
        <x:f>IF(COUNT($N$402:$N$406)=5,SUM($N$402:$N$406),"n.a.")</x:f>
        <x:v>0</x:v>
      </x:c>
      <x:c r="G402" s="22" t="n">
        <x:f>IF(COUNT(E402:F402)=2,MAX(0,E402-F402),"n.a.")</x:f>
        <x:v>500</x:v>
      </x:c>
      <x:c r="H402" s="26" t="str">
        <x:f>'Inputs'!C11</x:f>
        <x:v>Card A</x:v>
      </x:c>
      <x:c r="I402" s="26" t="n">
        <x:f>S397</x:f>
        <x:v>0</x:v>
      </x:c>
      <x:c r="J402" s="29" t="n">
        <x:f>IF('Inputs'!$D$9="Ready",'Inputs'!E11,"n.a.")</x:f>
        <x:v>0.24</x:v>
      </x:c>
      <x:c r="K402" s="26" t="n">
        <x:f>IF('Inputs'!$D$9="Ready",'Inputs'!F11,"n.a.")</x:f>
        <x:v>35</x:v>
      </x:c>
      <x:c r="L402" s="29" t="n">
        <x:f>IF('Inputs'!$D$9="Ready",'Inputs'!G11,"n.a.")</x:f>
        <x:v>0.02</x:v>
      </x:c>
      <x:c r="M402" s="22" t="n">
        <x:f>IF(COUNT(I402:L402)=4,ROUND(I402*J402/12,2),"n.a.")</x:f>
        <x:v>0</x:v>
      </x:c>
      <x:c r="N402" s="22" t="n">
        <x:f>IF(COUNT(I402:M402)=5,MIN(I402+M402,ROUND(MAX(K402,I402*L402+M402),2)),"n.a.")</x:f>
        <x:v>0</x:v>
      </x:c>
      <x:c r="O402" s="30" t="n">
        <x:f>IF(COUNT($I$402:$I$406)&lt;&gt;5,"n.a.",IF(I402=0,6,IF('Inputs'!$D$5=1,COUNTIFS($I$402:$I$406,"&gt;0",$I$402:$I$406,"&lt;"&amp;I402)+COUNTIFS($I$402:I402,I402),COUNTIFS($I$402:$I$406,"&gt;0",$J$402:$J$406,"&gt;"&amp;J402)+COUNTIFS($I$402:I402,"&gt;0",$J$402:J402,J402))))</x:f>
        <x:v>6</x:v>
      </x:c>
      <x:c r="P402" s="22" t="n">
        <x:f>IF(T402="Ready",MIN(U402,MAX(0,G402-SUMIFS($U$402:$U$406,$O$402:$O$406,"&lt;"&amp;O402))),"n.a.")</x:f>
        <x:v>0</x:v>
      </x:c>
      <x:c r="Q402" s="22" t="n">
        <x:f>IF(T402="Ready",ROUND(N402+P402,2),"n.a.")</x:f>
        <x:v>0</x:v>
      </x:c>
      <x:c r="R402" s="22" t="n">
        <x:f>IF(T402="Ready",ROUND(Q402-M402,2),"n.a.")</x:f>
        <x:v>0</x:v>
      </x:c>
      <x:c r="S402" s="22" t="n">
        <x:f>IF(T402="Ready",MAX(0,ROUND(I402+M402-Q402,2)),"n.a.")</x:f>
        <x:v>0</x:v>
      </x:c>
      <x:c r="T402" s="22" t="str">
        <x:f>IF(AND(COUNT($I$402:$I$406)=5,COUNT(E402:F402)=2),IF(E402&gt;=F402,"Ready","Budget below minima"),"Check inputs")</x:f>
        <x:v>Ready</x:v>
      </x:c>
      <x:c r="U402" s="22" t="n">
        <x:f>IF(COUNT(I402,M402,N402)=3,MAX(0,ROUND(I402+M402-N402,2)),"n.a.")</x:f>
        <x:v>0</x:v>
      </x:c>
    </x:row>
    <x:row r="403" ht="22" customHeight="1">
      <x:c r="A403" s="2"/>
      <x:c r="B403" s="2"/>
      <x:c r="C403" s="27" t="n">
        <x:f>80</x:f>
        <x:v>80</x:v>
      </x:c>
      <x:c r="D403" s="28" t="n">
        <x:f>IF(ISNUMBER('Inputs'!$D$7),EDATE('Inputs'!$D$7,79),"n.a.")</x:f>
        <x:v>48731</x:v>
      </x:c>
      <x:c r="E403" s="26" t="n">
        <x:f>IF('Inputs'!$D$9&lt;&gt;"Ready","n.a.",IF(ISNUMBER('Inputs'!E98),IF('Inputs'!E98&gt;=0,'Inputs'!E98,"n.a."),IF('Inputs'!E98="",'Inputs'!$D$6,"n.a.")))</x:f>
        <x:v>500</x:v>
      </x:c>
      <x:c r="F403" s="22" t="n">
        <x:f>IF(COUNT($N$402:$N$406)=5,SUM($N$402:$N$406),"n.a.")</x:f>
        <x:v>0</x:v>
      </x:c>
      <x:c r="G403" s="22" t="n">
        <x:f>IF(COUNT(E403:F403)=2,MAX(0,E403-F403),"n.a.")</x:f>
        <x:v>500</x:v>
      </x:c>
      <x:c r="H403" s="26" t="str">
        <x:f>'Inputs'!C12</x:f>
        <x:v>Card B</x:v>
      </x:c>
      <x:c r="I403" s="26" t="n">
        <x:f>S398</x:f>
        <x:v>0</x:v>
      </x:c>
      <x:c r="J403" s="29" t="n">
        <x:f>IF('Inputs'!$D$9="Ready",'Inputs'!E12,"n.a.")</x:f>
        <x:v>0.18</x:v>
      </x:c>
      <x:c r="K403" s="26" t="n">
        <x:f>IF('Inputs'!$D$9="Ready",'Inputs'!F12,"n.a.")</x:f>
        <x:v>60</x:v>
      </x:c>
      <x:c r="L403" s="29" t="n">
        <x:f>IF('Inputs'!$D$9="Ready",'Inputs'!G12,"n.a.")</x:f>
        <x:v>0.02</x:v>
      </x:c>
      <x:c r="M403" s="22" t="n">
        <x:f>IF(COUNT(I403:L403)=4,ROUND(I403*J403/12,2),"n.a.")</x:f>
        <x:v>0</x:v>
      </x:c>
      <x:c r="N403" s="22" t="n">
        <x:f>IF(COUNT(I403:M403)=5,MIN(I403+M403,ROUND(MAX(K403,I403*L403+M403),2)),"n.a.")</x:f>
        <x:v>0</x:v>
      </x:c>
      <x:c r="O403" s="30" t="n">
        <x:f>IF(COUNT($I$402:$I$406)&lt;&gt;5,"n.a.",IF(I403=0,6,IF('Inputs'!$D$5=1,COUNTIFS($I$402:$I$406,"&gt;0",$I$402:$I$406,"&lt;"&amp;I403)+COUNTIFS($I$402:I403,I403),COUNTIFS($I$402:$I$406,"&gt;0",$J$402:$J$406,"&gt;"&amp;J403)+COUNTIFS($I$402:I403,"&gt;0",$J$402:J403,J403))))</x:f>
        <x:v>6</x:v>
      </x:c>
      <x:c r="P403" s="22" t="n">
        <x:f>IF(T403="Ready",MIN(U403,MAX(0,G403-SUMIFS($U$402:$U$406,$O$402:$O$406,"&lt;"&amp;O403))),"n.a.")</x:f>
        <x:v>0</x:v>
      </x:c>
      <x:c r="Q403" s="22" t="n">
        <x:f>IF(T403="Ready",ROUND(N403+P403,2),"n.a.")</x:f>
        <x:v>0</x:v>
      </x:c>
      <x:c r="R403" s="22" t="n">
        <x:f>IF(T403="Ready",ROUND(Q403-M403,2),"n.a.")</x:f>
        <x:v>0</x:v>
      </x:c>
      <x:c r="S403" s="22" t="n">
        <x:f>IF(T403="Ready",MAX(0,ROUND(I403+M403-Q403,2)),"n.a.")</x:f>
        <x:v>0</x:v>
      </x:c>
      <x:c r="T403" s="22" t="str">
        <x:f>IF(AND(COUNT($I$402:$I$406)=5,COUNT(E403:F403)=2),IF(E403&gt;=F403,"Ready","Budget below minima"),"Check inputs")</x:f>
        <x:v>Ready</x:v>
      </x:c>
      <x:c r="U403" s="22" t="n">
        <x:f>IF(COUNT(I403,M403,N403)=3,MAX(0,ROUND(I403+M403-N403,2)),"n.a.")</x:f>
        <x:v>0</x:v>
      </x:c>
    </x:row>
    <x:row r="404" ht="22" customHeight="1">
      <x:c r="A404" s="2"/>
      <x:c r="B404" s="2"/>
      <x:c r="C404" s="27" t="n">
        <x:f>80</x:f>
        <x:v>80</x:v>
      </x:c>
      <x:c r="D404" s="28" t="n">
        <x:f>IF(ISNUMBER('Inputs'!$D$7),EDATE('Inputs'!$D$7,79),"n.a.")</x:f>
        <x:v>48731</x:v>
      </x:c>
      <x:c r="E404" s="26" t="n">
        <x:f>IF('Inputs'!$D$9&lt;&gt;"Ready","n.a.",IF(ISNUMBER('Inputs'!E98),IF('Inputs'!E98&gt;=0,'Inputs'!E98,"n.a."),IF('Inputs'!E98="",'Inputs'!$D$6,"n.a.")))</x:f>
        <x:v>500</x:v>
      </x:c>
      <x:c r="F404" s="22" t="n">
        <x:f>IF(COUNT($N$402:$N$406)=5,SUM($N$402:$N$406),"n.a.")</x:f>
        <x:v>0</x:v>
      </x:c>
      <x:c r="G404" s="22" t="n">
        <x:f>IF(COUNT(E404:F404)=2,MAX(0,E404-F404),"n.a.")</x:f>
        <x:v>500</x:v>
      </x:c>
      <x:c r="H404" s="26" t="str">
        <x:f>'Inputs'!C13</x:f>
        <x:v>Loan C</x:v>
      </x:c>
      <x:c r="I404" s="26" t="n">
        <x:f>S399</x:f>
        <x:v>0</x:v>
      </x:c>
      <x:c r="J404" s="29" t="n">
        <x:f>IF('Inputs'!$D$9="Ready",'Inputs'!E13,"n.a.")</x:f>
        <x:v>0.08</x:v>
      </x:c>
      <x:c r="K404" s="26" t="n">
        <x:f>IF('Inputs'!$D$9="Ready",'Inputs'!F13,"n.a.")</x:f>
        <x:v>150</x:v>
      </x:c>
      <x:c r="L404" s="29" t="n">
        <x:f>IF('Inputs'!$D$9="Ready",'Inputs'!G13,"n.a.")</x:f>
        <x:v>0</x:v>
      </x:c>
      <x:c r="M404" s="22" t="n">
        <x:f>IF(COUNT(I404:L404)=4,ROUND(I404*J404/12,2),"n.a.")</x:f>
        <x:v>0</x:v>
      </x:c>
      <x:c r="N404" s="22" t="n">
        <x:f>IF(COUNT(I404:M404)=5,MIN(I404+M404,ROUND(MAX(K404,I404*L404+M404),2)),"n.a.")</x:f>
        <x:v>0</x:v>
      </x:c>
      <x:c r="O404" s="30" t="n">
        <x:f>IF(COUNT($I$402:$I$406)&lt;&gt;5,"n.a.",IF(I404=0,6,IF('Inputs'!$D$5=1,COUNTIFS($I$402:$I$406,"&gt;0",$I$402:$I$406,"&lt;"&amp;I404)+COUNTIFS($I$402:I404,I404),COUNTIFS($I$402:$I$406,"&gt;0",$J$402:$J$406,"&gt;"&amp;J404)+COUNTIFS($I$402:I404,"&gt;0",$J$402:J404,J404))))</x:f>
        <x:v>6</x:v>
      </x:c>
      <x:c r="P404" s="22" t="n">
        <x:f>IF(T404="Ready",MIN(U404,MAX(0,G404-SUMIFS($U$402:$U$406,$O$402:$O$406,"&lt;"&amp;O404))),"n.a.")</x:f>
        <x:v>0</x:v>
      </x:c>
      <x:c r="Q404" s="22" t="n">
        <x:f>IF(T404="Ready",ROUND(N404+P404,2),"n.a.")</x:f>
        <x:v>0</x:v>
      </x:c>
      <x:c r="R404" s="22" t="n">
        <x:f>IF(T404="Ready",ROUND(Q404-M404,2),"n.a.")</x:f>
        <x:v>0</x:v>
      </x:c>
      <x:c r="S404" s="22" t="n">
        <x:f>IF(T404="Ready",MAX(0,ROUND(I404+M404-Q404,2)),"n.a.")</x:f>
        <x:v>0</x:v>
      </x:c>
      <x:c r="T404" s="22" t="str">
        <x:f>IF(AND(COUNT($I$402:$I$406)=5,COUNT(E404:F404)=2),IF(E404&gt;=F404,"Ready","Budget below minima"),"Check inputs")</x:f>
        <x:v>Ready</x:v>
      </x:c>
      <x:c r="U404" s="22" t="n">
        <x:f>IF(COUNT(I404,M404,N404)=3,MAX(0,ROUND(I404+M404-N404,2)),"n.a.")</x:f>
        <x:v>0</x:v>
      </x:c>
    </x:row>
    <x:row r="405" ht="22" customHeight="1">
      <x:c r="A405" s="2"/>
      <x:c r="B405" s="2"/>
      <x:c r="C405" s="27" t="n">
        <x:f>80</x:f>
        <x:v>80</x:v>
      </x:c>
      <x:c r="D405" s="28" t="n">
        <x:f>IF(ISNUMBER('Inputs'!$D$7),EDATE('Inputs'!$D$7,79),"n.a.")</x:f>
        <x:v>48731</x:v>
      </x:c>
      <x:c r="E405" s="26" t="n">
        <x:f>IF('Inputs'!$D$9&lt;&gt;"Ready","n.a.",IF(ISNUMBER('Inputs'!E98),IF('Inputs'!E98&gt;=0,'Inputs'!E98,"n.a."),IF('Inputs'!E98="",'Inputs'!$D$6,"n.a.")))</x:f>
        <x:v>500</x:v>
      </x:c>
      <x:c r="F405" s="22" t="n">
        <x:f>IF(COUNT($N$402:$N$406)=5,SUM($N$402:$N$406),"n.a.")</x:f>
        <x:v>0</x:v>
      </x:c>
      <x:c r="G405" s="22" t="n">
        <x:f>IF(COUNT(E405:F405)=2,MAX(0,E405-F405),"n.a.")</x:f>
        <x:v>500</x:v>
      </x:c>
      <x:c r="H405" s="26" t="str">
        <x:f>'Inputs'!C14</x:f>
        <x:v>Unused 4</x:v>
      </x:c>
      <x:c r="I405" s="26" t="n">
        <x:f>S400</x:f>
        <x:v>0</x:v>
      </x:c>
      <x:c r="J405" s="29" t="n">
        <x:f>IF('Inputs'!$D$9="Ready",'Inputs'!E14,"n.a.")</x:f>
        <x:v>0</x:v>
      </x:c>
      <x:c r="K405" s="26" t="n">
        <x:f>IF('Inputs'!$D$9="Ready",'Inputs'!F14,"n.a.")</x:f>
        <x:v>0</x:v>
      </x:c>
      <x:c r="L405" s="29" t="n">
        <x:f>IF('Inputs'!$D$9="Ready",'Inputs'!G14,"n.a.")</x:f>
        <x:v>0</x:v>
      </x:c>
      <x:c r="M405" s="22" t="n">
        <x:f>IF(COUNT(I405:L405)=4,ROUND(I405*J405/12,2),"n.a.")</x:f>
        <x:v>0</x:v>
      </x:c>
      <x:c r="N405" s="22" t="n">
        <x:f>IF(COUNT(I405:M405)=5,MIN(I405+M405,ROUND(MAX(K405,I405*L405+M405),2)),"n.a.")</x:f>
        <x:v>0</x:v>
      </x:c>
      <x:c r="O405" s="30" t="n">
        <x:f>IF(COUNT($I$402:$I$406)&lt;&gt;5,"n.a.",IF(I405=0,6,IF('Inputs'!$D$5=1,COUNTIFS($I$402:$I$406,"&gt;0",$I$402:$I$406,"&lt;"&amp;I405)+COUNTIFS($I$402:I405,I405),COUNTIFS($I$402:$I$406,"&gt;0",$J$402:$J$406,"&gt;"&amp;J405)+COUNTIFS($I$402:I405,"&gt;0",$J$402:J405,J405))))</x:f>
        <x:v>6</x:v>
      </x:c>
      <x:c r="P405" s="22" t="n">
        <x:f>IF(T405="Ready",MIN(U405,MAX(0,G405-SUMIFS($U$402:$U$406,$O$402:$O$406,"&lt;"&amp;O405))),"n.a.")</x:f>
        <x:v>0</x:v>
      </x:c>
      <x:c r="Q405" s="22" t="n">
        <x:f>IF(T405="Ready",ROUND(N405+P405,2),"n.a.")</x:f>
        <x:v>0</x:v>
      </x:c>
      <x:c r="R405" s="22" t="n">
        <x:f>IF(T405="Ready",ROUND(Q405-M405,2),"n.a.")</x:f>
        <x:v>0</x:v>
      </x:c>
      <x:c r="S405" s="22" t="n">
        <x:f>IF(T405="Ready",MAX(0,ROUND(I405+M405-Q405,2)),"n.a.")</x:f>
        <x:v>0</x:v>
      </x:c>
      <x:c r="T405" s="22" t="str">
        <x:f>IF(AND(COUNT($I$402:$I$406)=5,COUNT(E405:F405)=2),IF(E405&gt;=F405,"Ready","Budget below minima"),"Check inputs")</x:f>
        <x:v>Ready</x:v>
      </x:c>
      <x:c r="U405" s="22" t="n">
        <x:f>IF(COUNT(I405,M405,N405)=3,MAX(0,ROUND(I405+M405-N405,2)),"n.a.")</x:f>
        <x:v>0</x:v>
      </x:c>
    </x:row>
    <x:row r="406" ht="22" customHeight="1">
      <x:c r="A406" s="2"/>
      <x:c r="B406" s="2"/>
      <x:c r="C406" s="27" t="n">
        <x:f>80</x:f>
        <x:v>80</x:v>
      </x:c>
      <x:c r="D406" s="28" t="n">
        <x:f>IF(ISNUMBER('Inputs'!$D$7),EDATE('Inputs'!$D$7,79),"n.a.")</x:f>
        <x:v>48731</x:v>
      </x:c>
      <x:c r="E406" s="26" t="n">
        <x:f>IF('Inputs'!$D$9&lt;&gt;"Ready","n.a.",IF(ISNUMBER('Inputs'!E98),IF('Inputs'!E98&gt;=0,'Inputs'!E98,"n.a."),IF('Inputs'!E98="",'Inputs'!$D$6,"n.a.")))</x:f>
        <x:v>500</x:v>
      </x:c>
      <x:c r="F406" s="22" t="n">
        <x:f>IF(COUNT($N$402:$N$406)=5,SUM($N$402:$N$406),"n.a.")</x:f>
        <x:v>0</x:v>
      </x:c>
      <x:c r="G406" s="22" t="n">
        <x:f>IF(COUNT(E406:F406)=2,MAX(0,E406-F406),"n.a.")</x:f>
        <x:v>500</x:v>
      </x:c>
      <x:c r="H406" s="26" t="str">
        <x:f>'Inputs'!C15</x:f>
        <x:v>Unused 5</x:v>
      </x:c>
      <x:c r="I406" s="26" t="n">
        <x:f>S401</x:f>
        <x:v>0</x:v>
      </x:c>
      <x:c r="J406" s="29" t="n">
        <x:f>IF('Inputs'!$D$9="Ready",'Inputs'!E15,"n.a.")</x:f>
        <x:v>0</x:v>
      </x:c>
      <x:c r="K406" s="26" t="n">
        <x:f>IF('Inputs'!$D$9="Ready",'Inputs'!F15,"n.a.")</x:f>
        <x:v>0</x:v>
      </x:c>
      <x:c r="L406" s="29" t="n">
        <x:f>IF('Inputs'!$D$9="Ready",'Inputs'!G15,"n.a.")</x:f>
        <x:v>0</x:v>
      </x:c>
      <x:c r="M406" s="22" t="n">
        <x:f>IF(COUNT(I406:L406)=4,ROUND(I406*J406/12,2),"n.a.")</x:f>
        <x:v>0</x:v>
      </x:c>
      <x:c r="N406" s="22" t="n">
        <x:f>IF(COUNT(I406:M406)=5,MIN(I406+M406,ROUND(MAX(K406,I406*L406+M406),2)),"n.a.")</x:f>
        <x:v>0</x:v>
      </x:c>
      <x:c r="O406" s="30" t="n">
        <x:f>IF(COUNT($I$402:$I$406)&lt;&gt;5,"n.a.",IF(I406=0,6,IF('Inputs'!$D$5=1,COUNTIFS($I$402:$I$406,"&gt;0",$I$402:$I$406,"&lt;"&amp;I406)+COUNTIFS($I$402:I406,I406),COUNTIFS($I$402:$I$406,"&gt;0",$J$402:$J$406,"&gt;"&amp;J406)+COUNTIFS($I$402:I406,"&gt;0",$J$402:J406,J406))))</x:f>
        <x:v>6</x:v>
      </x:c>
      <x:c r="P406" s="22" t="n">
        <x:f>IF(T406="Ready",MIN(U406,MAX(0,G406-SUMIFS($U$402:$U$406,$O$402:$O$406,"&lt;"&amp;O406))),"n.a.")</x:f>
        <x:v>0</x:v>
      </x:c>
      <x:c r="Q406" s="22" t="n">
        <x:f>IF(T406="Ready",ROUND(N406+P406,2),"n.a.")</x:f>
        <x:v>0</x:v>
      </x:c>
      <x:c r="R406" s="22" t="n">
        <x:f>IF(T406="Ready",ROUND(Q406-M406,2),"n.a.")</x:f>
        <x:v>0</x:v>
      </x:c>
      <x:c r="S406" s="22" t="n">
        <x:f>IF(T406="Ready",MAX(0,ROUND(I406+M406-Q406,2)),"n.a.")</x:f>
        <x:v>0</x:v>
      </x:c>
      <x:c r="T406" s="22" t="str">
        <x:f>IF(AND(COUNT($I$402:$I$406)=5,COUNT(E406:F406)=2),IF(E406&gt;=F406,"Ready","Budget below minima"),"Check inputs")</x:f>
        <x:v>Ready</x:v>
      </x:c>
      <x:c r="U406" s="22" t="n">
        <x:f>IF(COUNT(I406,M406,N406)=3,MAX(0,ROUND(I406+M406-N406,2)),"n.a.")</x:f>
        <x:v>0</x:v>
      </x:c>
    </x:row>
    <x:row r="407" ht="22" customHeight="1">
      <x:c r="A407" s="2"/>
      <x:c r="B407" s="2"/>
      <x:c r="C407" s="27" t="n">
        <x:f>81</x:f>
        <x:v>81</x:v>
      </x:c>
      <x:c r="D407" s="28" t="n">
        <x:f>IF(ISNUMBER('Inputs'!$D$7),EDATE('Inputs'!$D$7,80),"n.a.")</x:f>
        <x:v>48761</x:v>
      </x:c>
      <x:c r="E407" s="26" t="n">
        <x:f>IF('Inputs'!$D$9&lt;&gt;"Ready","n.a.",IF(ISNUMBER('Inputs'!E99),IF('Inputs'!E99&gt;=0,'Inputs'!E99,"n.a."),IF('Inputs'!E99="",'Inputs'!$D$6,"n.a.")))</x:f>
        <x:v>500</x:v>
      </x:c>
      <x:c r="F407" s="22" t="n">
        <x:f>IF(COUNT($N$407:$N$411)=5,SUM($N$407:$N$411),"n.a.")</x:f>
        <x:v>0</x:v>
      </x:c>
      <x:c r="G407" s="22" t="n">
        <x:f>IF(COUNT(E407:F407)=2,MAX(0,E407-F407),"n.a.")</x:f>
        <x:v>500</x:v>
      </x:c>
      <x:c r="H407" s="26" t="str">
        <x:f>'Inputs'!C11</x:f>
        <x:v>Card A</x:v>
      </x:c>
      <x:c r="I407" s="26" t="n">
        <x:f>S402</x:f>
        <x:v>0</x:v>
      </x:c>
      <x:c r="J407" s="29" t="n">
        <x:f>IF('Inputs'!$D$9="Ready",'Inputs'!E11,"n.a.")</x:f>
        <x:v>0.24</x:v>
      </x:c>
      <x:c r="K407" s="26" t="n">
        <x:f>IF('Inputs'!$D$9="Ready",'Inputs'!F11,"n.a.")</x:f>
        <x:v>35</x:v>
      </x:c>
      <x:c r="L407" s="29" t="n">
        <x:f>IF('Inputs'!$D$9="Ready",'Inputs'!G11,"n.a.")</x:f>
        <x:v>0.02</x:v>
      </x:c>
      <x:c r="M407" s="22" t="n">
        <x:f>IF(COUNT(I407:L407)=4,ROUND(I407*J407/12,2),"n.a.")</x:f>
        <x:v>0</x:v>
      </x:c>
      <x:c r="N407" s="22" t="n">
        <x:f>IF(COUNT(I407:M407)=5,MIN(I407+M407,ROUND(MAX(K407,I407*L407+M407),2)),"n.a.")</x:f>
        <x:v>0</x:v>
      </x:c>
      <x:c r="O407" s="30" t="n">
        <x:f>IF(COUNT($I$407:$I$411)&lt;&gt;5,"n.a.",IF(I407=0,6,IF('Inputs'!$D$5=1,COUNTIFS($I$407:$I$411,"&gt;0",$I$407:$I$411,"&lt;"&amp;I407)+COUNTIFS($I$407:I407,I407),COUNTIFS($I$407:$I$411,"&gt;0",$J$407:$J$411,"&gt;"&amp;J407)+COUNTIFS($I$407:I407,"&gt;0",$J$407:J407,J407))))</x:f>
        <x:v>6</x:v>
      </x:c>
      <x:c r="P407" s="22" t="n">
        <x:f>IF(T407="Ready",MIN(U407,MAX(0,G407-SUMIFS($U$407:$U$411,$O$407:$O$411,"&lt;"&amp;O407))),"n.a.")</x:f>
        <x:v>0</x:v>
      </x:c>
      <x:c r="Q407" s="22" t="n">
        <x:f>IF(T407="Ready",ROUND(N407+P407,2),"n.a.")</x:f>
        <x:v>0</x:v>
      </x:c>
      <x:c r="R407" s="22" t="n">
        <x:f>IF(T407="Ready",ROUND(Q407-M407,2),"n.a.")</x:f>
        <x:v>0</x:v>
      </x:c>
      <x:c r="S407" s="22" t="n">
        <x:f>IF(T407="Ready",MAX(0,ROUND(I407+M407-Q407,2)),"n.a.")</x:f>
        <x:v>0</x:v>
      </x:c>
      <x:c r="T407" s="22" t="str">
        <x:f>IF(AND(COUNT($I$407:$I$411)=5,COUNT(E407:F407)=2),IF(E407&gt;=F407,"Ready","Budget below minima"),"Check inputs")</x:f>
        <x:v>Ready</x:v>
      </x:c>
      <x:c r="U407" s="22" t="n">
        <x:f>IF(COUNT(I407,M407,N407)=3,MAX(0,ROUND(I407+M407-N407,2)),"n.a.")</x:f>
        <x:v>0</x:v>
      </x:c>
    </x:row>
    <x:row r="408" ht="22" customHeight="1">
      <x:c r="A408" s="2"/>
      <x:c r="B408" s="2"/>
      <x:c r="C408" s="27" t="n">
        <x:f>81</x:f>
        <x:v>81</x:v>
      </x:c>
      <x:c r="D408" s="28" t="n">
        <x:f>IF(ISNUMBER('Inputs'!$D$7),EDATE('Inputs'!$D$7,80),"n.a.")</x:f>
        <x:v>48761</x:v>
      </x:c>
      <x:c r="E408" s="26" t="n">
        <x:f>IF('Inputs'!$D$9&lt;&gt;"Ready","n.a.",IF(ISNUMBER('Inputs'!E99),IF('Inputs'!E99&gt;=0,'Inputs'!E99,"n.a."),IF('Inputs'!E99="",'Inputs'!$D$6,"n.a.")))</x:f>
        <x:v>500</x:v>
      </x:c>
      <x:c r="F408" s="22" t="n">
        <x:f>IF(COUNT($N$407:$N$411)=5,SUM($N$407:$N$411),"n.a.")</x:f>
        <x:v>0</x:v>
      </x:c>
      <x:c r="G408" s="22" t="n">
        <x:f>IF(COUNT(E408:F408)=2,MAX(0,E408-F408),"n.a.")</x:f>
        <x:v>500</x:v>
      </x:c>
      <x:c r="H408" s="26" t="str">
        <x:f>'Inputs'!C12</x:f>
        <x:v>Card B</x:v>
      </x:c>
      <x:c r="I408" s="26" t="n">
        <x:f>S403</x:f>
        <x:v>0</x:v>
      </x:c>
      <x:c r="J408" s="29" t="n">
        <x:f>IF('Inputs'!$D$9="Ready",'Inputs'!E12,"n.a.")</x:f>
        <x:v>0.18</x:v>
      </x:c>
      <x:c r="K408" s="26" t="n">
        <x:f>IF('Inputs'!$D$9="Ready",'Inputs'!F12,"n.a.")</x:f>
        <x:v>60</x:v>
      </x:c>
      <x:c r="L408" s="29" t="n">
        <x:f>IF('Inputs'!$D$9="Ready",'Inputs'!G12,"n.a.")</x:f>
        <x:v>0.02</x:v>
      </x:c>
      <x:c r="M408" s="22" t="n">
        <x:f>IF(COUNT(I408:L408)=4,ROUND(I408*J408/12,2),"n.a.")</x:f>
        <x:v>0</x:v>
      </x:c>
      <x:c r="N408" s="22" t="n">
        <x:f>IF(COUNT(I408:M408)=5,MIN(I408+M408,ROUND(MAX(K408,I408*L408+M408),2)),"n.a.")</x:f>
        <x:v>0</x:v>
      </x:c>
      <x:c r="O408" s="30" t="n">
        <x:f>IF(COUNT($I$407:$I$411)&lt;&gt;5,"n.a.",IF(I408=0,6,IF('Inputs'!$D$5=1,COUNTIFS($I$407:$I$411,"&gt;0",$I$407:$I$411,"&lt;"&amp;I408)+COUNTIFS($I$407:I408,I408),COUNTIFS($I$407:$I$411,"&gt;0",$J$407:$J$411,"&gt;"&amp;J408)+COUNTIFS($I$407:I408,"&gt;0",$J$407:J408,J408))))</x:f>
        <x:v>6</x:v>
      </x:c>
      <x:c r="P408" s="22" t="n">
        <x:f>IF(T408="Ready",MIN(U408,MAX(0,G408-SUMIFS($U$407:$U$411,$O$407:$O$411,"&lt;"&amp;O408))),"n.a.")</x:f>
        <x:v>0</x:v>
      </x:c>
      <x:c r="Q408" s="22" t="n">
        <x:f>IF(T408="Ready",ROUND(N408+P408,2),"n.a.")</x:f>
        <x:v>0</x:v>
      </x:c>
      <x:c r="R408" s="22" t="n">
        <x:f>IF(T408="Ready",ROUND(Q408-M408,2),"n.a.")</x:f>
        <x:v>0</x:v>
      </x:c>
      <x:c r="S408" s="22" t="n">
        <x:f>IF(T408="Ready",MAX(0,ROUND(I408+M408-Q408,2)),"n.a.")</x:f>
        <x:v>0</x:v>
      </x:c>
      <x:c r="T408" s="22" t="str">
        <x:f>IF(AND(COUNT($I$407:$I$411)=5,COUNT(E408:F408)=2),IF(E408&gt;=F408,"Ready","Budget below minima"),"Check inputs")</x:f>
        <x:v>Ready</x:v>
      </x:c>
      <x:c r="U408" s="22" t="n">
        <x:f>IF(COUNT(I408,M408,N408)=3,MAX(0,ROUND(I408+M408-N408,2)),"n.a.")</x:f>
        <x:v>0</x:v>
      </x:c>
    </x:row>
    <x:row r="409" ht="22" customHeight="1">
      <x:c r="A409" s="2"/>
      <x:c r="B409" s="2"/>
      <x:c r="C409" s="27" t="n">
        <x:f>81</x:f>
        <x:v>81</x:v>
      </x:c>
      <x:c r="D409" s="28" t="n">
        <x:f>IF(ISNUMBER('Inputs'!$D$7),EDATE('Inputs'!$D$7,80),"n.a.")</x:f>
        <x:v>48761</x:v>
      </x:c>
      <x:c r="E409" s="26" t="n">
        <x:f>IF('Inputs'!$D$9&lt;&gt;"Ready","n.a.",IF(ISNUMBER('Inputs'!E99),IF('Inputs'!E99&gt;=0,'Inputs'!E99,"n.a."),IF('Inputs'!E99="",'Inputs'!$D$6,"n.a.")))</x:f>
        <x:v>500</x:v>
      </x:c>
      <x:c r="F409" s="22" t="n">
        <x:f>IF(COUNT($N$407:$N$411)=5,SUM($N$407:$N$411),"n.a.")</x:f>
        <x:v>0</x:v>
      </x:c>
      <x:c r="G409" s="22" t="n">
        <x:f>IF(COUNT(E409:F409)=2,MAX(0,E409-F409),"n.a.")</x:f>
        <x:v>500</x:v>
      </x:c>
      <x:c r="H409" s="26" t="str">
        <x:f>'Inputs'!C13</x:f>
        <x:v>Loan C</x:v>
      </x:c>
      <x:c r="I409" s="26" t="n">
        <x:f>S404</x:f>
        <x:v>0</x:v>
      </x:c>
      <x:c r="J409" s="29" t="n">
        <x:f>IF('Inputs'!$D$9="Ready",'Inputs'!E13,"n.a.")</x:f>
        <x:v>0.08</x:v>
      </x:c>
      <x:c r="K409" s="26" t="n">
        <x:f>IF('Inputs'!$D$9="Ready",'Inputs'!F13,"n.a.")</x:f>
        <x:v>150</x:v>
      </x:c>
      <x:c r="L409" s="29" t="n">
        <x:f>IF('Inputs'!$D$9="Ready",'Inputs'!G13,"n.a.")</x:f>
        <x:v>0</x:v>
      </x:c>
      <x:c r="M409" s="22" t="n">
        <x:f>IF(COUNT(I409:L409)=4,ROUND(I409*J409/12,2),"n.a.")</x:f>
        <x:v>0</x:v>
      </x:c>
      <x:c r="N409" s="22" t="n">
        <x:f>IF(COUNT(I409:M409)=5,MIN(I409+M409,ROUND(MAX(K409,I409*L409+M409),2)),"n.a.")</x:f>
        <x:v>0</x:v>
      </x:c>
      <x:c r="O409" s="30" t="n">
        <x:f>IF(COUNT($I$407:$I$411)&lt;&gt;5,"n.a.",IF(I409=0,6,IF('Inputs'!$D$5=1,COUNTIFS($I$407:$I$411,"&gt;0",$I$407:$I$411,"&lt;"&amp;I409)+COUNTIFS($I$407:I409,I409),COUNTIFS($I$407:$I$411,"&gt;0",$J$407:$J$411,"&gt;"&amp;J409)+COUNTIFS($I$407:I409,"&gt;0",$J$407:J409,J409))))</x:f>
        <x:v>6</x:v>
      </x:c>
      <x:c r="P409" s="22" t="n">
        <x:f>IF(T409="Ready",MIN(U409,MAX(0,G409-SUMIFS($U$407:$U$411,$O$407:$O$411,"&lt;"&amp;O409))),"n.a.")</x:f>
        <x:v>0</x:v>
      </x:c>
      <x:c r="Q409" s="22" t="n">
        <x:f>IF(T409="Ready",ROUND(N409+P409,2),"n.a.")</x:f>
        <x:v>0</x:v>
      </x:c>
      <x:c r="R409" s="22" t="n">
        <x:f>IF(T409="Ready",ROUND(Q409-M409,2),"n.a.")</x:f>
        <x:v>0</x:v>
      </x:c>
      <x:c r="S409" s="22" t="n">
        <x:f>IF(T409="Ready",MAX(0,ROUND(I409+M409-Q409,2)),"n.a.")</x:f>
        <x:v>0</x:v>
      </x:c>
      <x:c r="T409" s="22" t="str">
        <x:f>IF(AND(COUNT($I$407:$I$411)=5,COUNT(E409:F409)=2),IF(E409&gt;=F409,"Ready","Budget below minima"),"Check inputs")</x:f>
        <x:v>Ready</x:v>
      </x:c>
      <x:c r="U409" s="22" t="n">
        <x:f>IF(COUNT(I409,M409,N409)=3,MAX(0,ROUND(I409+M409-N409,2)),"n.a.")</x:f>
        <x:v>0</x:v>
      </x:c>
    </x:row>
    <x:row r="410" ht="22" customHeight="1">
      <x:c r="A410" s="2"/>
      <x:c r="B410" s="2"/>
      <x:c r="C410" s="27" t="n">
        <x:f>81</x:f>
        <x:v>81</x:v>
      </x:c>
      <x:c r="D410" s="28" t="n">
        <x:f>IF(ISNUMBER('Inputs'!$D$7),EDATE('Inputs'!$D$7,80),"n.a.")</x:f>
        <x:v>48761</x:v>
      </x:c>
      <x:c r="E410" s="26" t="n">
        <x:f>IF('Inputs'!$D$9&lt;&gt;"Ready","n.a.",IF(ISNUMBER('Inputs'!E99),IF('Inputs'!E99&gt;=0,'Inputs'!E99,"n.a."),IF('Inputs'!E99="",'Inputs'!$D$6,"n.a.")))</x:f>
        <x:v>500</x:v>
      </x:c>
      <x:c r="F410" s="22" t="n">
        <x:f>IF(COUNT($N$407:$N$411)=5,SUM($N$407:$N$411),"n.a.")</x:f>
        <x:v>0</x:v>
      </x:c>
      <x:c r="G410" s="22" t="n">
        <x:f>IF(COUNT(E410:F410)=2,MAX(0,E410-F410),"n.a.")</x:f>
        <x:v>500</x:v>
      </x:c>
      <x:c r="H410" s="26" t="str">
        <x:f>'Inputs'!C14</x:f>
        <x:v>Unused 4</x:v>
      </x:c>
      <x:c r="I410" s="26" t="n">
        <x:f>S405</x:f>
        <x:v>0</x:v>
      </x:c>
      <x:c r="J410" s="29" t="n">
        <x:f>IF('Inputs'!$D$9="Ready",'Inputs'!E14,"n.a.")</x:f>
        <x:v>0</x:v>
      </x:c>
      <x:c r="K410" s="26" t="n">
        <x:f>IF('Inputs'!$D$9="Ready",'Inputs'!F14,"n.a.")</x:f>
        <x:v>0</x:v>
      </x:c>
      <x:c r="L410" s="29" t="n">
        <x:f>IF('Inputs'!$D$9="Ready",'Inputs'!G14,"n.a.")</x:f>
        <x:v>0</x:v>
      </x:c>
      <x:c r="M410" s="22" t="n">
        <x:f>IF(COUNT(I410:L410)=4,ROUND(I410*J410/12,2),"n.a.")</x:f>
        <x:v>0</x:v>
      </x:c>
      <x:c r="N410" s="22" t="n">
        <x:f>IF(COUNT(I410:M410)=5,MIN(I410+M410,ROUND(MAX(K410,I410*L410+M410),2)),"n.a.")</x:f>
        <x:v>0</x:v>
      </x:c>
      <x:c r="O410" s="30" t="n">
        <x:f>IF(COUNT($I$407:$I$411)&lt;&gt;5,"n.a.",IF(I410=0,6,IF('Inputs'!$D$5=1,COUNTIFS($I$407:$I$411,"&gt;0",$I$407:$I$411,"&lt;"&amp;I410)+COUNTIFS($I$407:I410,I410),COUNTIFS($I$407:$I$411,"&gt;0",$J$407:$J$411,"&gt;"&amp;J410)+COUNTIFS($I$407:I410,"&gt;0",$J$407:J410,J410))))</x:f>
        <x:v>6</x:v>
      </x:c>
      <x:c r="P410" s="22" t="n">
        <x:f>IF(T410="Ready",MIN(U410,MAX(0,G410-SUMIFS($U$407:$U$411,$O$407:$O$411,"&lt;"&amp;O410))),"n.a.")</x:f>
        <x:v>0</x:v>
      </x:c>
      <x:c r="Q410" s="22" t="n">
        <x:f>IF(T410="Ready",ROUND(N410+P410,2),"n.a.")</x:f>
        <x:v>0</x:v>
      </x:c>
      <x:c r="R410" s="22" t="n">
        <x:f>IF(T410="Ready",ROUND(Q410-M410,2),"n.a.")</x:f>
        <x:v>0</x:v>
      </x:c>
      <x:c r="S410" s="22" t="n">
        <x:f>IF(T410="Ready",MAX(0,ROUND(I410+M410-Q410,2)),"n.a.")</x:f>
        <x:v>0</x:v>
      </x:c>
      <x:c r="T410" s="22" t="str">
        <x:f>IF(AND(COUNT($I$407:$I$411)=5,COUNT(E410:F410)=2),IF(E410&gt;=F410,"Ready","Budget below minima"),"Check inputs")</x:f>
        <x:v>Ready</x:v>
      </x:c>
      <x:c r="U410" s="22" t="n">
        <x:f>IF(COUNT(I410,M410,N410)=3,MAX(0,ROUND(I410+M410-N410,2)),"n.a.")</x:f>
        <x:v>0</x:v>
      </x:c>
    </x:row>
    <x:row r="411" ht="22" customHeight="1">
      <x:c r="A411" s="2"/>
      <x:c r="B411" s="2"/>
      <x:c r="C411" s="27" t="n">
        <x:f>81</x:f>
        <x:v>81</x:v>
      </x:c>
      <x:c r="D411" s="28" t="n">
        <x:f>IF(ISNUMBER('Inputs'!$D$7),EDATE('Inputs'!$D$7,80),"n.a.")</x:f>
        <x:v>48761</x:v>
      </x:c>
      <x:c r="E411" s="26" t="n">
        <x:f>IF('Inputs'!$D$9&lt;&gt;"Ready","n.a.",IF(ISNUMBER('Inputs'!E99),IF('Inputs'!E99&gt;=0,'Inputs'!E99,"n.a."),IF('Inputs'!E99="",'Inputs'!$D$6,"n.a.")))</x:f>
        <x:v>500</x:v>
      </x:c>
      <x:c r="F411" s="22" t="n">
        <x:f>IF(COUNT($N$407:$N$411)=5,SUM($N$407:$N$411),"n.a.")</x:f>
        <x:v>0</x:v>
      </x:c>
      <x:c r="G411" s="22" t="n">
        <x:f>IF(COUNT(E411:F411)=2,MAX(0,E411-F411),"n.a.")</x:f>
        <x:v>500</x:v>
      </x:c>
      <x:c r="H411" s="26" t="str">
        <x:f>'Inputs'!C15</x:f>
        <x:v>Unused 5</x:v>
      </x:c>
      <x:c r="I411" s="26" t="n">
        <x:f>S406</x:f>
        <x:v>0</x:v>
      </x:c>
      <x:c r="J411" s="29" t="n">
        <x:f>IF('Inputs'!$D$9="Ready",'Inputs'!E15,"n.a.")</x:f>
        <x:v>0</x:v>
      </x:c>
      <x:c r="K411" s="26" t="n">
        <x:f>IF('Inputs'!$D$9="Ready",'Inputs'!F15,"n.a.")</x:f>
        <x:v>0</x:v>
      </x:c>
      <x:c r="L411" s="29" t="n">
        <x:f>IF('Inputs'!$D$9="Ready",'Inputs'!G15,"n.a.")</x:f>
        <x:v>0</x:v>
      </x:c>
      <x:c r="M411" s="22" t="n">
        <x:f>IF(COUNT(I411:L411)=4,ROUND(I411*J411/12,2),"n.a.")</x:f>
        <x:v>0</x:v>
      </x:c>
      <x:c r="N411" s="22" t="n">
        <x:f>IF(COUNT(I411:M411)=5,MIN(I411+M411,ROUND(MAX(K411,I411*L411+M411),2)),"n.a.")</x:f>
        <x:v>0</x:v>
      </x:c>
      <x:c r="O411" s="30" t="n">
        <x:f>IF(COUNT($I$407:$I$411)&lt;&gt;5,"n.a.",IF(I411=0,6,IF('Inputs'!$D$5=1,COUNTIFS($I$407:$I$411,"&gt;0",$I$407:$I$411,"&lt;"&amp;I411)+COUNTIFS($I$407:I411,I411),COUNTIFS($I$407:$I$411,"&gt;0",$J$407:$J$411,"&gt;"&amp;J411)+COUNTIFS($I$407:I411,"&gt;0",$J$407:J411,J411))))</x:f>
        <x:v>6</x:v>
      </x:c>
      <x:c r="P411" s="22" t="n">
        <x:f>IF(T411="Ready",MIN(U411,MAX(0,G411-SUMIFS($U$407:$U$411,$O$407:$O$411,"&lt;"&amp;O411))),"n.a.")</x:f>
        <x:v>0</x:v>
      </x:c>
      <x:c r="Q411" s="22" t="n">
        <x:f>IF(T411="Ready",ROUND(N411+P411,2),"n.a.")</x:f>
        <x:v>0</x:v>
      </x:c>
      <x:c r="R411" s="22" t="n">
        <x:f>IF(T411="Ready",ROUND(Q411-M411,2),"n.a.")</x:f>
        <x:v>0</x:v>
      </x:c>
      <x:c r="S411" s="22" t="n">
        <x:f>IF(T411="Ready",MAX(0,ROUND(I411+M411-Q411,2)),"n.a.")</x:f>
        <x:v>0</x:v>
      </x:c>
      <x:c r="T411" s="22" t="str">
        <x:f>IF(AND(COUNT($I$407:$I$411)=5,COUNT(E411:F411)=2),IF(E411&gt;=F411,"Ready","Budget below minima"),"Check inputs")</x:f>
        <x:v>Ready</x:v>
      </x:c>
      <x:c r="U411" s="22" t="n">
        <x:f>IF(COUNT(I411,M411,N411)=3,MAX(0,ROUND(I411+M411-N411,2)),"n.a.")</x:f>
        <x:v>0</x:v>
      </x:c>
    </x:row>
    <x:row r="412" ht="22" customHeight="1">
      <x:c r="A412" s="2"/>
      <x:c r="B412" s="2"/>
      <x:c r="C412" s="27" t="n">
        <x:f>82</x:f>
        <x:v>82</x:v>
      </x:c>
      <x:c r="D412" s="28" t="n">
        <x:f>IF(ISNUMBER('Inputs'!$D$7),EDATE('Inputs'!$D$7,81),"n.a.")</x:f>
        <x:v>48792</x:v>
      </x:c>
      <x:c r="E412" s="26" t="n">
        <x:f>IF('Inputs'!$D$9&lt;&gt;"Ready","n.a.",IF(ISNUMBER('Inputs'!E100),IF('Inputs'!E100&gt;=0,'Inputs'!E100,"n.a."),IF('Inputs'!E100="",'Inputs'!$D$6,"n.a.")))</x:f>
        <x:v>500</x:v>
      </x:c>
      <x:c r="F412" s="22" t="n">
        <x:f>IF(COUNT($N$412:$N$416)=5,SUM($N$412:$N$416),"n.a.")</x:f>
        <x:v>0</x:v>
      </x:c>
      <x:c r="G412" s="22" t="n">
        <x:f>IF(COUNT(E412:F412)=2,MAX(0,E412-F412),"n.a.")</x:f>
        <x:v>500</x:v>
      </x:c>
      <x:c r="H412" s="26" t="str">
        <x:f>'Inputs'!C11</x:f>
        <x:v>Card A</x:v>
      </x:c>
      <x:c r="I412" s="26" t="n">
        <x:f>S407</x:f>
        <x:v>0</x:v>
      </x:c>
      <x:c r="J412" s="29" t="n">
        <x:f>IF('Inputs'!$D$9="Ready",'Inputs'!E11,"n.a.")</x:f>
        <x:v>0.24</x:v>
      </x:c>
      <x:c r="K412" s="26" t="n">
        <x:f>IF('Inputs'!$D$9="Ready",'Inputs'!F11,"n.a.")</x:f>
        <x:v>35</x:v>
      </x:c>
      <x:c r="L412" s="29" t="n">
        <x:f>IF('Inputs'!$D$9="Ready",'Inputs'!G11,"n.a.")</x:f>
        <x:v>0.02</x:v>
      </x:c>
      <x:c r="M412" s="22" t="n">
        <x:f>IF(COUNT(I412:L412)=4,ROUND(I412*J412/12,2),"n.a.")</x:f>
        <x:v>0</x:v>
      </x:c>
      <x:c r="N412" s="22" t="n">
        <x:f>IF(COUNT(I412:M412)=5,MIN(I412+M412,ROUND(MAX(K412,I412*L412+M412),2)),"n.a.")</x:f>
        <x:v>0</x:v>
      </x:c>
      <x:c r="O412" s="30" t="n">
        <x:f>IF(COUNT($I$412:$I$416)&lt;&gt;5,"n.a.",IF(I412=0,6,IF('Inputs'!$D$5=1,COUNTIFS($I$412:$I$416,"&gt;0",$I$412:$I$416,"&lt;"&amp;I412)+COUNTIFS($I$412:I412,I412),COUNTIFS($I$412:$I$416,"&gt;0",$J$412:$J$416,"&gt;"&amp;J412)+COUNTIFS($I$412:I412,"&gt;0",$J$412:J412,J412))))</x:f>
        <x:v>6</x:v>
      </x:c>
      <x:c r="P412" s="22" t="n">
        <x:f>IF(T412="Ready",MIN(U412,MAX(0,G412-SUMIFS($U$412:$U$416,$O$412:$O$416,"&lt;"&amp;O412))),"n.a.")</x:f>
        <x:v>0</x:v>
      </x:c>
      <x:c r="Q412" s="22" t="n">
        <x:f>IF(T412="Ready",ROUND(N412+P412,2),"n.a.")</x:f>
        <x:v>0</x:v>
      </x:c>
      <x:c r="R412" s="22" t="n">
        <x:f>IF(T412="Ready",ROUND(Q412-M412,2),"n.a.")</x:f>
        <x:v>0</x:v>
      </x:c>
      <x:c r="S412" s="22" t="n">
        <x:f>IF(T412="Ready",MAX(0,ROUND(I412+M412-Q412,2)),"n.a.")</x:f>
        <x:v>0</x:v>
      </x:c>
      <x:c r="T412" s="22" t="str">
        <x:f>IF(AND(COUNT($I$412:$I$416)=5,COUNT(E412:F412)=2),IF(E412&gt;=F412,"Ready","Budget below minima"),"Check inputs")</x:f>
        <x:v>Ready</x:v>
      </x:c>
      <x:c r="U412" s="22" t="n">
        <x:f>IF(COUNT(I412,M412,N412)=3,MAX(0,ROUND(I412+M412-N412,2)),"n.a.")</x:f>
        <x:v>0</x:v>
      </x:c>
    </x:row>
    <x:row r="413" ht="22" customHeight="1">
      <x:c r="A413" s="2"/>
      <x:c r="B413" s="2"/>
      <x:c r="C413" s="27" t="n">
        <x:f>82</x:f>
        <x:v>82</x:v>
      </x:c>
      <x:c r="D413" s="28" t="n">
        <x:f>IF(ISNUMBER('Inputs'!$D$7),EDATE('Inputs'!$D$7,81),"n.a.")</x:f>
        <x:v>48792</x:v>
      </x:c>
      <x:c r="E413" s="26" t="n">
        <x:f>IF('Inputs'!$D$9&lt;&gt;"Ready","n.a.",IF(ISNUMBER('Inputs'!E100),IF('Inputs'!E100&gt;=0,'Inputs'!E100,"n.a."),IF('Inputs'!E100="",'Inputs'!$D$6,"n.a.")))</x:f>
        <x:v>500</x:v>
      </x:c>
      <x:c r="F413" s="22" t="n">
        <x:f>IF(COUNT($N$412:$N$416)=5,SUM($N$412:$N$416),"n.a.")</x:f>
        <x:v>0</x:v>
      </x:c>
      <x:c r="G413" s="22" t="n">
        <x:f>IF(COUNT(E413:F413)=2,MAX(0,E413-F413),"n.a.")</x:f>
        <x:v>500</x:v>
      </x:c>
      <x:c r="H413" s="26" t="str">
        <x:f>'Inputs'!C12</x:f>
        <x:v>Card B</x:v>
      </x:c>
      <x:c r="I413" s="26" t="n">
        <x:f>S408</x:f>
        <x:v>0</x:v>
      </x:c>
      <x:c r="J413" s="29" t="n">
        <x:f>IF('Inputs'!$D$9="Ready",'Inputs'!E12,"n.a.")</x:f>
        <x:v>0.18</x:v>
      </x:c>
      <x:c r="K413" s="26" t="n">
        <x:f>IF('Inputs'!$D$9="Ready",'Inputs'!F12,"n.a.")</x:f>
        <x:v>60</x:v>
      </x:c>
      <x:c r="L413" s="29" t="n">
        <x:f>IF('Inputs'!$D$9="Ready",'Inputs'!G12,"n.a.")</x:f>
        <x:v>0.02</x:v>
      </x:c>
      <x:c r="M413" s="22" t="n">
        <x:f>IF(COUNT(I413:L413)=4,ROUND(I413*J413/12,2),"n.a.")</x:f>
        <x:v>0</x:v>
      </x:c>
      <x:c r="N413" s="22" t="n">
        <x:f>IF(COUNT(I413:M413)=5,MIN(I413+M413,ROUND(MAX(K413,I413*L413+M413),2)),"n.a.")</x:f>
        <x:v>0</x:v>
      </x:c>
      <x:c r="O413" s="30" t="n">
        <x:f>IF(COUNT($I$412:$I$416)&lt;&gt;5,"n.a.",IF(I413=0,6,IF('Inputs'!$D$5=1,COUNTIFS($I$412:$I$416,"&gt;0",$I$412:$I$416,"&lt;"&amp;I413)+COUNTIFS($I$412:I413,I413),COUNTIFS($I$412:$I$416,"&gt;0",$J$412:$J$416,"&gt;"&amp;J413)+COUNTIFS($I$412:I413,"&gt;0",$J$412:J413,J413))))</x:f>
        <x:v>6</x:v>
      </x:c>
      <x:c r="P413" s="22" t="n">
        <x:f>IF(T413="Ready",MIN(U413,MAX(0,G413-SUMIFS($U$412:$U$416,$O$412:$O$416,"&lt;"&amp;O413))),"n.a.")</x:f>
        <x:v>0</x:v>
      </x:c>
      <x:c r="Q413" s="22" t="n">
        <x:f>IF(T413="Ready",ROUND(N413+P413,2),"n.a.")</x:f>
        <x:v>0</x:v>
      </x:c>
      <x:c r="R413" s="22" t="n">
        <x:f>IF(T413="Ready",ROUND(Q413-M413,2),"n.a.")</x:f>
        <x:v>0</x:v>
      </x:c>
      <x:c r="S413" s="22" t="n">
        <x:f>IF(T413="Ready",MAX(0,ROUND(I413+M413-Q413,2)),"n.a.")</x:f>
        <x:v>0</x:v>
      </x:c>
      <x:c r="T413" s="22" t="str">
        <x:f>IF(AND(COUNT($I$412:$I$416)=5,COUNT(E413:F413)=2),IF(E413&gt;=F413,"Ready","Budget below minima"),"Check inputs")</x:f>
        <x:v>Ready</x:v>
      </x:c>
      <x:c r="U413" s="22" t="n">
        <x:f>IF(COUNT(I413,M413,N413)=3,MAX(0,ROUND(I413+M413-N413,2)),"n.a.")</x:f>
        <x:v>0</x:v>
      </x:c>
    </x:row>
    <x:row r="414" ht="22" customHeight="1">
      <x:c r="A414" s="2"/>
      <x:c r="B414" s="2"/>
      <x:c r="C414" s="27" t="n">
        <x:f>82</x:f>
        <x:v>82</x:v>
      </x:c>
      <x:c r="D414" s="28" t="n">
        <x:f>IF(ISNUMBER('Inputs'!$D$7),EDATE('Inputs'!$D$7,81),"n.a.")</x:f>
        <x:v>48792</x:v>
      </x:c>
      <x:c r="E414" s="26" t="n">
        <x:f>IF('Inputs'!$D$9&lt;&gt;"Ready","n.a.",IF(ISNUMBER('Inputs'!E100),IF('Inputs'!E100&gt;=0,'Inputs'!E100,"n.a."),IF('Inputs'!E100="",'Inputs'!$D$6,"n.a.")))</x:f>
        <x:v>500</x:v>
      </x:c>
      <x:c r="F414" s="22" t="n">
        <x:f>IF(COUNT($N$412:$N$416)=5,SUM($N$412:$N$416),"n.a.")</x:f>
        <x:v>0</x:v>
      </x:c>
      <x:c r="G414" s="22" t="n">
        <x:f>IF(COUNT(E414:F414)=2,MAX(0,E414-F414),"n.a.")</x:f>
        <x:v>500</x:v>
      </x:c>
      <x:c r="H414" s="26" t="str">
        <x:f>'Inputs'!C13</x:f>
        <x:v>Loan C</x:v>
      </x:c>
      <x:c r="I414" s="26" t="n">
        <x:f>S409</x:f>
        <x:v>0</x:v>
      </x:c>
      <x:c r="J414" s="29" t="n">
        <x:f>IF('Inputs'!$D$9="Ready",'Inputs'!E13,"n.a.")</x:f>
        <x:v>0.08</x:v>
      </x:c>
      <x:c r="K414" s="26" t="n">
        <x:f>IF('Inputs'!$D$9="Ready",'Inputs'!F13,"n.a.")</x:f>
        <x:v>150</x:v>
      </x:c>
      <x:c r="L414" s="29" t="n">
        <x:f>IF('Inputs'!$D$9="Ready",'Inputs'!G13,"n.a.")</x:f>
        <x:v>0</x:v>
      </x:c>
      <x:c r="M414" s="22" t="n">
        <x:f>IF(COUNT(I414:L414)=4,ROUND(I414*J414/12,2),"n.a.")</x:f>
        <x:v>0</x:v>
      </x:c>
      <x:c r="N414" s="22" t="n">
        <x:f>IF(COUNT(I414:M414)=5,MIN(I414+M414,ROUND(MAX(K414,I414*L414+M414),2)),"n.a.")</x:f>
        <x:v>0</x:v>
      </x:c>
      <x:c r="O414" s="30" t="n">
        <x:f>IF(COUNT($I$412:$I$416)&lt;&gt;5,"n.a.",IF(I414=0,6,IF('Inputs'!$D$5=1,COUNTIFS($I$412:$I$416,"&gt;0",$I$412:$I$416,"&lt;"&amp;I414)+COUNTIFS($I$412:I414,I414),COUNTIFS($I$412:$I$416,"&gt;0",$J$412:$J$416,"&gt;"&amp;J414)+COUNTIFS($I$412:I414,"&gt;0",$J$412:J414,J414))))</x:f>
        <x:v>6</x:v>
      </x:c>
      <x:c r="P414" s="22" t="n">
        <x:f>IF(T414="Ready",MIN(U414,MAX(0,G414-SUMIFS($U$412:$U$416,$O$412:$O$416,"&lt;"&amp;O414))),"n.a.")</x:f>
        <x:v>0</x:v>
      </x:c>
      <x:c r="Q414" s="22" t="n">
        <x:f>IF(T414="Ready",ROUND(N414+P414,2),"n.a.")</x:f>
        <x:v>0</x:v>
      </x:c>
      <x:c r="R414" s="22" t="n">
        <x:f>IF(T414="Ready",ROUND(Q414-M414,2),"n.a.")</x:f>
        <x:v>0</x:v>
      </x:c>
      <x:c r="S414" s="22" t="n">
        <x:f>IF(T414="Ready",MAX(0,ROUND(I414+M414-Q414,2)),"n.a.")</x:f>
        <x:v>0</x:v>
      </x:c>
      <x:c r="T414" s="22" t="str">
        <x:f>IF(AND(COUNT($I$412:$I$416)=5,COUNT(E414:F414)=2),IF(E414&gt;=F414,"Ready","Budget below minima"),"Check inputs")</x:f>
        <x:v>Ready</x:v>
      </x:c>
      <x:c r="U414" s="22" t="n">
        <x:f>IF(COUNT(I414,M414,N414)=3,MAX(0,ROUND(I414+M414-N414,2)),"n.a.")</x:f>
        <x:v>0</x:v>
      </x:c>
    </x:row>
    <x:row r="415" ht="22" customHeight="1">
      <x:c r="A415" s="2"/>
      <x:c r="B415" s="2"/>
      <x:c r="C415" s="27" t="n">
        <x:f>82</x:f>
        <x:v>82</x:v>
      </x:c>
      <x:c r="D415" s="28" t="n">
        <x:f>IF(ISNUMBER('Inputs'!$D$7),EDATE('Inputs'!$D$7,81),"n.a.")</x:f>
        <x:v>48792</x:v>
      </x:c>
      <x:c r="E415" s="26" t="n">
        <x:f>IF('Inputs'!$D$9&lt;&gt;"Ready","n.a.",IF(ISNUMBER('Inputs'!E100),IF('Inputs'!E100&gt;=0,'Inputs'!E100,"n.a."),IF('Inputs'!E100="",'Inputs'!$D$6,"n.a.")))</x:f>
        <x:v>500</x:v>
      </x:c>
      <x:c r="F415" s="22" t="n">
        <x:f>IF(COUNT($N$412:$N$416)=5,SUM($N$412:$N$416),"n.a.")</x:f>
        <x:v>0</x:v>
      </x:c>
      <x:c r="G415" s="22" t="n">
        <x:f>IF(COUNT(E415:F415)=2,MAX(0,E415-F415),"n.a.")</x:f>
        <x:v>500</x:v>
      </x:c>
      <x:c r="H415" s="26" t="str">
        <x:f>'Inputs'!C14</x:f>
        <x:v>Unused 4</x:v>
      </x:c>
      <x:c r="I415" s="26" t="n">
        <x:f>S410</x:f>
        <x:v>0</x:v>
      </x:c>
      <x:c r="J415" s="29" t="n">
        <x:f>IF('Inputs'!$D$9="Ready",'Inputs'!E14,"n.a.")</x:f>
        <x:v>0</x:v>
      </x:c>
      <x:c r="K415" s="26" t="n">
        <x:f>IF('Inputs'!$D$9="Ready",'Inputs'!F14,"n.a.")</x:f>
        <x:v>0</x:v>
      </x:c>
      <x:c r="L415" s="29" t="n">
        <x:f>IF('Inputs'!$D$9="Ready",'Inputs'!G14,"n.a.")</x:f>
        <x:v>0</x:v>
      </x:c>
      <x:c r="M415" s="22" t="n">
        <x:f>IF(COUNT(I415:L415)=4,ROUND(I415*J415/12,2),"n.a.")</x:f>
        <x:v>0</x:v>
      </x:c>
      <x:c r="N415" s="22" t="n">
        <x:f>IF(COUNT(I415:M415)=5,MIN(I415+M415,ROUND(MAX(K415,I415*L415+M415),2)),"n.a.")</x:f>
        <x:v>0</x:v>
      </x:c>
      <x:c r="O415" s="30" t="n">
        <x:f>IF(COUNT($I$412:$I$416)&lt;&gt;5,"n.a.",IF(I415=0,6,IF('Inputs'!$D$5=1,COUNTIFS($I$412:$I$416,"&gt;0",$I$412:$I$416,"&lt;"&amp;I415)+COUNTIFS($I$412:I415,I415),COUNTIFS($I$412:$I$416,"&gt;0",$J$412:$J$416,"&gt;"&amp;J415)+COUNTIFS($I$412:I415,"&gt;0",$J$412:J415,J415))))</x:f>
        <x:v>6</x:v>
      </x:c>
      <x:c r="P415" s="22" t="n">
        <x:f>IF(T415="Ready",MIN(U415,MAX(0,G415-SUMIFS($U$412:$U$416,$O$412:$O$416,"&lt;"&amp;O415))),"n.a.")</x:f>
        <x:v>0</x:v>
      </x:c>
      <x:c r="Q415" s="22" t="n">
        <x:f>IF(T415="Ready",ROUND(N415+P415,2),"n.a.")</x:f>
        <x:v>0</x:v>
      </x:c>
      <x:c r="R415" s="22" t="n">
        <x:f>IF(T415="Ready",ROUND(Q415-M415,2),"n.a.")</x:f>
        <x:v>0</x:v>
      </x:c>
      <x:c r="S415" s="22" t="n">
        <x:f>IF(T415="Ready",MAX(0,ROUND(I415+M415-Q415,2)),"n.a.")</x:f>
        <x:v>0</x:v>
      </x:c>
      <x:c r="T415" s="22" t="str">
        <x:f>IF(AND(COUNT($I$412:$I$416)=5,COUNT(E415:F415)=2),IF(E415&gt;=F415,"Ready","Budget below minima"),"Check inputs")</x:f>
        <x:v>Ready</x:v>
      </x:c>
      <x:c r="U415" s="22" t="n">
        <x:f>IF(COUNT(I415,M415,N415)=3,MAX(0,ROUND(I415+M415-N415,2)),"n.a.")</x:f>
        <x:v>0</x:v>
      </x:c>
    </x:row>
    <x:row r="416" ht="22" customHeight="1">
      <x:c r="A416" s="2"/>
      <x:c r="B416" s="2"/>
      <x:c r="C416" s="27" t="n">
        <x:f>82</x:f>
        <x:v>82</x:v>
      </x:c>
      <x:c r="D416" s="28" t="n">
        <x:f>IF(ISNUMBER('Inputs'!$D$7),EDATE('Inputs'!$D$7,81),"n.a.")</x:f>
        <x:v>48792</x:v>
      </x:c>
      <x:c r="E416" s="26" t="n">
        <x:f>IF('Inputs'!$D$9&lt;&gt;"Ready","n.a.",IF(ISNUMBER('Inputs'!E100),IF('Inputs'!E100&gt;=0,'Inputs'!E100,"n.a."),IF('Inputs'!E100="",'Inputs'!$D$6,"n.a.")))</x:f>
        <x:v>500</x:v>
      </x:c>
      <x:c r="F416" s="22" t="n">
        <x:f>IF(COUNT($N$412:$N$416)=5,SUM($N$412:$N$416),"n.a.")</x:f>
        <x:v>0</x:v>
      </x:c>
      <x:c r="G416" s="22" t="n">
        <x:f>IF(COUNT(E416:F416)=2,MAX(0,E416-F416),"n.a.")</x:f>
        <x:v>500</x:v>
      </x:c>
      <x:c r="H416" s="26" t="str">
        <x:f>'Inputs'!C15</x:f>
        <x:v>Unused 5</x:v>
      </x:c>
      <x:c r="I416" s="26" t="n">
        <x:f>S411</x:f>
        <x:v>0</x:v>
      </x:c>
      <x:c r="J416" s="29" t="n">
        <x:f>IF('Inputs'!$D$9="Ready",'Inputs'!E15,"n.a.")</x:f>
        <x:v>0</x:v>
      </x:c>
      <x:c r="K416" s="26" t="n">
        <x:f>IF('Inputs'!$D$9="Ready",'Inputs'!F15,"n.a.")</x:f>
        <x:v>0</x:v>
      </x:c>
      <x:c r="L416" s="29" t="n">
        <x:f>IF('Inputs'!$D$9="Ready",'Inputs'!G15,"n.a.")</x:f>
        <x:v>0</x:v>
      </x:c>
      <x:c r="M416" s="22" t="n">
        <x:f>IF(COUNT(I416:L416)=4,ROUND(I416*J416/12,2),"n.a.")</x:f>
        <x:v>0</x:v>
      </x:c>
      <x:c r="N416" s="22" t="n">
        <x:f>IF(COUNT(I416:M416)=5,MIN(I416+M416,ROUND(MAX(K416,I416*L416+M416),2)),"n.a.")</x:f>
        <x:v>0</x:v>
      </x:c>
      <x:c r="O416" s="30" t="n">
        <x:f>IF(COUNT($I$412:$I$416)&lt;&gt;5,"n.a.",IF(I416=0,6,IF('Inputs'!$D$5=1,COUNTIFS($I$412:$I$416,"&gt;0",$I$412:$I$416,"&lt;"&amp;I416)+COUNTIFS($I$412:I416,I416),COUNTIFS($I$412:$I$416,"&gt;0",$J$412:$J$416,"&gt;"&amp;J416)+COUNTIFS($I$412:I416,"&gt;0",$J$412:J416,J416))))</x:f>
        <x:v>6</x:v>
      </x:c>
      <x:c r="P416" s="22" t="n">
        <x:f>IF(T416="Ready",MIN(U416,MAX(0,G416-SUMIFS($U$412:$U$416,$O$412:$O$416,"&lt;"&amp;O416))),"n.a.")</x:f>
        <x:v>0</x:v>
      </x:c>
      <x:c r="Q416" s="22" t="n">
        <x:f>IF(T416="Ready",ROUND(N416+P416,2),"n.a.")</x:f>
        <x:v>0</x:v>
      </x:c>
      <x:c r="R416" s="22" t="n">
        <x:f>IF(T416="Ready",ROUND(Q416-M416,2),"n.a.")</x:f>
        <x:v>0</x:v>
      </x:c>
      <x:c r="S416" s="22" t="n">
        <x:f>IF(T416="Ready",MAX(0,ROUND(I416+M416-Q416,2)),"n.a.")</x:f>
        <x:v>0</x:v>
      </x:c>
      <x:c r="T416" s="22" t="str">
        <x:f>IF(AND(COUNT($I$412:$I$416)=5,COUNT(E416:F416)=2),IF(E416&gt;=F416,"Ready","Budget below minima"),"Check inputs")</x:f>
        <x:v>Ready</x:v>
      </x:c>
      <x:c r="U416" s="22" t="n">
        <x:f>IF(COUNT(I416,M416,N416)=3,MAX(0,ROUND(I416+M416-N416,2)),"n.a.")</x:f>
        <x:v>0</x:v>
      </x:c>
    </x:row>
    <x:row r="417" ht="22" customHeight="1">
      <x:c r="A417" s="2"/>
      <x:c r="B417" s="2"/>
      <x:c r="C417" s="27" t="n">
        <x:f>83</x:f>
        <x:v>83</x:v>
      </x:c>
      <x:c r="D417" s="28" t="n">
        <x:f>IF(ISNUMBER('Inputs'!$D$7),EDATE('Inputs'!$D$7,82),"n.a.")</x:f>
        <x:v>48823</x:v>
      </x:c>
      <x:c r="E417" s="26" t="n">
        <x:f>IF('Inputs'!$D$9&lt;&gt;"Ready","n.a.",IF(ISNUMBER('Inputs'!E101),IF('Inputs'!E101&gt;=0,'Inputs'!E101,"n.a."),IF('Inputs'!E101="",'Inputs'!$D$6,"n.a.")))</x:f>
        <x:v>500</x:v>
      </x:c>
      <x:c r="F417" s="22" t="n">
        <x:f>IF(COUNT($N$417:$N$421)=5,SUM($N$417:$N$421),"n.a.")</x:f>
        <x:v>0</x:v>
      </x:c>
      <x:c r="G417" s="22" t="n">
        <x:f>IF(COUNT(E417:F417)=2,MAX(0,E417-F417),"n.a.")</x:f>
        <x:v>500</x:v>
      </x:c>
      <x:c r="H417" s="26" t="str">
        <x:f>'Inputs'!C11</x:f>
        <x:v>Card A</x:v>
      </x:c>
      <x:c r="I417" s="26" t="n">
        <x:f>S412</x:f>
        <x:v>0</x:v>
      </x:c>
      <x:c r="J417" s="29" t="n">
        <x:f>IF('Inputs'!$D$9="Ready",'Inputs'!E11,"n.a.")</x:f>
        <x:v>0.24</x:v>
      </x:c>
      <x:c r="K417" s="26" t="n">
        <x:f>IF('Inputs'!$D$9="Ready",'Inputs'!F11,"n.a.")</x:f>
        <x:v>35</x:v>
      </x:c>
      <x:c r="L417" s="29" t="n">
        <x:f>IF('Inputs'!$D$9="Ready",'Inputs'!G11,"n.a.")</x:f>
        <x:v>0.02</x:v>
      </x:c>
      <x:c r="M417" s="22" t="n">
        <x:f>IF(COUNT(I417:L417)=4,ROUND(I417*J417/12,2),"n.a.")</x:f>
        <x:v>0</x:v>
      </x:c>
      <x:c r="N417" s="22" t="n">
        <x:f>IF(COUNT(I417:M417)=5,MIN(I417+M417,ROUND(MAX(K417,I417*L417+M417),2)),"n.a.")</x:f>
        <x:v>0</x:v>
      </x:c>
      <x:c r="O417" s="30" t="n">
        <x:f>IF(COUNT($I$417:$I$421)&lt;&gt;5,"n.a.",IF(I417=0,6,IF('Inputs'!$D$5=1,COUNTIFS($I$417:$I$421,"&gt;0",$I$417:$I$421,"&lt;"&amp;I417)+COUNTIFS($I$417:I417,I417),COUNTIFS($I$417:$I$421,"&gt;0",$J$417:$J$421,"&gt;"&amp;J417)+COUNTIFS($I$417:I417,"&gt;0",$J$417:J417,J417))))</x:f>
        <x:v>6</x:v>
      </x:c>
      <x:c r="P417" s="22" t="n">
        <x:f>IF(T417="Ready",MIN(U417,MAX(0,G417-SUMIFS($U$417:$U$421,$O$417:$O$421,"&lt;"&amp;O417))),"n.a.")</x:f>
        <x:v>0</x:v>
      </x:c>
      <x:c r="Q417" s="22" t="n">
        <x:f>IF(T417="Ready",ROUND(N417+P417,2),"n.a.")</x:f>
        <x:v>0</x:v>
      </x:c>
      <x:c r="R417" s="22" t="n">
        <x:f>IF(T417="Ready",ROUND(Q417-M417,2),"n.a.")</x:f>
        <x:v>0</x:v>
      </x:c>
      <x:c r="S417" s="22" t="n">
        <x:f>IF(T417="Ready",MAX(0,ROUND(I417+M417-Q417,2)),"n.a.")</x:f>
        <x:v>0</x:v>
      </x:c>
      <x:c r="T417" s="22" t="str">
        <x:f>IF(AND(COUNT($I$417:$I$421)=5,COUNT(E417:F417)=2),IF(E417&gt;=F417,"Ready","Budget below minima"),"Check inputs")</x:f>
        <x:v>Ready</x:v>
      </x:c>
      <x:c r="U417" s="22" t="n">
        <x:f>IF(COUNT(I417,M417,N417)=3,MAX(0,ROUND(I417+M417-N417,2)),"n.a.")</x:f>
        <x:v>0</x:v>
      </x:c>
    </x:row>
    <x:row r="418" ht="22" customHeight="1">
      <x:c r="A418" s="2"/>
      <x:c r="B418" s="2"/>
      <x:c r="C418" s="27" t="n">
        <x:f>83</x:f>
        <x:v>83</x:v>
      </x:c>
      <x:c r="D418" s="28" t="n">
        <x:f>IF(ISNUMBER('Inputs'!$D$7),EDATE('Inputs'!$D$7,82),"n.a.")</x:f>
        <x:v>48823</x:v>
      </x:c>
      <x:c r="E418" s="26" t="n">
        <x:f>IF('Inputs'!$D$9&lt;&gt;"Ready","n.a.",IF(ISNUMBER('Inputs'!E101),IF('Inputs'!E101&gt;=0,'Inputs'!E101,"n.a."),IF('Inputs'!E101="",'Inputs'!$D$6,"n.a.")))</x:f>
        <x:v>500</x:v>
      </x:c>
      <x:c r="F418" s="22" t="n">
        <x:f>IF(COUNT($N$417:$N$421)=5,SUM($N$417:$N$421),"n.a.")</x:f>
        <x:v>0</x:v>
      </x:c>
      <x:c r="G418" s="22" t="n">
        <x:f>IF(COUNT(E418:F418)=2,MAX(0,E418-F418),"n.a.")</x:f>
        <x:v>500</x:v>
      </x:c>
      <x:c r="H418" s="26" t="str">
        <x:f>'Inputs'!C12</x:f>
        <x:v>Card B</x:v>
      </x:c>
      <x:c r="I418" s="26" t="n">
        <x:f>S413</x:f>
        <x:v>0</x:v>
      </x:c>
      <x:c r="J418" s="29" t="n">
        <x:f>IF('Inputs'!$D$9="Ready",'Inputs'!E12,"n.a.")</x:f>
        <x:v>0.18</x:v>
      </x:c>
      <x:c r="K418" s="26" t="n">
        <x:f>IF('Inputs'!$D$9="Ready",'Inputs'!F12,"n.a.")</x:f>
        <x:v>60</x:v>
      </x:c>
      <x:c r="L418" s="29" t="n">
        <x:f>IF('Inputs'!$D$9="Ready",'Inputs'!G12,"n.a.")</x:f>
        <x:v>0.02</x:v>
      </x:c>
      <x:c r="M418" s="22" t="n">
        <x:f>IF(COUNT(I418:L418)=4,ROUND(I418*J418/12,2),"n.a.")</x:f>
        <x:v>0</x:v>
      </x:c>
      <x:c r="N418" s="22" t="n">
        <x:f>IF(COUNT(I418:M418)=5,MIN(I418+M418,ROUND(MAX(K418,I418*L418+M418),2)),"n.a.")</x:f>
        <x:v>0</x:v>
      </x:c>
      <x:c r="O418" s="30" t="n">
        <x:f>IF(COUNT($I$417:$I$421)&lt;&gt;5,"n.a.",IF(I418=0,6,IF('Inputs'!$D$5=1,COUNTIFS($I$417:$I$421,"&gt;0",$I$417:$I$421,"&lt;"&amp;I418)+COUNTIFS($I$417:I418,I418),COUNTIFS($I$417:$I$421,"&gt;0",$J$417:$J$421,"&gt;"&amp;J418)+COUNTIFS($I$417:I418,"&gt;0",$J$417:J418,J418))))</x:f>
        <x:v>6</x:v>
      </x:c>
      <x:c r="P418" s="22" t="n">
        <x:f>IF(T418="Ready",MIN(U418,MAX(0,G418-SUMIFS($U$417:$U$421,$O$417:$O$421,"&lt;"&amp;O418))),"n.a.")</x:f>
        <x:v>0</x:v>
      </x:c>
      <x:c r="Q418" s="22" t="n">
        <x:f>IF(T418="Ready",ROUND(N418+P418,2),"n.a.")</x:f>
        <x:v>0</x:v>
      </x:c>
      <x:c r="R418" s="22" t="n">
        <x:f>IF(T418="Ready",ROUND(Q418-M418,2),"n.a.")</x:f>
        <x:v>0</x:v>
      </x:c>
      <x:c r="S418" s="22" t="n">
        <x:f>IF(T418="Ready",MAX(0,ROUND(I418+M418-Q418,2)),"n.a.")</x:f>
        <x:v>0</x:v>
      </x:c>
      <x:c r="T418" s="22" t="str">
        <x:f>IF(AND(COUNT($I$417:$I$421)=5,COUNT(E418:F418)=2),IF(E418&gt;=F418,"Ready","Budget below minima"),"Check inputs")</x:f>
        <x:v>Ready</x:v>
      </x:c>
      <x:c r="U418" s="22" t="n">
        <x:f>IF(COUNT(I418,M418,N418)=3,MAX(0,ROUND(I418+M418-N418,2)),"n.a.")</x:f>
        <x:v>0</x:v>
      </x:c>
    </x:row>
    <x:row r="419" ht="22" customHeight="1">
      <x:c r="A419" s="2"/>
      <x:c r="B419" s="2"/>
      <x:c r="C419" s="27" t="n">
        <x:f>83</x:f>
        <x:v>83</x:v>
      </x:c>
      <x:c r="D419" s="28" t="n">
        <x:f>IF(ISNUMBER('Inputs'!$D$7),EDATE('Inputs'!$D$7,82),"n.a.")</x:f>
        <x:v>48823</x:v>
      </x:c>
      <x:c r="E419" s="26" t="n">
        <x:f>IF('Inputs'!$D$9&lt;&gt;"Ready","n.a.",IF(ISNUMBER('Inputs'!E101),IF('Inputs'!E101&gt;=0,'Inputs'!E101,"n.a."),IF('Inputs'!E101="",'Inputs'!$D$6,"n.a.")))</x:f>
        <x:v>500</x:v>
      </x:c>
      <x:c r="F419" s="22" t="n">
        <x:f>IF(COUNT($N$417:$N$421)=5,SUM($N$417:$N$421),"n.a.")</x:f>
        <x:v>0</x:v>
      </x:c>
      <x:c r="G419" s="22" t="n">
        <x:f>IF(COUNT(E419:F419)=2,MAX(0,E419-F419),"n.a.")</x:f>
        <x:v>500</x:v>
      </x:c>
      <x:c r="H419" s="26" t="str">
        <x:f>'Inputs'!C13</x:f>
        <x:v>Loan C</x:v>
      </x:c>
      <x:c r="I419" s="26" t="n">
        <x:f>S414</x:f>
        <x:v>0</x:v>
      </x:c>
      <x:c r="J419" s="29" t="n">
        <x:f>IF('Inputs'!$D$9="Ready",'Inputs'!E13,"n.a.")</x:f>
        <x:v>0.08</x:v>
      </x:c>
      <x:c r="K419" s="26" t="n">
        <x:f>IF('Inputs'!$D$9="Ready",'Inputs'!F13,"n.a.")</x:f>
        <x:v>150</x:v>
      </x:c>
      <x:c r="L419" s="29" t="n">
        <x:f>IF('Inputs'!$D$9="Ready",'Inputs'!G13,"n.a.")</x:f>
        <x:v>0</x:v>
      </x:c>
      <x:c r="M419" s="22" t="n">
        <x:f>IF(COUNT(I419:L419)=4,ROUND(I419*J419/12,2),"n.a.")</x:f>
        <x:v>0</x:v>
      </x:c>
      <x:c r="N419" s="22" t="n">
        <x:f>IF(COUNT(I419:M419)=5,MIN(I419+M419,ROUND(MAX(K419,I419*L419+M419),2)),"n.a.")</x:f>
        <x:v>0</x:v>
      </x:c>
      <x:c r="O419" s="30" t="n">
        <x:f>IF(COUNT($I$417:$I$421)&lt;&gt;5,"n.a.",IF(I419=0,6,IF('Inputs'!$D$5=1,COUNTIFS($I$417:$I$421,"&gt;0",$I$417:$I$421,"&lt;"&amp;I419)+COUNTIFS($I$417:I419,I419),COUNTIFS($I$417:$I$421,"&gt;0",$J$417:$J$421,"&gt;"&amp;J419)+COUNTIFS($I$417:I419,"&gt;0",$J$417:J419,J419))))</x:f>
        <x:v>6</x:v>
      </x:c>
      <x:c r="P419" s="22" t="n">
        <x:f>IF(T419="Ready",MIN(U419,MAX(0,G419-SUMIFS($U$417:$U$421,$O$417:$O$421,"&lt;"&amp;O419))),"n.a.")</x:f>
        <x:v>0</x:v>
      </x:c>
      <x:c r="Q419" s="22" t="n">
        <x:f>IF(T419="Ready",ROUND(N419+P419,2),"n.a.")</x:f>
        <x:v>0</x:v>
      </x:c>
      <x:c r="R419" s="22" t="n">
        <x:f>IF(T419="Ready",ROUND(Q419-M419,2),"n.a.")</x:f>
        <x:v>0</x:v>
      </x:c>
      <x:c r="S419" s="22" t="n">
        <x:f>IF(T419="Ready",MAX(0,ROUND(I419+M419-Q419,2)),"n.a.")</x:f>
        <x:v>0</x:v>
      </x:c>
      <x:c r="T419" s="22" t="str">
        <x:f>IF(AND(COUNT($I$417:$I$421)=5,COUNT(E419:F419)=2),IF(E419&gt;=F419,"Ready","Budget below minima"),"Check inputs")</x:f>
        <x:v>Ready</x:v>
      </x:c>
      <x:c r="U419" s="22" t="n">
        <x:f>IF(COUNT(I419,M419,N419)=3,MAX(0,ROUND(I419+M419-N419,2)),"n.a.")</x:f>
        <x:v>0</x:v>
      </x:c>
    </x:row>
    <x:row r="420" ht="22" customHeight="1">
      <x:c r="A420" s="2"/>
      <x:c r="B420" s="2"/>
      <x:c r="C420" s="27" t="n">
        <x:f>83</x:f>
        <x:v>83</x:v>
      </x:c>
      <x:c r="D420" s="28" t="n">
        <x:f>IF(ISNUMBER('Inputs'!$D$7),EDATE('Inputs'!$D$7,82),"n.a.")</x:f>
        <x:v>48823</x:v>
      </x:c>
      <x:c r="E420" s="26" t="n">
        <x:f>IF('Inputs'!$D$9&lt;&gt;"Ready","n.a.",IF(ISNUMBER('Inputs'!E101),IF('Inputs'!E101&gt;=0,'Inputs'!E101,"n.a."),IF('Inputs'!E101="",'Inputs'!$D$6,"n.a.")))</x:f>
        <x:v>500</x:v>
      </x:c>
      <x:c r="F420" s="22" t="n">
        <x:f>IF(COUNT($N$417:$N$421)=5,SUM($N$417:$N$421),"n.a.")</x:f>
        <x:v>0</x:v>
      </x:c>
      <x:c r="G420" s="22" t="n">
        <x:f>IF(COUNT(E420:F420)=2,MAX(0,E420-F420),"n.a.")</x:f>
        <x:v>500</x:v>
      </x:c>
      <x:c r="H420" s="26" t="str">
        <x:f>'Inputs'!C14</x:f>
        <x:v>Unused 4</x:v>
      </x:c>
      <x:c r="I420" s="26" t="n">
        <x:f>S415</x:f>
        <x:v>0</x:v>
      </x:c>
      <x:c r="J420" s="29" t="n">
        <x:f>IF('Inputs'!$D$9="Ready",'Inputs'!E14,"n.a.")</x:f>
        <x:v>0</x:v>
      </x:c>
      <x:c r="K420" s="26" t="n">
        <x:f>IF('Inputs'!$D$9="Ready",'Inputs'!F14,"n.a.")</x:f>
        <x:v>0</x:v>
      </x:c>
      <x:c r="L420" s="29" t="n">
        <x:f>IF('Inputs'!$D$9="Ready",'Inputs'!G14,"n.a.")</x:f>
        <x:v>0</x:v>
      </x:c>
      <x:c r="M420" s="22" t="n">
        <x:f>IF(COUNT(I420:L420)=4,ROUND(I420*J420/12,2),"n.a.")</x:f>
        <x:v>0</x:v>
      </x:c>
      <x:c r="N420" s="22" t="n">
        <x:f>IF(COUNT(I420:M420)=5,MIN(I420+M420,ROUND(MAX(K420,I420*L420+M420),2)),"n.a.")</x:f>
        <x:v>0</x:v>
      </x:c>
      <x:c r="O420" s="30" t="n">
        <x:f>IF(COUNT($I$417:$I$421)&lt;&gt;5,"n.a.",IF(I420=0,6,IF('Inputs'!$D$5=1,COUNTIFS($I$417:$I$421,"&gt;0",$I$417:$I$421,"&lt;"&amp;I420)+COUNTIFS($I$417:I420,I420),COUNTIFS($I$417:$I$421,"&gt;0",$J$417:$J$421,"&gt;"&amp;J420)+COUNTIFS($I$417:I420,"&gt;0",$J$417:J420,J420))))</x:f>
        <x:v>6</x:v>
      </x:c>
      <x:c r="P420" s="22" t="n">
        <x:f>IF(T420="Ready",MIN(U420,MAX(0,G420-SUMIFS($U$417:$U$421,$O$417:$O$421,"&lt;"&amp;O420))),"n.a.")</x:f>
        <x:v>0</x:v>
      </x:c>
      <x:c r="Q420" s="22" t="n">
        <x:f>IF(T420="Ready",ROUND(N420+P420,2),"n.a.")</x:f>
        <x:v>0</x:v>
      </x:c>
      <x:c r="R420" s="22" t="n">
        <x:f>IF(T420="Ready",ROUND(Q420-M420,2),"n.a.")</x:f>
        <x:v>0</x:v>
      </x:c>
      <x:c r="S420" s="22" t="n">
        <x:f>IF(T420="Ready",MAX(0,ROUND(I420+M420-Q420,2)),"n.a.")</x:f>
        <x:v>0</x:v>
      </x:c>
      <x:c r="T420" s="22" t="str">
        <x:f>IF(AND(COUNT($I$417:$I$421)=5,COUNT(E420:F420)=2),IF(E420&gt;=F420,"Ready","Budget below minima"),"Check inputs")</x:f>
        <x:v>Ready</x:v>
      </x:c>
      <x:c r="U420" s="22" t="n">
        <x:f>IF(COUNT(I420,M420,N420)=3,MAX(0,ROUND(I420+M420-N420,2)),"n.a.")</x:f>
        <x:v>0</x:v>
      </x:c>
    </x:row>
    <x:row r="421" ht="22" customHeight="1">
      <x:c r="A421" s="2"/>
      <x:c r="B421" s="2"/>
      <x:c r="C421" s="27" t="n">
        <x:f>83</x:f>
        <x:v>83</x:v>
      </x:c>
      <x:c r="D421" s="28" t="n">
        <x:f>IF(ISNUMBER('Inputs'!$D$7),EDATE('Inputs'!$D$7,82),"n.a.")</x:f>
        <x:v>48823</x:v>
      </x:c>
      <x:c r="E421" s="26" t="n">
        <x:f>IF('Inputs'!$D$9&lt;&gt;"Ready","n.a.",IF(ISNUMBER('Inputs'!E101),IF('Inputs'!E101&gt;=0,'Inputs'!E101,"n.a."),IF('Inputs'!E101="",'Inputs'!$D$6,"n.a.")))</x:f>
        <x:v>500</x:v>
      </x:c>
      <x:c r="F421" s="22" t="n">
        <x:f>IF(COUNT($N$417:$N$421)=5,SUM($N$417:$N$421),"n.a.")</x:f>
        <x:v>0</x:v>
      </x:c>
      <x:c r="G421" s="22" t="n">
        <x:f>IF(COUNT(E421:F421)=2,MAX(0,E421-F421),"n.a.")</x:f>
        <x:v>500</x:v>
      </x:c>
      <x:c r="H421" s="26" t="str">
        <x:f>'Inputs'!C15</x:f>
        <x:v>Unused 5</x:v>
      </x:c>
      <x:c r="I421" s="26" t="n">
        <x:f>S416</x:f>
        <x:v>0</x:v>
      </x:c>
      <x:c r="J421" s="29" t="n">
        <x:f>IF('Inputs'!$D$9="Ready",'Inputs'!E15,"n.a.")</x:f>
        <x:v>0</x:v>
      </x:c>
      <x:c r="K421" s="26" t="n">
        <x:f>IF('Inputs'!$D$9="Ready",'Inputs'!F15,"n.a.")</x:f>
        <x:v>0</x:v>
      </x:c>
      <x:c r="L421" s="29" t="n">
        <x:f>IF('Inputs'!$D$9="Ready",'Inputs'!G15,"n.a.")</x:f>
        <x:v>0</x:v>
      </x:c>
      <x:c r="M421" s="22" t="n">
        <x:f>IF(COUNT(I421:L421)=4,ROUND(I421*J421/12,2),"n.a.")</x:f>
        <x:v>0</x:v>
      </x:c>
      <x:c r="N421" s="22" t="n">
        <x:f>IF(COUNT(I421:M421)=5,MIN(I421+M421,ROUND(MAX(K421,I421*L421+M421),2)),"n.a.")</x:f>
        <x:v>0</x:v>
      </x:c>
      <x:c r="O421" s="30" t="n">
        <x:f>IF(COUNT($I$417:$I$421)&lt;&gt;5,"n.a.",IF(I421=0,6,IF('Inputs'!$D$5=1,COUNTIFS($I$417:$I$421,"&gt;0",$I$417:$I$421,"&lt;"&amp;I421)+COUNTIFS($I$417:I421,I421),COUNTIFS($I$417:$I$421,"&gt;0",$J$417:$J$421,"&gt;"&amp;J421)+COUNTIFS($I$417:I421,"&gt;0",$J$417:J421,J421))))</x:f>
        <x:v>6</x:v>
      </x:c>
      <x:c r="P421" s="22" t="n">
        <x:f>IF(T421="Ready",MIN(U421,MAX(0,G421-SUMIFS($U$417:$U$421,$O$417:$O$421,"&lt;"&amp;O421))),"n.a.")</x:f>
        <x:v>0</x:v>
      </x:c>
      <x:c r="Q421" s="22" t="n">
        <x:f>IF(T421="Ready",ROUND(N421+P421,2),"n.a.")</x:f>
        <x:v>0</x:v>
      </x:c>
      <x:c r="R421" s="22" t="n">
        <x:f>IF(T421="Ready",ROUND(Q421-M421,2),"n.a.")</x:f>
        <x:v>0</x:v>
      </x:c>
      <x:c r="S421" s="22" t="n">
        <x:f>IF(T421="Ready",MAX(0,ROUND(I421+M421-Q421,2)),"n.a.")</x:f>
        <x:v>0</x:v>
      </x:c>
      <x:c r="T421" s="22" t="str">
        <x:f>IF(AND(COUNT($I$417:$I$421)=5,COUNT(E421:F421)=2),IF(E421&gt;=F421,"Ready","Budget below minima"),"Check inputs")</x:f>
        <x:v>Ready</x:v>
      </x:c>
      <x:c r="U421" s="22" t="n">
        <x:f>IF(COUNT(I421,M421,N421)=3,MAX(0,ROUND(I421+M421-N421,2)),"n.a.")</x:f>
        <x:v>0</x:v>
      </x:c>
    </x:row>
    <x:row r="422" ht="22" customHeight="1">
      <x:c r="A422" s="2"/>
      <x:c r="B422" s="2"/>
      <x:c r="C422" s="27" t="n">
        <x:f>84</x:f>
        <x:v>84</x:v>
      </x:c>
      <x:c r="D422" s="28" t="n">
        <x:f>IF(ISNUMBER('Inputs'!$D$7),EDATE('Inputs'!$D$7,83),"n.a.")</x:f>
        <x:v>48853</x:v>
      </x:c>
      <x:c r="E422" s="26" t="n">
        <x:f>IF('Inputs'!$D$9&lt;&gt;"Ready","n.a.",IF(ISNUMBER('Inputs'!E102),IF('Inputs'!E102&gt;=0,'Inputs'!E102,"n.a."),IF('Inputs'!E102="",'Inputs'!$D$6,"n.a.")))</x:f>
        <x:v>500</x:v>
      </x:c>
      <x:c r="F422" s="22" t="n">
        <x:f>IF(COUNT($N$422:$N$426)=5,SUM($N$422:$N$426),"n.a.")</x:f>
        <x:v>0</x:v>
      </x:c>
      <x:c r="G422" s="22" t="n">
        <x:f>IF(COUNT(E422:F422)=2,MAX(0,E422-F422),"n.a.")</x:f>
        <x:v>500</x:v>
      </x:c>
      <x:c r="H422" s="26" t="str">
        <x:f>'Inputs'!C11</x:f>
        <x:v>Card A</x:v>
      </x:c>
      <x:c r="I422" s="26" t="n">
        <x:f>S417</x:f>
        <x:v>0</x:v>
      </x:c>
      <x:c r="J422" s="29" t="n">
        <x:f>IF('Inputs'!$D$9="Ready",'Inputs'!E11,"n.a.")</x:f>
        <x:v>0.24</x:v>
      </x:c>
      <x:c r="K422" s="26" t="n">
        <x:f>IF('Inputs'!$D$9="Ready",'Inputs'!F11,"n.a.")</x:f>
        <x:v>35</x:v>
      </x:c>
      <x:c r="L422" s="29" t="n">
        <x:f>IF('Inputs'!$D$9="Ready",'Inputs'!G11,"n.a.")</x:f>
        <x:v>0.02</x:v>
      </x:c>
      <x:c r="M422" s="22" t="n">
        <x:f>IF(COUNT(I422:L422)=4,ROUND(I422*J422/12,2),"n.a.")</x:f>
        <x:v>0</x:v>
      </x:c>
      <x:c r="N422" s="22" t="n">
        <x:f>IF(COUNT(I422:M422)=5,MIN(I422+M422,ROUND(MAX(K422,I422*L422+M422),2)),"n.a.")</x:f>
        <x:v>0</x:v>
      </x:c>
      <x:c r="O422" s="30" t="n">
        <x:f>IF(COUNT($I$422:$I$426)&lt;&gt;5,"n.a.",IF(I422=0,6,IF('Inputs'!$D$5=1,COUNTIFS($I$422:$I$426,"&gt;0",$I$422:$I$426,"&lt;"&amp;I422)+COUNTIFS($I$422:I422,I422),COUNTIFS($I$422:$I$426,"&gt;0",$J$422:$J$426,"&gt;"&amp;J422)+COUNTIFS($I$422:I422,"&gt;0",$J$422:J422,J422))))</x:f>
        <x:v>6</x:v>
      </x:c>
      <x:c r="P422" s="22" t="n">
        <x:f>IF(T422="Ready",MIN(U422,MAX(0,G422-SUMIFS($U$422:$U$426,$O$422:$O$426,"&lt;"&amp;O422))),"n.a.")</x:f>
        <x:v>0</x:v>
      </x:c>
      <x:c r="Q422" s="22" t="n">
        <x:f>IF(T422="Ready",ROUND(N422+P422,2),"n.a.")</x:f>
        <x:v>0</x:v>
      </x:c>
      <x:c r="R422" s="22" t="n">
        <x:f>IF(T422="Ready",ROUND(Q422-M422,2),"n.a.")</x:f>
        <x:v>0</x:v>
      </x:c>
      <x:c r="S422" s="22" t="n">
        <x:f>IF(T422="Ready",MAX(0,ROUND(I422+M422-Q422,2)),"n.a.")</x:f>
        <x:v>0</x:v>
      </x:c>
      <x:c r="T422" s="22" t="str">
        <x:f>IF(AND(COUNT($I$422:$I$426)=5,COUNT(E422:F422)=2),IF(E422&gt;=F422,"Ready","Budget below minima"),"Check inputs")</x:f>
        <x:v>Ready</x:v>
      </x:c>
      <x:c r="U422" s="22" t="n">
        <x:f>IF(COUNT(I422,M422,N422)=3,MAX(0,ROUND(I422+M422-N422,2)),"n.a.")</x:f>
        <x:v>0</x:v>
      </x:c>
    </x:row>
    <x:row r="423" ht="22" customHeight="1">
      <x:c r="A423" s="2"/>
      <x:c r="B423" s="2"/>
      <x:c r="C423" s="27" t="n">
        <x:f>84</x:f>
        <x:v>84</x:v>
      </x:c>
      <x:c r="D423" s="28" t="n">
        <x:f>IF(ISNUMBER('Inputs'!$D$7),EDATE('Inputs'!$D$7,83),"n.a.")</x:f>
        <x:v>48853</x:v>
      </x:c>
      <x:c r="E423" s="26" t="n">
        <x:f>IF('Inputs'!$D$9&lt;&gt;"Ready","n.a.",IF(ISNUMBER('Inputs'!E102),IF('Inputs'!E102&gt;=0,'Inputs'!E102,"n.a."),IF('Inputs'!E102="",'Inputs'!$D$6,"n.a.")))</x:f>
        <x:v>500</x:v>
      </x:c>
      <x:c r="F423" s="22" t="n">
        <x:f>IF(COUNT($N$422:$N$426)=5,SUM($N$422:$N$426),"n.a.")</x:f>
        <x:v>0</x:v>
      </x:c>
      <x:c r="G423" s="22" t="n">
        <x:f>IF(COUNT(E423:F423)=2,MAX(0,E423-F423),"n.a.")</x:f>
        <x:v>500</x:v>
      </x:c>
      <x:c r="H423" s="26" t="str">
        <x:f>'Inputs'!C12</x:f>
        <x:v>Card B</x:v>
      </x:c>
      <x:c r="I423" s="26" t="n">
        <x:f>S418</x:f>
        <x:v>0</x:v>
      </x:c>
      <x:c r="J423" s="29" t="n">
        <x:f>IF('Inputs'!$D$9="Ready",'Inputs'!E12,"n.a.")</x:f>
        <x:v>0.18</x:v>
      </x:c>
      <x:c r="K423" s="26" t="n">
        <x:f>IF('Inputs'!$D$9="Ready",'Inputs'!F12,"n.a.")</x:f>
        <x:v>60</x:v>
      </x:c>
      <x:c r="L423" s="29" t="n">
        <x:f>IF('Inputs'!$D$9="Ready",'Inputs'!G12,"n.a.")</x:f>
        <x:v>0.02</x:v>
      </x:c>
      <x:c r="M423" s="22" t="n">
        <x:f>IF(COUNT(I423:L423)=4,ROUND(I423*J423/12,2),"n.a.")</x:f>
        <x:v>0</x:v>
      </x:c>
      <x:c r="N423" s="22" t="n">
        <x:f>IF(COUNT(I423:M423)=5,MIN(I423+M423,ROUND(MAX(K423,I423*L423+M423),2)),"n.a.")</x:f>
        <x:v>0</x:v>
      </x:c>
      <x:c r="O423" s="30" t="n">
        <x:f>IF(COUNT($I$422:$I$426)&lt;&gt;5,"n.a.",IF(I423=0,6,IF('Inputs'!$D$5=1,COUNTIFS($I$422:$I$426,"&gt;0",$I$422:$I$426,"&lt;"&amp;I423)+COUNTIFS($I$422:I423,I423),COUNTIFS($I$422:$I$426,"&gt;0",$J$422:$J$426,"&gt;"&amp;J423)+COUNTIFS($I$422:I423,"&gt;0",$J$422:J423,J423))))</x:f>
        <x:v>6</x:v>
      </x:c>
      <x:c r="P423" s="22" t="n">
        <x:f>IF(T423="Ready",MIN(U423,MAX(0,G423-SUMIFS($U$422:$U$426,$O$422:$O$426,"&lt;"&amp;O423))),"n.a.")</x:f>
        <x:v>0</x:v>
      </x:c>
      <x:c r="Q423" s="22" t="n">
        <x:f>IF(T423="Ready",ROUND(N423+P423,2),"n.a.")</x:f>
        <x:v>0</x:v>
      </x:c>
      <x:c r="R423" s="22" t="n">
        <x:f>IF(T423="Ready",ROUND(Q423-M423,2),"n.a.")</x:f>
        <x:v>0</x:v>
      </x:c>
      <x:c r="S423" s="22" t="n">
        <x:f>IF(T423="Ready",MAX(0,ROUND(I423+M423-Q423,2)),"n.a.")</x:f>
        <x:v>0</x:v>
      </x:c>
      <x:c r="T423" s="22" t="str">
        <x:f>IF(AND(COUNT($I$422:$I$426)=5,COUNT(E423:F423)=2),IF(E423&gt;=F423,"Ready","Budget below minima"),"Check inputs")</x:f>
        <x:v>Ready</x:v>
      </x:c>
      <x:c r="U423" s="22" t="n">
        <x:f>IF(COUNT(I423,M423,N423)=3,MAX(0,ROUND(I423+M423-N423,2)),"n.a.")</x:f>
        <x:v>0</x:v>
      </x:c>
    </x:row>
    <x:row r="424" ht="22" customHeight="1">
      <x:c r="A424" s="2"/>
      <x:c r="B424" s="2"/>
      <x:c r="C424" s="27" t="n">
        <x:f>84</x:f>
        <x:v>84</x:v>
      </x:c>
      <x:c r="D424" s="28" t="n">
        <x:f>IF(ISNUMBER('Inputs'!$D$7),EDATE('Inputs'!$D$7,83),"n.a.")</x:f>
        <x:v>48853</x:v>
      </x:c>
      <x:c r="E424" s="26" t="n">
        <x:f>IF('Inputs'!$D$9&lt;&gt;"Ready","n.a.",IF(ISNUMBER('Inputs'!E102),IF('Inputs'!E102&gt;=0,'Inputs'!E102,"n.a."),IF('Inputs'!E102="",'Inputs'!$D$6,"n.a.")))</x:f>
        <x:v>500</x:v>
      </x:c>
      <x:c r="F424" s="22" t="n">
        <x:f>IF(COUNT($N$422:$N$426)=5,SUM($N$422:$N$426),"n.a.")</x:f>
        <x:v>0</x:v>
      </x:c>
      <x:c r="G424" s="22" t="n">
        <x:f>IF(COUNT(E424:F424)=2,MAX(0,E424-F424),"n.a.")</x:f>
        <x:v>500</x:v>
      </x:c>
      <x:c r="H424" s="26" t="str">
        <x:f>'Inputs'!C13</x:f>
        <x:v>Loan C</x:v>
      </x:c>
      <x:c r="I424" s="26" t="n">
        <x:f>S419</x:f>
        <x:v>0</x:v>
      </x:c>
      <x:c r="J424" s="29" t="n">
        <x:f>IF('Inputs'!$D$9="Ready",'Inputs'!E13,"n.a.")</x:f>
        <x:v>0.08</x:v>
      </x:c>
      <x:c r="K424" s="26" t="n">
        <x:f>IF('Inputs'!$D$9="Ready",'Inputs'!F13,"n.a.")</x:f>
        <x:v>150</x:v>
      </x:c>
      <x:c r="L424" s="29" t="n">
        <x:f>IF('Inputs'!$D$9="Ready",'Inputs'!G13,"n.a.")</x:f>
        <x:v>0</x:v>
      </x:c>
      <x:c r="M424" s="22" t="n">
        <x:f>IF(COUNT(I424:L424)=4,ROUND(I424*J424/12,2),"n.a.")</x:f>
        <x:v>0</x:v>
      </x:c>
      <x:c r="N424" s="22" t="n">
        <x:f>IF(COUNT(I424:M424)=5,MIN(I424+M424,ROUND(MAX(K424,I424*L424+M424),2)),"n.a.")</x:f>
        <x:v>0</x:v>
      </x:c>
      <x:c r="O424" s="30" t="n">
        <x:f>IF(COUNT($I$422:$I$426)&lt;&gt;5,"n.a.",IF(I424=0,6,IF('Inputs'!$D$5=1,COUNTIFS($I$422:$I$426,"&gt;0",$I$422:$I$426,"&lt;"&amp;I424)+COUNTIFS($I$422:I424,I424),COUNTIFS($I$422:$I$426,"&gt;0",$J$422:$J$426,"&gt;"&amp;J424)+COUNTIFS($I$422:I424,"&gt;0",$J$422:J424,J424))))</x:f>
        <x:v>6</x:v>
      </x:c>
      <x:c r="P424" s="22" t="n">
        <x:f>IF(T424="Ready",MIN(U424,MAX(0,G424-SUMIFS($U$422:$U$426,$O$422:$O$426,"&lt;"&amp;O424))),"n.a.")</x:f>
        <x:v>0</x:v>
      </x:c>
      <x:c r="Q424" s="22" t="n">
        <x:f>IF(T424="Ready",ROUND(N424+P424,2),"n.a.")</x:f>
        <x:v>0</x:v>
      </x:c>
      <x:c r="R424" s="22" t="n">
        <x:f>IF(T424="Ready",ROUND(Q424-M424,2),"n.a.")</x:f>
        <x:v>0</x:v>
      </x:c>
      <x:c r="S424" s="22" t="n">
        <x:f>IF(T424="Ready",MAX(0,ROUND(I424+M424-Q424,2)),"n.a.")</x:f>
        <x:v>0</x:v>
      </x:c>
      <x:c r="T424" s="22" t="str">
        <x:f>IF(AND(COUNT($I$422:$I$426)=5,COUNT(E424:F424)=2),IF(E424&gt;=F424,"Ready","Budget below minima"),"Check inputs")</x:f>
        <x:v>Ready</x:v>
      </x:c>
      <x:c r="U424" s="22" t="n">
        <x:f>IF(COUNT(I424,M424,N424)=3,MAX(0,ROUND(I424+M424-N424,2)),"n.a.")</x:f>
        <x:v>0</x:v>
      </x:c>
    </x:row>
    <x:row r="425" ht="22" customHeight="1">
      <x:c r="A425" s="2"/>
      <x:c r="B425" s="2"/>
      <x:c r="C425" s="27" t="n">
        <x:f>84</x:f>
        <x:v>84</x:v>
      </x:c>
      <x:c r="D425" s="28" t="n">
        <x:f>IF(ISNUMBER('Inputs'!$D$7),EDATE('Inputs'!$D$7,83),"n.a.")</x:f>
        <x:v>48853</x:v>
      </x:c>
      <x:c r="E425" s="26" t="n">
        <x:f>IF('Inputs'!$D$9&lt;&gt;"Ready","n.a.",IF(ISNUMBER('Inputs'!E102),IF('Inputs'!E102&gt;=0,'Inputs'!E102,"n.a."),IF('Inputs'!E102="",'Inputs'!$D$6,"n.a.")))</x:f>
        <x:v>500</x:v>
      </x:c>
      <x:c r="F425" s="22" t="n">
        <x:f>IF(COUNT($N$422:$N$426)=5,SUM($N$422:$N$426),"n.a.")</x:f>
        <x:v>0</x:v>
      </x:c>
      <x:c r="G425" s="22" t="n">
        <x:f>IF(COUNT(E425:F425)=2,MAX(0,E425-F425),"n.a.")</x:f>
        <x:v>500</x:v>
      </x:c>
      <x:c r="H425" s="26" t="str">
        <x:f>'Inputs'!C14</x:f>
        <x:v>Unused 4</x:v>
      </x:c>
      <x:c r="I425" s="26" t="n">
        <x:f>S420</x:f>
        <x:v>0</x:v>
      </x:c>
      <x:c r="J425" s="29" t="n">
        <x:f>IF('Inputs'!$D$9="Ready",'Inputs'!E14,"n.a.")</x:f>
        <x:v>0</x:v>
      </x:c>
      <x:c r="K425" s="26" t="n">
        <x:f>IF('Inputs'!$D$9="Ready",'Inputs'!F14,"n.a.")</x:f>
        <x:v>0</x:v>
      </x:c>
      <x:c r="L425" s="29" t="n">
        <x:f>IF('Inputs'!$D$9="Ready",'Inputs'!G14,"n.a.")</x:f>
        <x:v>0</x:v>
      </x:c>
      <x:c r="M425" s="22" t="n">
        <x:f>IF(COUNT(I425:L425)=4,ROUND(I425*J425/12,2),"n.a.")</x:f>
        <x:v>0</x:v>
      </x:c>
      <x:c r="N425" s="22" t="n">
        <x:f>IF(COUNT(I425:M425)=5,MIN(I425+M425,ROUND(MAX(K425,I425*L425+M425),2)),"n.a.")</x:f>
        <x:v>0</x:v>
      </x:c>
      <x:c r="O425" s="30" t="n">
        <x:f>IF(COUNT($I$422:$I$426)&lt;&gt;5,"n.a.",IF(I425=0,6,IF('Inputs'!$D$5=1,COUNTIFS($I$422:$I$426,"&gt;0",$I$422:$I$426,"&lt;"&amp;I425)+COUNTIFS($I$422:I425,I425),COUNTIFS($I$422:$I$426,"&gt;0",$J$422:$J$426,"&gt;"&amp;J425)+COUNTIFS($I$422:I425,"&gt;0",$J$422:J425,J425))))</x:f>
        <x:v>6</x:v>
      </x:c>
      <x:c r="P425" s="22" t="n">
        <x:f>IF(T425="Ready",MIN(U425,MAX(0,G425-SUMIFS($U$422:$U$426,$O$422:$O$426,"&lt;"&amp;O425))),"n.a.")</x:f>
        <x:v>0</x:v>
      </x:c>
      <x:c r="Q425" s="22" t="n">
        <x:f>IF(T425="Ready",ROUND(N425+P425,2),"n.a.")</x:f>
        <x:v>0</x:v>
      </x:c>
      <x:c r="R425" s="22" t="n">
        <x:f>IF(T425="Ready",ROUND(Q425-M425,2),"n.a.")</x:f>
        <x:v>0</x:v>
      </x:c>
      <x:c r="S425" s="22" t="n">
        <x:f>IF(T425="Ready",MAX(0,ROUND(I425+M425-Q425,2)),"n.a.")</x:f>
        <x:v>0</x:v>
      </x:c>
      <x:c r="T425" s="22" t="str">
        <x:f>IF(AND(COUNT($I$422:$I$426)=5,COUNT(E425:F425)=2),IF(E425&gt;=F425,"Ready","Budget below minima"),"Check inputs")</x:f>
        <x:v>Ready</x:v>
      </x:c>
      <x:c r="U425" s="22" t="n">
        <x:f>IF(COUNT(I425,M425,N425)=3,MAX(0,ROUND(I425+M425-N425,2)),"n.a.")</x:f>
        <x:v>0</x:v>
      </x:c>
    </x:row>
    <x:row r="426" ht="22" customHeight="1">
      <x:c r="A426" s="2"/>
      <x:c r="B426" s="2"/>
      <x:c r="C426" s="27" t="n">
        <x:f>84</x:f>
        <x:v>84</x:v>
      </x:c>
      <x:c r="D426" s="28" t="n">
        <x:f>IF(ISNUMBER('Inputs'!$D$7),EDATE('Inputs'!$D$7,83),"n.a.")</x:f>
        <x:v>48853</x:v>
      </x:c>
      <x:c r="E426" s="26" t="n">
        <x:f>IF('Inputs'!$D$9&lt;&gt;"Ready","n.a.",IF(ISNUMBER('Inputs'!E102),IF('Inputs'!E102&gt;=0,'Inputs'!E102,"n.a."),IF('Inputs'!E102="",'Inputs'!$D$6,"n.a.")))</x:f>
        <x:v>500</x:v>
      </x:c>
      <x:c r="F426" s="22" t="n">
        <x:f>IF(COUNT($N$422:$N$426)=5,SUM($N$422:$N$426),"n.a.")</x:f>
        <x:v>0</x:v>
      </x:c>
      <x:c r="G426" s="22" t="n">
        <x:f>IF(COUNT(E426:F426)=2,MAX(0,E426-F426),"n.a.")</x:f>
        <x:v>500</x:v>
      </x:c>
      <x:c r="H426" s="26" t="str">
        <x:f>'Inputs'!C15</x:f>
        <x:v>Unused 5</x:v>
      </x:c>
      <x:c r="I426" s="26" t="n">
        <x:f>S421</x:f>
        <x:v>0</x:v>
      </x:c>
      <x:c r="J426" s="29" t="n">
        <x:f>IF('Inputs'!$D$9="Ready",'Inputs'!E15,"n.a.")</x:f>
        <x:v>0</x:v>
      </x:c>
      <x:c r="K426" s="26" t="n">
        <x:f>IF('Inputs'!$D$9="Ready",'Inputs'!F15,"n.a.")</x:f>
        <x:v>0</x:v>
      </x:c>
      <x:c r="L426" s="29" t="n">
        <x:f>IF('Inputs'!$D$9="Ready",'Inputs'!G15,"n.a.")</x:f>
        <x:v>0</x:v>
      </x:c>
      <x:c r="M426" s="22" t="n">
        <x:f>IF(COUNT(I426:L426)=4,ROUND(I426*J426/12,2),"n.a.")</x:f>
        <x:v>0</x:v>
      </x:c>
      <x:c r="N426" s="22" t="n">
        <x:f>IF(COUNT(I426:M426)=5,MIN(I426+M426,ROUND(MAX(K426,I426*L426+M426),2)),"n.a.")</x:f>
        <x:v>0</x:v>
      </x:c>
      <x:c r="O426" s="30" t="n">
        <x:f>IF(COUNT($I$422:$I$426)&lt;&gt;5,"n.a.",IF(I426=0,6,IF('Inputs'!$D$5=1,COUNTIFS($I$422:$I$426,"&gt;0",$I$422:$I$426,"&lt;"&amp;I426)+COUNTIFS($I$422:I426,I426),COUNTIFS($I$422:$I$426,"&gt;0",$J$422:$J$426,"&gt;"&amp;J426)+COUNTIFS($I$422:I426,"&gt;0",$J$422:J426,J426))))</x:f>
        <x:v>6</x:v>
      </x:c>
      <x:c r="P426" s="22" t="n">
        <x:f>IF(T426="Ready",MIN(U426,MAX(0,G426-SUMIFS($U$422:$U$426,$O$422:$O$426,"&lt;"&amp;O426))),"n.a.")</x:f>
        <x:v>0</x:v>
      </x:c>
      <x:c r="Q426" s="22" t="n">
        <x:f>IF(T426="Ready",ROUND(N426+P426,2),"n.a.")</x:f>
        <x:v>0</x:v>
      </x:c>
      <x:c r="R426" s="22" t="n">
        <x:f>IF(T426="Ready",ROUND(Q426-M426,2),"n.a.")</x:f>
        <x:v>0</x:v>
      </x:c>
      <x:c r="S426" s="22" t="n">
        <x:f>IF(T426="Ready",MAX(0,ROUND(I426+M426-Q426,2)),"n.a.")</x:f>
        <x:v>0</x:v>
      </x:c>
      <x:c r="T426" s="22" t="str">
        <x:f>IF(AND(COUNT($I$422:$I$426)=5,COUNT(E426:F426)=2),IF(E426&gt;=F426,"Ready","Budget below minima"),"Check inputs")</x:f>
        <x:v>Ready</x:v>
      </x:c>
      <x:c r="U426" s="22" t="n">
        <x:f>IF(COUNT(I426,M426,N426)=3,MAX(0,ROUND(I426+M426-N426,2)),"n.a.")</x:f>
        <x:v>0</x:v>
      </x:c>
    </x:row>
    <x:row r="427" ht="22" customHeight="1">
      <x:c r="A427" s="2"/>
      <x:c r="B427" s="2"/>
      <x:c r="C427" s="27" t="n">
        <x:f>85</x:f>
        <x:v>85</x:v>
      </x:c>
      <x:c r="D427" s="28" t="n">
        <x:f>IF(ISNUMBER('Inputs'!$D$7),EDATE('Inputs'!$D$7,84),"n.a.")</x:f>
        <x:v>48884</x:v>
      </x:c>
      <x:c r="E427" s="26" t="n">
        <x:f>IF('Inputs'!$D$9&lt;&gt;"Ready","n.a.",IF(ISNUMBER('Inputs'!E103),IF('Inputs'!E103&gt;=0,'Inputs'!E103,"n.a."),IF('Inputs'!E103="",'Inputs'!$D$6,"n.a.")))</x:f>
        <x:v>500</x:v>
      </x:c>
      <x:c r="F427" s="22" t="n">
        <x:f>IF(COUNT($N$427:$N$431)=5,SUM($N$427:$N$431),"n.a.")</x:f>
        <x:v>0</x:v>
      </x:c>
      <x:c r="G427" s="22" t="n">
        <x:f>IF(COUNT(E427:F427)=2,MAX(0,E427-F427),"n.a.")</x:f>
        <x:v>500</x:v>
      </x:c>
      <x:c r="H427" s="26" t="str">
        <x:f>'Inputs'!C11</x:f>
        <x:v>Card A</x:v>
      </x:c>
      <x:c r="I427" s="26" t="n">
        <x:f>S422</x:f>
        <x:v>0</x:v>
      </x:c>
      <x:c r="J427" s="29" t="n">
        <x:f>IF('Inputs'!$D$9="Ready",'Inputs'!E11,"n.a.")</x:f>
        <x:v>0.24</x:v>
      </x:c>
      <x:c r="K427" s="26" t="n">
        <x:f>IF('Inputs'!$D$9="Ready",'Inputs'!F11,"n.a.")</x:f>
        <x:v>35</x:v>
      </x:c>
      <x:c r="L427" s="29" t="n">
        <x:f>IF('Inputs'!$D$9="Ready",'Inputs'!G11,"n.a.")</x:f>
        <x:v>0.02</x:v>
      </x:c>
      <x:c r="M427" s="22" t="n">
        <x:f>IF(COUNT(I427:L427)=4,ROUND(I427*J427/12,2),"n.a.")</x:f>
        <x:v>0</x:v>
      </x:c>
      <x:c r="N427" s="22" t="n">
        <x:f>IF(COUNT(I427:M427)=5,MIN(I427+M427,ROUND(MAX(K427,I427*L427+M427),2)),"n.a.")</x:f>
        <x:v>0</x:v>
      </x:c>
      <x:c r="O427" s="30" t="n">
        <x:f>IF(COUNT($I$427:$I$431)&lt;&gt;5,"n.a.",IF(I427=0,6,IF('Inputs'!$D$5=1,COUNTIFS($I$427:$I$431,"&gt;0",$I$427:$I$431,"&lt;"&amp;I427)+COUNTIFS($I$427:I427,I427),COUNTIFS($I$427:$I$431,"&gt;0",$J$427:$J$431,"&gt;"&amp;J427)+COUNTIFS($I$427:I427,"&gt;0",$J$427:J427,J427))))</x:f>
        <x:v>6</x:v>
      </x:c>
      <x:c r="P427" s="22" t="n">
        <x:f>IF(T427="Ready",MIN(U427,MAX(0,G427-SUMIFS($U$427:$U$431,$O$427:$O$431,"&lt;"&amp;O427))),"n.a.")</x:f>
        <x:v>0</x:v>
      </x:c>
      <x:c r="Q427" s="22" t="n">
        <x:f>IF(T427="Ready",ROUND(N427+P427,2),"n.a.")</x:f>
        <x:v>0</x:v>
      </x:c>
      <x:c r="R427" s="22" t="n">
        <x:f>IF(T427="Ready",ROUND(Q427-M427,2),"n.a.")</x:f>
        <x:v>0</x:v>
      </x:c>
      <x:c r="S427" s="22" t="n">
        <x:f>IF(T427="Ready",MAX(0,ROUND(I427+M427-Q427,2)),"n.a.")</x:f>
        <x:v>0</x:v>
      </x:c>
      <x:c r="T427" s="22" t="str">
        <x:f>IF(AND(COUNT($I$427:$I$431)=5,COUNT(E427:F427)=2),IF(E427&gt;=F427,"Ready","Budget below minima"),"Check inputs")</x:f>
        <x:v>Ready</x:v>
      </x:c>
      <x:c r="U427" s="22" t="n">
        <x:f>IF(COUNT(I427,M427,N427)=3,MAX(0,ROUND(I427+M427-N427,2)),"n.a.")</x:f>
        <x:v>0</x:v>
      </x:c>
    </x:row>
    <x:row r="428" ht="22" customHeight="1">
      <x:c r="A428" s="2"/>
      <x:c r="B428" s="2"/>
      <x:c r="C428" s="27" t="n">
        <x:f>85</x:f>
        <x:v>85</x:v>
      </x:c>
      <x:c r="D428" s="28" t="n">
        <x:f>IF(ISNUMBER('Inputs'!$D$7),EDATE('Inputs'!$D$7,84),"n.a.")</x:f>
        <x:v>48884</x:v>
      </x:c>
      <x:c r="E428" s="26" t="n">
        <x:f>IF('Inputs'!$D$9&lt;&gt;"Ready","n.a.",IF(ISNUMBER('Inputs'!E103),IF('Inputs'!E103&gt;=0,'Inputs'!E103,"n.a."),IF('Inputs'!E103="",'Inputs'!$D$6,"n.a.")))</x:f>
        <x:v>500</x:v>
      </x:c>
      <x:c r="F428" s="22" t="n">
        <x:f>IF(COUNT($N$427:$N$431)=5,SUM($N$427:$N$431),"n.a.")</x:f>
        <x:v>0</x:v>
      </x:c>
      <x:c r="G428" s="22" t="n">
        <x:f>IF(COUNT(E428:F428)=2,MAX(0,E428-F428),"n.a.")</x:f>
        <x:v>500</x:v>
      </x:c>
      <x:c r="H428" s="26" t="str">
        <x:f>'Inputs'!C12</x:f>
        <x:v>Card B</x:v>
      </x:c>
      <x:c r="I428" s="26" t="n">
        <x:f>S423</x:f>
        <x:v>0</x:v>
      </x:c>
      <x:c r="J428" s="29" t="n">
        <x:f>IF('Inputs'!$D$9="Ready",'Inputs'!E12,"n.a.")</x:f>
        <x:v>0.18</x:v>
      </x:c>
      <x:c r="K428" s="26" t="n">
        <x:f>IF('Inputs'!$D$9="Ready",'Inputs'!F12,"n.a.")</x:f>
        <x:v>60</x:v>
      </x:c>
      <x:c r="L428" s="29" t="n">
        <x:f>IF('Inputs'!$D$9="Ready",'Inputs'!G12,"n.a.")</x:f>
        <x:v>0.02</x:v>
      </x:c>
      <x:c r="M428" s="22" t="n">
        <x:f>IF(COUNT(I428:L428)=4,ROUND(I428*J428/12,2),"n.a.")</x:f>
        <x:v>0</x:v>
      </x:c>
      <x:c r="N428" s="22" t="n">
        <x:f>IF(COUNT(I428:M428)=5,MIN(I428+M428,ROUND(MAX(K428,I428*L428+M428),2)),"n.a.")</x:f>
        <x:v>0</x:v>
      </x:c>
      <x:c r="O428" s="30" t="n">
        <x:f>IF(COUNT($I$427:$I$431)&lt;&gt;5,"n.a.",IF(I428=0,6,IF('Inputs'!$D$5=1,COUNTIFS($I$427:$I$431,"&gt;0",$I$427:$I$431,"&lt;"&amp;I428)+COUNTIFS($I$427:I428,I428),COUNTIFS($I$427:$I$431,"&gt;0",$J$427:$J$431,"&gt;"&amp;J428)+COUNTIFS($I$427:I428,"&gt;0",$J$427:J428,J428))))</x:f>
        <x:v>6</x:v>
      </x:c>
      <x:c r="P428" s="22" t="n">
        <x:f>IF(T428="Ready",MIN(U428,MAX(0,G428-SUMIFS($U$427:$U$431,$O$427:$O$431,"&lt;"&amp;O428))),"n.a.")</x:f>
        <x:v>0</x:v>
      </x:c>
      <x:c r="Q428" s="22" t="n">
        <x:f>IF(T428="Ready",ROUND(N428+P428,2),"n.a.")</x:f>
        <x:v>0</x:v>
      </x:c>
      <x:c r="R428" s="22" t="n">
        <x:f>IF(T428="Ready",ROUND(Q428-M428,2),"n.a.")</x:f>
        <x:v>0</x:v>
      </x:c>
      <x:c r="S428" s="22" t="n">
        <x:f>IF(T428="Ready",MAX(0,ROUND(I428+M428-Q428,2)),"n.a.")</x:f>
        <x:v>0</x:v>
      </x:c>
      <x:c r="T428" s="22" t="str">
        <x:f>IF(AND(COUNT($I$427:$I$431)=5,COUNT(E428:F428)=2),IF(E428&gt;=F428,"Ready","Budget below minima"),"Check inputs")</x:f>
        <x:v>Ready</x:v>
      </x:c>
      <x:c r="U428" s="22" t="n">
        <x:f>IF(COUNT(I428,M428,N428)=3,MAX(0,ROUND(I428+M428-N428,2)),"n.a.")</x:f>
        <x:v>0</x:v>
      </x:c>
    </x:row>
    <x:row r="429" ht="22" customHeight="1">
      <x:c r="A429" s="2"/>
      <x:c r="B429" s="2"/>
      <x:c r="C429" s="27" t="n">
        <x:f>85</x:f>
        <x:v>85</x:v>
      </x:c>
      <x:c r="D429" s="28" t="n">
        <x:f>IF(ISNUMBER('Inputs'!$D$7),EDATE('Inputs'!$D$7,84),"n.a.")</x:f>
        <x:v>48884</x:v>
      </x:c>
      <x:c r="E429" s="26" t="n">
        <x:f>IF('Inputs'!$D$9&lt;&gt;"Ready","n.a.",IF(ISNUMBER('Inputs'!E103),IF('Inputs'!E103&gt;=0,'Inputs'!E103,"n.a."),IF('Inputs'!E103="",'Inputs'!$D$6,"n.a.")))</x:f>
        <x:v>500</x:v>
      </x:c>
      <x:c r="F429" s="22" t="n">
        <x:f>IF(COUNT($N$427:$N$431)=5,SUM($N$427:$N$431),"n.a.")</x:f>
        <x:v>0</x:v>
      </x:c>
      <x:c r="G429" s="22" t="n">
        <x:f>IF(COUNT(E429:F429)=2,MAX(0,E429-F429),"n.a.")</x:f>
        <x:v>500</x:v>
      </x:c>
      <x:c r="H429" s="26" t="str">
        <x:f>'Inputs'!C13</x:f>
        <x:v>Loan C</x:v>
      </x:c>
      <x:c r="I429" s="26" t="n">
        <x:f>S424</x:f>
        <x:v>0</x:v>
      </x:c>
      <x:c r="J429" s="29" t="n">
        <x:f>IF('Inputs'!$D$9="Ready",'Inputs'!E13,"n.a.")</x:f>
        <x:v>0.08</x:v>
      </x:c>
      <x:c r="K429" s="26" t="n">
        <x:f>IF('Inputs'!$D$9="Ready",'Inputs'!F13,"n.a.")</x:f>
        <x:v>150</x:v>
      </x:c>
      <x:c r="L429" s="29" t="n">
        <x:f>IF('Inputs'!$D$9="Ready",'Inputs'!G13,"n.a.")</x:f>
        <x:v>0</x:v>
      </x:c>
      <x:c r="M429" s="22" t="n">
        <x:f>IF(COUNT(I429:L429)=4,ROUND(I429*J429/12,2),"n.a.")</x:f>
        <x:v>0</x:v>
      </x:c>
      <x:c r="N429" s="22" t="n">
        <x:f>IF(COUNT(I429:M429)=5,MIN(I429+M429,ROUND(MAX(K429,I429*L429+M429),2)),"n.a.")</x:f>
        <x:v>0</x:v>
      </x:c>
      <x:c r="O429" s="30" t="n">
        <x:f>IF(COUNT($I$427:$I$431)&lt;&gt;5,"n.a.",IF(I429=0,6,IF('Inputs'!$D$5=1,COUNTIFS($I$427:$I$431,"&gt;0",$I$427:$I$431,"&lt;"&amp;I429)+COUNTIFS($I$427:I429,I429),COUNTIFS($I$427:$I$431,"&gt;0",$J$427:$J$431,"&gt;"&amp;J429)+COUNTIFS($I$427:I429,"&gt;0",$J$427:J429,J429))))</x:f>
        <x:v>6</x:v>
      </x:c>
      <x:c r="P429" s="22" t="n">
        <x:f>IF(T429="Ready",MIN(U429,MAX(0,G429-SUMIFS($U$427:$U$431,$O$427:$O$431,"&lt;"&amp;O429))),"n.a.")</x:f>
        <x:v>0</x:v>
      </x:c>
      <x:c r="Q429" s="22" t="n">
        <x:f>IF(T429="Ready",ROUND(N429+P429,2),"n.a.")</x:f>
        <x:v>0</x:v>
      </x:c>
      <x:c r="R429" s="22" t="n">
        <x:f>IF(T429="Ready",ROUND(Q429-M429,2),"n.a.")</x:f>
        <x:v>0</x:v>
      </x:c>
      <x:c r="S429" s="22" t="n">
        <x:f>IF(T429="Ready",MAX(0,ROUND(I429+M429-Q429,2)),"n.a.")</x:f>
        <x:v>0</x:v>
      </x:c>
      <x:c r="T429" s="22" t="str">
        <x:f>IF(AND(COUNT($I$427:$I$431)=5,COUNT(E429:F429)=2),IF(E429&gt;=F429,"Ready","Budget below minima"),"Check inputs")</x:f>
        <x:v>Ready</x:v>
      </x:c>
      <x:c r="U429" s="22" t="n">
        <x:f>IF(COUNT(I429,M429,N429)=3,MAX(0,ROUND(I429+M429-N429,2)),"n.a.")</x:f>
        <x:v>0</x:v>
      </x:c>
    </x:row>
    <x:row r="430" ht="22" customHeight="1">
      <x:c r="A430" s="2"/>
      <x:c r="B430" s="2"/>
      <x:c r="C430" s="27" t="n">
        <x:f>85</x:f>
        <x:v>85</x:v>
      </x:c>
      <x:c r="D430" s="28" t="n">
        <x:f>IF(ISNUMBER('Inputs'!$D$7),EDATE('Inputs'!$D$7,84),"n.a.")</x:f>
        <x:v>48884</x:v>
      </x:c>
      <x:c r="E430" s="26" t="n">
        <x:f>IF('Inputs'!$D$9&lt;&gt;"Ready","n.a.",IF(ISNUMBER('Inputs'!E103),IF('Inputs'!E103&gt;=0,'Inputs'!E103,"n.a."),IF('Inputs'!E103="",'Inputs'!$D$6,"n.a.")))</x:f>
        <x:v>500</x:v>
      </x:c>
      <x:c r="F430" s="22" t="n">
        <x:f>IF(COUNT($N$427:$N$431)=5,SUM($N$427:$N$431),"n.a.")</x:f>
        <x:v>0</x:v>
      </x:c>
      <x:c r="G430" s="22" t="n">
        <x:f>IF(COUNT(E430:F430)=2,MAX(0,E430-F430),"n.a.")</x:f>
        <x:v>500</x:v>
      </x:c>
      <x:c r="H430" s="26" t="str">
        <x:f>'Inputs'!C14</x:f>
        <x:v>Unused 4</x:v>
      </x:c>
      <x:c r="I430" s="26" t="n">
        <x:f>S425</x:f>
        <x:v>0</x:v>
      </x:c>
      <x:c r="J430" s="29" t="n">
        <x:f>IF('Inputs'!$D$9="Ready",'Inputs'!E14,"n.a.")</x:f>
        <x:v>0</x:v>
      </x:c>
      <x:c r="K430" s="26" t="n">
        <x:f>IF('Inputs'!$D$9="Ready",'Inputs'!F14,"n.a.")</x:f>
        <x:v>0</x:v>
      </x:c>
      <x:c r="L430" s="29" t="n">
        <x:f>IF('Inputs'!$D$9="Ready",'Inputs'!G14,"n.a.")</x:f>
        <x:v>0</x:v>
      </x:c>
      <x:c r="M430" s="22" t="n">
        <x:f>IF(COUNT(I430:L430)=4,ROUND(I430*J430/12,2),"n.a.")</x:f>
        <x:v>0</x:v>
      </x:c>
      <x:c r="N430" s="22" t="n">
        <x:f>IF(COUNT(I430:M430)=5,MIN(I430+M430,ROUND(MAX(K430,I430*L430+M430),2)),"n.a.")</x:f>
        <x:v>0</x:v>
      </x:c>
      <x:c r="O430" s="30" t="n">
        <x:f>IF(COUNT($I$427:$I$431)&lt;&gt;5,"n.a.",IF(I430=0,6,IF('Inputs'!$D$5=1,COUNTIFS($I$427:$I$431,"&gt;0",$I$427:$I$431,"&lt;"&amp;I430)+COUNTIFS($I$427:I430,I430),COUNTIFS($I$427:$I$431,"&gt;0",$J$427:$J$431,"&gt;"&amp;J430)+COUNTIFS($I$427:I430,"&gt;0",$J$427:J430,J430))))</x:f>
        <x:v>6</x:v>
      </x:c>
      <x:c r="P430" s="22" t="n">
        <x:f>IF(T430="Ready",MIN(U430,MAX(0,G430-SUMIFS($U$427:$U$431,$O$427:$O$431,"&lt;"&amp;O430))),"n.a.")</x:f>
        <x:v>0</x:v>
      </x:c>
      <x:c r="Q430" s="22" t="n">
        <x:f>IF(T430="Ready",ROUND(N430+P430,2),"n.a.")</x:f>
        <x:v>0</x:v>
      </x:c>
      <x:c r="R430" s="22" t="n">
        <x:f>IF(T430="Ready",ROUND(Q430-M430,2),"n.a.")</x:f>
        <x:v>0</x:v>
      </x:c>
      <x:c r="S430" s="22" t="n">
        <x:f>IF(T430="Ready",MAX(0,ROUND(I430+M430-Q430,2)),"n.a.")</x:f>
        <x:v>0</x:v>
      </x:c>
      <x:c r="T430" s="22" t="str">
        <x:f>IF(AND(COUNT($I$427:$I$431)=5,COUNT(E430:F430)=2),IF(E430&gt;=F430,"Ready","Budget below minima"),"Check inputs")</x:f>
        <x:v>Ready</x:v>
      </x:c>
      <x:c r="U430" s="22" t="n">
        <x:f>IF(COUNT(I430,M430,N430)=3,MAX(0,ROUND(I430+M430-N430,2)),"n.a.")</x:f>
        <x:v>0</x:v>
      </x:c>
    </x:row>
    <x:row r="431" ht="22" customHeight="1">
      <x:c r="A431" s="2"/>
      <x:c r="B431" s="2"/>
      <x:c r="C431" s="27" t="n">
        <x:f>85</x:f>
        <x:v>85</x:v>
      </x:c>
      <x:c r="D431" s="28" t="n">
        <x:f>IF(ISNUMBER('Inputs'!$D$7),EDATE('Inputs'!$D$7,84),"n.a.")</x:f>
        <x:v>48884</x:v>
      </x:c>
      <x:c r="E431" s="26" t="n">
        <x:f>IF('Inputs'!$D$9&lt;&gt;"Ready","n.a.",IF(ISNUMBER('Inputs'!E103),IF('Inputs'!E103&gt;=0,'Inputs'!E103,"n.a."),IF('Inputs'!E103="",'Inputs'!$D$6,"n.a.")))</x:f>
        <x:v>500</x:v>
      </x:c>
      <x:c r="F431" s="22" t="n">
        <x:f>IF(COUNT($N$427:$N$431)=5,SUM($N$427:$N$431),"n.a.")</x:f>
        <x:v>0</x:v>
      </x:c>
      <x:c r="G431" s="22" t="n">
        <x:f>IF(COUNT(E431:F431)=2,MAX(0,E431-F431),"n.a.")</x:f>
        <x:v>500</x:v>
      </x:c>
      <x:c r="H431" s="26" t="str">
        <x:f>'Inputs'!C15</x:f>
        <x:v>Unused 5</x:v>
      </x:c>
      <x:c r="I431" s="26" t="n">
        <x:f>S426</x:f>
        <x:v>0</x:v>
      </x:c>
      <x:c r="J431" s="29" t="n">
        <x:f>IF('Inputs'!$D$9="Ready",'Inputs'!E15,"n.a.")</x:f>
        <x:v>0</x:v>
      </x:c>
      <x:c r="K431" s="26" t="n">
        <x:f>IF('Inputs'!$D$9="Ready",'Inputs'!F15,"n.a.")</x:f>
        <x:v>0</x:v>
      </x:c>
      <x:c r="L431" s="29" t="n">
        <x:f>IF('Inputs'!$D$9="Ready",'Inputs'!G15,"n.a.")</x:f>
        <x:v>0</x:v>
      </x:c>
      <x:c r="M431" s="22" t="n">
        <x:f>IF(COUNT(I431:L431)=4,ROUND(I431*J431/12,2),"n.a.")</x:f>
        <x:v>0</x:v>
      </x:c>
      <x:c r="N431" s="22" t="n">
        <x:f>IF(COUNT(I431:M431)=5,MIN(I431+M431,ROUND(MAX(K431,I431*L431+M431),2)),"n.a.")</x:f>
        <x:v>0</x:v>
      </x:c>
      <x:c r="O431" s="30" t="n">
        <x:f>IF(COUNT($I$427:$I$431)&lt;&gt;5,"n.a.",IF(I431=0,6,IF('Inputs'!$D$5=1,COUNTIFS($I$427:$I$431,"&gt;0",$I$427:$I$431,"&lt;"&amp;I431)+COUNTIFS($I$427:I431,I431),COUNTIFS($I$427:$I$431,"&gt;0",$J$427:$J$431,"&gt;"&amp;J431)+COUNTIFS($I$427:I431,"&gt;0",$J$427:J431,J431))))</x:f>
        <x:v>6</x:v>
      </x:c>
      <x:c r="P431" s="22" t="n">
        <x:f>IF(T431="Ready",MIN(U431,MAX(0,G431-SUMIFS($U$427:$U$431,$O$427:$O$431,"&lt;"&amp;O431))),"n.a.")</x:f>
        <x:v>0</x:v>
      </x:c>
      <x:c r="Q431" s="22" t="n">
        <x:f>IF(T431="Ready",ROUND(N431+P431,2),"n.a.")</x:f>
        <x:v>0</x:v>
      </x:c>
      <x:c r="R431" s="22" t="n">
        <x:f>IF(T431="Ready",ROUND(Q431-M431,2),"n.a.")</x:f>
        <x:v>0</x:v>
      </x:c>
      <x:c r="S431" s="22" t="n">
        <x:f>IF(T431="Ready",MAX(0,ROUND(I431+M431-Q431,2)),"n.a.")</x:f>
        <x:v>0</x:v>
      </x:c>
      <x:c r="T431" s="22" t="str">
        <x:f>IF(AND(COUNT($I$427:$I$431)=5,COUNT(E431:F431)=2),IF(E431&gt;=F431,"Ready","Budget below minima"),"Check inputs")</x:f>
        <x:v>Ready</x:v>
      </x:c>
      <x:c r="U431" s="22" t="n">
        <x:f>IF(COUNT(I431,M431,N431)=3,MAX(0,ROUND(I431+M431-N431,2)),"n.a.")</x:f>
        <x:v>0</x:v>
      </x:c>
    </x:row>
    <x:row r="432" ht="22" customHeight="1">
      <x:c r="A432" s="2"/>
      <x:c r="B432" s="2"/>
      <x:c r="C432" s="27" t="n">
        <x:f>86</x:f>
        <x:v>86</x:v>
      </x:c>
      <x:c r="D432" s="28" t="n">
        <x:f>IF(ISNUMBER('Inputs'!$D$7),EDATE('Inputs'!$D$7,85),"n.a.")</x:f>
        <x:v>48914</x:v>
      </x:c>
      <x:c r="E432" s="26" t="n">
        <x:f>IF('Inputs'!$D$9&lt;&gt;"Ready","n.a.",IF(ISNUMBER('Inputs'!E104),IF('Inputs'!E104&gt;=0,'Inputs'!E104,"n.a."),IF('Inputs'!E104="",'Inputs'!$D$6,"n.a.")))</x:f>
        <x:v>500</x:v>
      </x:c>
      <x:c r="F432" s="22" t="n">
        <x:f>IF(COUNT($N$432:$N$436)=5,SUM($N$432:$N$436),"n.a.")</x:f>
        <x:v>0</x:v>
      </x:c>
      <x:c r="G432" s="22" t="n">
        <x:f>IF(COUNT(E432:F432)=2,MAX(0,E432-F432),"n.a.")</x:f>
        <x:v>500</x:v>
      </x:c>
      <x:c r="H432" s="26" t="str">
        <x:f>'Inputs'!C11</x:f>
        <x:v>Card A</x:v>
      </x:c>
      <x:c r="I432" s="26" t="n">
        <x:f>S427</x:f>
        <x:v>0</x:v>
      </x:c>
      <x:c r="J432" s="29" t="n">
        <x:f>IF('Inputs'!$D$9="Ready",'Inputs'!E11,"n.a.")</x:f>
        <x:v>0.24</x:v>
      </x:c>
      <x:c r="K432" s="26" t="n">
        <x:f>IF('Inputs'!$D$9="Ready",'Inputs'!F11,"n.a.")</x:f>
        <x:v>35</x:v>
      </x:c>
      <x:c r="L432" s="29" t="n">
        <x:f>IF('Inputs'!$D$9="Ready",'Inputs'!G11,"n.a.")</x:f>
        <x:v>0.02</x:v>
      </x:c>
      <x:c r="M432" s="22" t="n">
        <x:f>IF(COUNT(I432:L432)=4,ROUND(I432*J432/12,2),"n.a.")</x:f>
        <x:v>0</x:v>
      </x:c>
      <x:c r="N432" s="22" t="n">
        <x:f>IF(COUNT(I432:M432)=5,MIN(I432+M432,ROUND(MAX(K432,I432*L432+M432),2)),"n.a.")</x:f>
        <x:v>0</x:v>
      </x:c>
      <x:c r="O432" s="30" t="n">
        <x:f>IF(COUNT($I$432:$I$436)&lt;&gt;5,"n.a.",IF(I432=0,6,IF('Inputs'!$D$5=1,COUNTIFS($I$432:$I$436,"&gt;0",$I$432:$I$436,"&lt;"&amp;I432)+COUNTIFS($I$432:I432,I432),COUNTIFS($I$432:$I$436,"&gt;0",$J$432:$J$436,"&gt;"&amp;J432)+COUNTIFS($I$432:I432,"&gt;0",$J$432:J432,J432))))</x:f>
        <x:v>6</x:v>
      </x:c>
      <x:c r="P432" s="22" t="n">
        <x:f>IF(T432="Ready",MIN(U432,MAX(0,G432-SUMIFS($U$432:$U$436,$O$432:$O$436,"&lt;"&amp;O432))),"n.a.")</x:f>
        <x:v>0</x:v>
      </x:c>
      <x:c r="Q432" s="22" t="n">
        <x:f>IF(T432="Ready",ROUND(N432+P432,2),"n.a.")</x:f>
        <x:v>0</x:v>
      </x:c>
      <x:c r="R432" s="22" t="n">
        <x:f>IF(T432="Ready",ROUND(Q432-M432,2),"n.a.")</x:f>
        <x:v>0</x:v>
      </x:c>
      <x:c r="S432" s="22" t="n">
        <x:f>IF(T432="Ready",MAX(0,ROUND(I432+M432-Q432,2)),"n.a.")</x:f>
        <x:v>0</x:v>
      </x:c>
      <x:c r="T432" s="22" t="str">
        <x:f>IF(AND(COUNT($I$432:$I$436)=5,COUNT(E432:F432)=2),IF(E432&gt;=F432,"Ready","Budget below minima"),"Check inputs")</x:f>
        <x:v>Ready</x:v>
      </x:c>
      <x:c r="U432" s="22" t="n">
        <x:f>IF(COUNT(I432,M432,N432)=3,MAX(0,ROUND(I432+M432-N432,2)),"n.a.")</x:f>
        <x:v>0</x:v>
      </x:c>
    </x:row>
    <x:row r="433" ht="22" customHeight="1">
      <x:c r="A433" s="2"/>
      <x:c r="B433" s="2"/>
      <x:c r="C433" s="27" t="n">
        <x:f>86</x:f>
        <x:v>86</x:v>
      </x:c>
      <x:c r="D433" s="28" t="n">
        <x:f>IF(ISNUMBER('Inputs'!$D$7),EDATE('Inputs'!$D$7,85),"n.a.")</x:f>
        <x:v>48914</x:v>
      </x:c>
      <x:c r="E433" s="26" t="n">
        <x:f>IF('Inputs'!$D$9&lt;&gt;"Ready","n.a.",IF(ISNUMBER('Inputs'!E104),IF('Inputs'!E104&gt;=0,'Inputs'!E104,"n.a."),IF('Inputs'!E104="",'Inputs'!$D$6,"n.a.")))</x:f>
        <x:v>500</x:v>
      </x:c>
      <x:c r="F433" s="22" t="n">
        <x:f>IF(COUNT($N$432:$N$436)=5,SUM($N$432:$N$436),"n.a.")</x:f>
        <x:v>0</x:v>
      </x:c>
      <x:c r="G433" s="22" t="n">
        <x:f>IF(COUNT(E433:F433)=2,MAX(0,E433-F433),"n.a.")</x:f>
        <x:v>500</x:v>
      </x:c>
      <x:c r="H433" s="26" t="str">
        <x:f>'Inputs'!C12</x:f>
        <x:v>Card B</x:v>
      </x:c>
      <x:c r="I433" s="26" t="n">
        <x:f>S428</x:f>
        <x:v>0</x:v>
      </x:c>
      <x:c r="J433" s="29" t="n">
        <x:f>IF('Inputs'!$D$9="Ready",'Inputs'!E12,"n.a.")</x:f>
        <x:v>0.18</x:v>
      </x:c>
      <x:c r="K433" s="26" t="n">
        <x:f>IF('Inputs'!$D$9="Ready",'Inputs'!F12,"n.a.")</x:f>
        <x:v>60</x:v>
      </x:c>
      <x:c r="L433" s="29" t="n">
        <x:f>IF('Inputs'!$D$9="Ready",'Inputs'!G12,"n.a.")</x:f>
        <x:v>0.02</x:v>
      </x:c>
      <x:c r="M433" s="22" t="n">
        <x:f>IF(COUNT(I433:L433)=4,ROUND(I433*J433/12,2),"n.a.")</x:f>
        <x:v>0</x:v>
      </x:c>
      <x:c r="N433" s="22" t="n">
        <x:f>IF(COUNT(I433:M433)=5,MIN(I433+M433,ROUND(MAX(K433,I433*L433+M433),2)),"n.a.")</x:f>
        <x:v>0</x:v>
      </x:c>
      <x:c r="O433" s="30" t="n">
        <x:f>IF(COUNT($I$432:$I$436)&lt;&gt;5,"n.a.",IF(I433=0,6,IF('Inputs'!$D$5=1,COUNTIFS($I$432:$I$436,"&gt;0",$I$432:$I$436,"&lt;"&amp;I433)+COUNTIFS($I$432:I433,I433),COUNTIFS($I$432:$I$436,"&gt;0",$J$432:$J$436,"&gt;"&amp;J433)+COUNTIFS($I$432:I433,"&gt;0",$J$432:J433,J433))))</x:f>
        <x:v>6</x:v>
      </x:c>
      <x:c r="P433" s="22" t="n">
        <x:f>IF(T433="Ready",MIN(U433,MAX(0,G433-SUMIFS($U$432:$U$436,$O$432:$O$436,"&lt;"&amp;O433))),"n.a.")</x:f>
        <x:v>0</x:v>
      </x:c>
      <x:c r="Q433" s="22" t="n">
        <x:f>IF(T433="Ready",ROUND(N433+P433,2),"n.a.")</x:f>
        <x:v>0</x:v>
      </x:c>
      <x:c r="R433" s="22" t="n">
        <x:f>IF(T433="Ready",ROUND(Q433-M433,2),"n.a.")</x:f>
        <x:v>0</x:v>
      </x:c>
      <x:c r="S433" s="22" t="n">
        <x:f>IF(T433="Ready",MAX(0,ROUND(I433+M433-Q433,2)),"n.a.")</x:f>
        <x:v>0</x:v>
      </x:c>
      <x:c r="T433" s="22" t="str">
        <x:f>IF(AND(COUNT($I$432:$I$436)=5,COUNT(E433:F433)=2),IF(E433&gt;=F433,"Ready","Budget below minima"),"Check inputs")</x:f>
        <x:v>Ready</x:v>
      </x:c>
      <x:c r="U433" s="22" t="n">
        <x:f>IF(COUNT(I433,M433,N433)=3,MAX(0,ROUND(I433+M433-N433,2)),"n.a.")</x:f>
        <x:v>0</x:v>
      </x:c>
    </x:row>
    <x:row r="434" ht="22" customHeight="1">
      <x:c r="A434" s="2"/>
      <x:c r="B434" s="2"/>
      <x:c r="C434" s="27" t="n">
        <x:f>86</x:f>
        <x:v>86</x:v>
      </x:c>
      <x:c r="D434" s="28" t="n">
        <x:f>IF(ISNUMBER('Inputs'!$D$7),EDATE('Inputs'!$D$7,85),"n.a.")</x:f>
        <x:v>48914</x:v>
      </x:c>
      <x:c r="E434" s="26" t="n">
        <x:f>IF('Inputs'!$D$9&lt;&gt;"Ready","n.a.",IF(ISNUMBER('Inputs'!E104),IF('Inputs'!E104&gt;=0,'Inputs'!E104,"n.a."),IF('Inputs'!E104="",'Inputs'!$D$6,"n.a.")))</x:f>
        <x:v>500</x:v>
      </x:c>
      <x:c r="F434" s="22" t="n">
        <x:f>IF(COUNT($N$432:$N$436)=5,SUM($N$432:$N$436),"n.a.")</x:f>
        <x:v>0</x:v>
      </x:c>
      <x:c r="G434" s="22" t="n">
        <x:f>IF(COUNT(E434:F434)=2,MAX(0,E434-F434),"n.a.")</x:f>
        <x:v>500</x:v>
      </x:c>
      <x:c r="H434" s="26" t="str">
        <x:f>'Inputs'!C13</x:f>
        <x:v>Loan C</x:v>
      </x:c>
      <x:c r="I434" s="26" t="n">
        <x:f>S429</x:f>
        <x:v>0</x:v>
      </x:c>
      <x:c r="J434" s="29" t="n">
        <x:f>IF('Inputs'!$D$9="Ready",'Inputs'!E13,"n.a.")</x:f>
        <x:v>0.08</x:v>
      </x:c>
      <x:c r="K434" s="26" t="n">
        <x:f>IF('Inputs'!$D$9="Ready",'Inputs'!F13,"n.a.")</x:f>
        <x:v>150</x:v>
      </x:c>
      <x:c r="L434" s="29" t="n">
        <x:f>IF('Inputs'!$D$9="Ready",'Inputs'!G13,"n.a.")</x:f>
        <x:v>0</x:v>
      </x:c>
      <x:c r="M434" s="22" t="n">
        <x:f>IF(COUNT(I434:L434)=4,ROUND(I434*J434/12,2),"n.a.")</x:f>
        <x:v>0</x:v>
      </x:c>
      <x:c r="N434" s="22" t="n">
        <x:f>IF(COUNT(I434:M434)=5,MIN(I434+M434,ROUND(MAX(K434,I434*L434+M434),2)),"n.a.")</x:f>
        <x:v>0</x:v>
      </x:c>
      <x:c r="O434" s="30" t="n">
        <x:f>IF(COUNT($I$432:$I$436)&lt;&gt;5,"n.a.",IF(I434=0,6,IF('Inputs'!$D$5=1,COUNTIFS($I$432:$I$436,"&gt;0",$I$432:$I$436,"&lt;"&amp;I434)+COUNTIFS($I$432:I434,I434),COUNTIFS($I$432:$I$436,"&gt;0",$J$432:$J$436,"&gt;"&amp;J434)+COUNTIFS($I$432:I434,"&gt;0",$J$432:J434,J434))))</x:f>
        <x:v>6</x:v>
      </x:c>
      <x:c r="P434" s="22" t="n">
        <x:f>IF(T434="Ready",MIN(U434,MAX(0,G434-SUMIFS($U$432:$U$436,$O$432:$O$436,"&lt;"&amp;O434))),"n.a.")</x:f>
        <x:v>0</x:v>
      </x:c>
      <x:c r="Q434" s="22" t="n">
        <x:f>IF(T434="Ready",ROUND(N434+P434,2),"n.a.")</x:f>
        <x:v>0</x:v>
      </x:c>
      <x:c r="R434" s="22" t="n">
        <x:f>IF(T434="Ready",ROUND(Q434-M434,2),"n.a.")</x:f>
        <x:v>0</x:v>
      </x:c>
      <x:c r="S434" s="22" t="n">
        <x:f>IF(T434="Ready",MAX(0,ROUND(I434+M434-Q434,2)),"n.a.")</x:f>
        <x:v>0</x:v>
      </x:c>
      <x:c r="T434" s="22" t="str">
        <x:f>IF(AND(COUNT($I$432:$I$436)=5,COUNT(E434:F434)=2),IF(E434&gt;=F434,"Ready","Budget below minima"),"Check inputs")</x:f>
        <x:v>Ready</x:v>
      </x:c>
      <x:c r="U434" s="22" t="n">
        <x:f>IF(COUNT(I434,M434,N434)=3,MAX(0,ROUND(I434+M434-N434,2)),"n.a.")</x:f>
        <x:v>0</x:v>
      </x:c>
    </x:row>
    <x:row r="435" ht="22" customHeight="1">
      <x:c r="A435" s="2"/>
      <x:c r="B435" s="2"/>
      <x:c r="C435" s="27" t="n">
        <x:f>86</x:f>
        <x:v>86</x:v>
      </x:c>
      <x:c r="D435" s="28" t="n">
        <x:f>IF(ISNUMBER('Inputs'!$D$7),EDATE('Inputs'!$D$7,85),"n.a.")</x:f>
        <x:v>48914</x:v>
      </x:c>
      <x:c r="E435" s="26" t="n">
        <x:f>IF('Inputs'!$D$9&lt;&gt;"Ready","n.a.",IF(ISNUMBER('Inputs'!E104),IF('Inputs'!E104&gt;=0,'Inputs'!E104,"n.a."),IF('Inputs'!E104="",'Inputs'!$D$6,"n.a.")))</x:f>
        <x:v>500</x:v>
      </x:c>
      <x:c r="F435" s="22" t="n">
        <x:f>IF(COUNT($N$432:$N$436)=5,SUM($N$432:$N$436),"n.a.")</x:f>
        <x:v>0</x:v>
      </x:c>
      <x:c r="G435" s="22" t="n">
        <x:f>IF(COUNT(E435:F435)=2,MAX(0,E435-F435),"n.a.")</x:f>
        <x:v>500</x:v>
      </x:c>
      <x:c r="H435" s="26" t="str">
        <x:f>'Inputs'!C14</x:f>
        <x:v>Unused 4</x:v>
      </x:c>
      <x:c r="I435" s="26" t="n">
        <x:f>S430</x:f>
        <x:v>0</x:v>
      </x:c>
      <x:c r="J435" s="29" t="n">
        <x:f>IF('Inputs'!$D$9="Ready",'Inputs'!E14,"n.a.")</x:f>
        <x:v>0</x:v>
      </x:c>
      <x:c r="K435" s="26" t="n">
        <x:f>IF('Inputs'!$D$9="Ready",'Inputs'!F14,"n.a.")</x:f>
        <x:v>0</x:v>
      </x:c>
      <x:c r="L435" s="29" t="n">
        <x:f>IF('Inputs'!$D$9="Ready",'Inputs'!G14,"n.a.")</x:f>
        <x:v>0</x:v>
      </x:c>
      <x:c r="M435" s="22" t="n">
        <x:f>IF(COUNT(I435:L435)=4,ROUND(I435*J435/12,2),"n.a.")</x:f>
        <x:v>0</x:v>
      </x:c>
      <x:c r="N435" s="22" t="n">
        <x:f>IF(COUNT(I435:M435)=5,MIN(I435+M435,ROUND(MAX(K435,I435*L435+M435),2)),"n.a.")</x:f>
        <x:v>0</x:v>
      </x:c>
      <x:c r="O435" s="30" t="n">
        <x:f>IF(COUNT($I$432:$I$436)&lt;&gt;5,"n.a.",IF(I435=0,6,IF('Inputs'!$D$5=1,COUNTIFS($I$432:$I$436,"&gt;0",$I$432:$I$436,"&lt;"&amp;I435)+COUNTIFS($I$432:I435,I435),COUNTIFS($I$432:$I$436,"&gt;0",$J$432:$J$436,"&gt;"&amp;J435)+COUNTIFS($I$432:I435,"&gt;0",$J$432:J435,J435))))</x:f>
        <x:v>6</x:v>
      </x:c>
      <x:c r="P435" s="22" t="n">
        <x:f>IF(T435="Ready",MIN(U435,MAX(0,G435-SUMIFS($U$432:$U$436,$O$432:$O$436,"&lt;"&amp;O435))),"n.a.")</x:f>
        <x:v>0</x:v>
      </x:c>
      <x:c r="Q435" s="22" t="n">
        <x:f>IF(T435="Ready",ROUND(N435+P435,2),"n.a.")</x:f>
        <x:v>0</x:v>
      </x:c>
      <x:c r="R435" s="22" t="n">
        <x:f>IF(T435="Ready",ROUND(Q435-M435,2),"n.a.")</x:f>
        <x:v>0</x:v>
      </x:c>
      <x:c r="S435" s="22" t="n">
        <x:f>IF(T435="Ready",MAX(0,ROUND(I435+M435-Q435,2)),"n.a.")</x:f>
        <x:v>0</x:v>
      </x:c>
      <x:c r="T435" s="22" t="str">
        <x:f>IF(AND(COUNT($I$432:$I$436)=5,COUNT(E435:F435)=2),IF(E435&gt;=F435,"Ready","Budget below minima"),"Check inputs")</x:f>
        <x:v>Ready</x:v>
      </x:c>
      <x:c r="U435" s="22" t="n">
        <x:f>IF(COUNT(I435,M435,N435)=3,MAX(0,ROUND(I435+M435-N435,2)),"n.a.")</x:f>
        <x:v>0</x:v>
      </x:c>
    </x:row>
    <x:row r="436" ht="22" customHeight="1">
      <x:c r="A436" s="2"/>
      <x:c r="B436" s="2"/>
      <x:c r="C436" s="27" t="n">
        <x:f>86</x:f>
        <x:v>86</x:v>
      </x:c>
      <x:c r="D436" s="28" t="n">
        <x:f>IF(ISNUMBER('Inputs'!$D$7),EDATE('Inputs'!$D$7,85),"n.a.")</x:f>
        <x:v>48914</x:v>
      </x:c>
      <x:c r="E436" s="26" t="n">
        <x:f>IF('Inputs'!$D$9&lt;&gt;"Ready","n.a.",IF(ISNUMBER('Inputs'!E104),IF('Inputs'!E104&gt;=0,'Inputs'!E104,"n.a."),IF('Inputs'!E104="",'Inputs'!$D$6,"n.a.")))</x:f>
        <x:v>500</x:v>
      </x:c>
      <x:c r="F436" s="22" t="n">
        <x:f>IF(COUNT($N$432:$N$436)=5,SUM($N$432:$N$436),"n.a.")</x:f>
        <x:v>0</x:v>
      </x:c>
      <x:c r="G436" s="22" t="n">
        <x:f>IF(COUNT(E436:F436)=2,MAX(0,E436-F436),"n.a.")</x:f>
        <x:v>500</x:v>
      </x:c>
      <x:c r="H436" s="26" t="str">
        <x:f>'Inputs'!C15</x:f>
        <x:v>Unused 5</x:v>
      </x:c>
      <x:c r="I436" s="26" t="n">
        <x:f>S431</x:f>
        <x:v>0</x:v>
      </x:c>
      <x:c r="J436" s="29" t="n">
        <x:f>IF('Inputs'!$D$9="Ready",'Inputs'!E15,"n.a.")</x:f>
        <x:v>0</x:v>
      </x:c>
      <x:c r="K436" s="26" t="n">
        <x:f>IF('Inputs'!$D$9="Ready",'Inputs'!F15,"n.a.")</x:f>
        <x:v>0</x:v>
      </x:c>
      <x:c r="L436" s="29" t="n">
        <x:f>IF('Inputs'!$D$9="Ready",'Inputs'!G15,"n.a.")</x:f>
        <x:v>0</x:v>
      </x:c>
      <x:c r="M436" s="22" t="n">
        <x:f>IF(COUNT(I436:L436)=4,ROUND(I436*J436/12,2),"n.a.")</x:f>
        <x:v>0</x:v>
      </x:c>
      <x:c r="N436" s="22" t="n">
        <x:f>IF(COUNT(I436:M436)=5,MIN(I436+M436,ROUND(MAX(K436,I436*L436+M436),2)),"n.a.")</x:f>
        <x:v>0</x:v>
      </x:c>
      <x:c r="O436" s="30" t="n">
        <x:f>IF(COUNT($I$432:$I$436)&lt;&gt;5,"n.a.",IF(I436=0,6,IF('Inputs'!$D$5=1,COUNTIFS($I$432:$I$436,"&gt;0",$I$432:$I$436,"&lt;"&amp;I436)+COUNTIFS($I$432:I436,I436),COUNTIFS($I$432:$I$436,"&gt;0",$J$432:$J$436,"&gt;"&amp;J436)+COUNTIFS($I$432:I436,"&gt;0",$J$432:J436,J436))))</x:f>
        <x:v>6</x:v>
      </x:c>
      <x:c r="P436" s="22" t="n">
        <x:f>IF(T436="Ready",MIN(U436,MAX(0,G436-SUMIFS($U$432:$U$436,$O$432:$O$436,"&lt;"&amp;O436))),"n.a.")</x:f>
        <x:v>0</x:v>
      </x:c>
      <x:c r="Q436" s="22" t="n">
        <x:f>IF(T436="Ready",ROUND(N436+P436,2),"n.a.")</x:f>
        <x:v>0</x:v>
      </x:c>
      <x:c r="R436" s="22" t="n">
        <x:f>IF(T436="Ready",ROUND(Q436-M436,2),"n.a.")</x:f>
        <x:v>0</x:v>
      </x:c>
      <x:c r="S436" s="22" t="n">
        <x:f>IF(T436="Ready",MAX(0,ROUND(I436+M436-Q436,2)),"n.a.")</x:f>
        <x:v>0</x:v>
      </x:c>
      <x:c r="T436" s="22" t="str">
        <x:f>IF(AND(COUNT($I$432:$I$436)=5,COUNT(E436:F436)=2),IF(E436&gt;=F436,"Ready","Budget below minima"),"Check inputs")</x:f>
        <x:v>Ready</x:v>
      </x:c>
      <x:c r="U436" s="22" t="n">
        <x:f>IF(COUNT(I436,M436,N436)=3,MAX(0,ROUND(I436+M436-N436,2)),"n.a.")</x:f>
        <x:v>0</x:v>
      </x:c>
    </x:row>
    <x:row r="437" ht="22" customHeight="1">
      <x:c r="A437" s="2"/>
      <x:c r="B437" s="2"/>
      <x:c r="C437" s="27" t="n">
        <x:f>87</x:f>
        <x:v>87</x:v>
      </x:c>
      <x:c r="D437" s="28" t="n">
        <x:f>IF(ISNUMBER('Inputs'!$D$7),EDATE('Inputs'!$D$7,86),"n.a.")</x:f>
        <x:v>48945</x:v>
      </x:c>
      <x:c r="E437" s="26" t="n">
        <x:f>IF('Inputs'!$D$9&lt;&gt;"Ready","n.a.",IF(ISNUMBER('Inputs'!E105),IF('Inputs'!E105&gt;=0,'Inputs'!E105,"n.a."),IF('Inputs'!E105="",'Inputs'!$D$6,"n.a.")))</x:f>
        <x:v>500</x:v>
      </x:c>
      <x:c r="F437" s="22" t="n">
        <x:f>IF(COUNT($N$437:$N$441)=5,SUM($N$437:$N$441),"n.a.")</x:f>
        <x:v>0</x:v>
      </x:c>
      <x:c r="G437" s="22" t="n">
        <x:f>IF(COUNT(E437:F437)=2,MAX(0,E437-F437),"n.a.")</x:f>
        <x:v>500</x:v>
      </x:c>
      <x:c r="H437" s="26" t="str">
        <x:f>'Inputs'!C11</x:f>
        <x:v>Card A</x:v>
      </x:c>
      <x:c r="I437" s="26" t="n">
        <x:f>S432</x:f>
        <x:v>0</x:v>
      </x:c>
      <x:c r="J437" s="29" t="n">
        <x:f>IF('Inputs'!$D$9="Ready",'Inputs'!E11,"n.a.")</x:f>
        <x:v>0.24</x:v>
      </x:c>
      <x:c r="K437" s="26" t="n">
        <x:f>IF('Inputs'!$D$9="Ready",'Inputs'!F11,"n.a.")</x:f>
        <x:v>35</x:v>
      </x:c>
      <x:c r="L437" s="29" t="n">
        <x:f>IF('Inputs'!$D$9="Ready",'Inputs'!G11,"n.a.")</x:f>
        <x:v>0.02</x:v>
      </x:c>
      <x:c r="M437" s="22" t="n">
        <x:f>IF(COUNT(I437:L437)=4,ROUND(I437*J437/12,2),"n.a.")</x:f>
        <x:v>0</x:v>
      </x:c>
      <x:c r="N437" s="22" t="n">
        <x:f>IF(COUNT(I437:M437)=5,MIN(I437+M437,ROUND(MAX(K437,I437*L437+M437),2)),"n.a.")</x:f>
        <x:v>0</x:v>
      </x:c>
      <x:c r="O437" s="30" t="n">
        <x:f>IF(COUNT($I$437:$I$441)&lt;&gt;5,"n.a.",IF(I437=0,6,IF('Inputs'!$D$5=1,COUNTIFS($I$437:$I$441,"&gt;0",$I$437:$I$441,"&lt;"&amp;I437)+COUNTIFS($I$437:I437,I437),COUNTIFS($I$437:$I$441,"&gt;0",$J$437:$J$441,"&gt;"&amp;J437)+COUNTIFS($I$437:I437,"&gt;0",$J$437:J437,J437))))</x:f>
        <x:v>6</x:v>
      </x:c>
      <x:c r="P437" s="22" t="n">
        <x:f>IF(T437="Ready",MIN(U437,MAX(0,G437-SUMIFS($U$437:$U$441,$O$437:$O$441,"&lt;"&amp;O437))),"n.a.")</x:f>
        <x:v>0</x:v>
      </x:c>
      <x:c r="Q437" s="22" t="n">
        <x:f>IF(T437="Ready",ROUND(N437+P437,2),"n.a.")</x:f>
        <x:v>0</x:v>
      </x:c>
      <x:c r="R437" s="22" t="n">
        <x:f>IF(T437="Ready",ROUND(Q437-M437,2),"n.a.")</x:f>
        <x:v>0</x:v>
      </x:c>
      <x:c r="S437" s="22" t="n">
        <x:f>IF(T437="Ready",MAX(0,ROUND(I437+M437-Q437,2)),"n.a.")</x:f>
        <x:v>0</x:v>
      </x:c>
      <x:c r="T437" s="22" t="str">
        <x:f>IF(AND(COUNT($I$437:$I$441)=5,COUNT(E437:F437)=2),IF(E437&gt;=F437,"Ready","Budget below minima"),"Check inputs")</x:f>
        <x:v>Ready</x:v>
      </x:c>
      <x:c r="U437" s="22" t="n">
        <x:f>IF(COUNT(I437,M437,N437)=3,MAX(0,ROUND(I437+M437-N437,2)),"n.a.")</x:f>
        <x:v>0</x:v>
      </x:c>
    </x:row>
    <x:row r="438" ht="22" customHeight="1">
      <x:c r="A438" s="2"/>
      <x:c r="B438" s="2"/>
      <x:c r="C438" s="27" t="n">
        <x:f>87</x:f>
        <x:v>87</x:v>
      </x:c>
      <x:c r="D438" s="28" t="n">
        <x:f>IF(ISNUMBER('Inputs'!$D$7),EDATE('Inputs'!$D$7,86),"n.a.")</x:f>
        <x:v>48945</x:v>
      </x:c>
      <x:c r="E438" s="26" t="n">
        <x:f>IF('Inputs'!$D$9&lt;&gt;"Ready","n.a.",IF(ISNUMBER('Inputs'!E105),IF('Inputs'!E105&gt;=0,'Inputs'!E105,"n.a."),IF('Inputs'!E105="",'Inputs'!$D$6,"n.a.")))</x:f>
        <x:v>500</x:v>
      </x:c>
      <x:c r="F438" s="22" t="n">
        <x:f>IF(COUNT($N$437:$N$441)=5,SUM($N$437:$N$441),"n.a.")</x:f>
        <x:v>0</x:v>
      </x:c>
      <x:c r="G438" s="22" t="n">
        <x:f>IF(COUNT(E438:F438)=2,MAX(0,E438-F438),"n.a.")</x:f>
        <x:v>500</x:v>
      </x:c>
      <x:c r="H438" s="26" t="str">
        <x:f>'Inputs'!C12</x:f>
        <x:v>Card B</x:v>
      </x:c>
      <x:c r="I438" s="26" t="n">
        <x:f>S433</x:f>
        <x:v>0</x:v>
      </x:c>
      <x:c r="J438" s="29" t="n">
        <x:f>IF('Inputs'!$D$9="Ready",'Inputs'!E12,"n.a.")</x:f>
        <x:v>0.18</x:v>
      </x:c>
      <x:c r="K438" s="26" t="n">
        <x:f>IF('Inputs'!$D$9="Ready",'Inputs'!F12,"n.a.")</x:f>
        <x:v>60</x:v>
      </x:c>
      <x:c r="L438" s="29" t="n">
        <x:f>IF('Inputs'!$D$9="Ready",'Inputs'!G12,"n.a.")</x:f>
        <x:v>0.02</x:v>
      </x:c>
      <x:c r="M438" s="22" t="n">
        <x:f>IF(COUNT(I438:L438)=4,ROUND(I438*J438/12,2),"n.a.")</x:f>
        <x:v>0</x:v>
      </x:c>
      <x:c r="N438" s="22" t="n">
        <x:f>IF(COUNT(I438:M438)=5,MIN(I438+M438,ROUND(MAX(K438,I438*L438+M438),2)),"n.a.")</x:f>
        <x:v>0</x:v>
      </x:c>
      <x:c r="O438" s="30" t="n">
        <x:f>IF(COUNT($I$437:$I$441)&lt;&gt;5,"n.a.",IF(I438=0,6,IF('Inputs'!$D$5=1,COUNTIFS($I$437:$I$441,"&gt;0",$I$437:$I$441,"&lt;"&amp;I438)+COUNTIFS($I$437:I438,I438),COUNTIFS($I$437:$I$441,"&gt;0",$J$437:$J$441,"&gt;"&amp;J438)+COUNTIFS($I$437:I438,"&gt;0",$J$437:J438,J438))))</x:f>
        <x:v>6</x:v>
      </x:c>
      <x:c r="P438" s="22" t="n">
        <x:f>IF(T438="Ready",MIN(U438,MAX(0,G438-SUMIFS($U$437:$U$441,$O$437:$O$441,"&lt;"&amp;O438))),"n.a.")</x:f>
        <x:v>0</x:v>
      </x:c>
      <x:c r="Q438" s="22" t="n">
        <x:f>IF(T438="Ready",ROUND(N438+P438,2),"n.a.")</x:f>
        <x:v>0</x:v>
      </x:c>
      <x:c r="R438" s="22" t="n">
        <x:f>IF(T438="Ready",ROUND(Q438-M438,2),"n.a.")</x:f>
        <x:v>0</x:v>
      </x:c>
      <x:c r="S438" s="22" t="n">
        <x:f>IF(T438="Ready",MAX(0,ROUND(I438+M438-Q438,2)),"n.a.")</x:f>
        <x:v>0</x:v>
      </x:c>
      <x:c r="T438" s="22" t="str">
        <x:f>IF(AND(COUNT($I$437:$I$441)=5,COUNT(E438:F438)=2),IF(E438&gt;=F438,"Ready","Budget below minima"),"Check inputs")</x:f>
        <x:v>Ready</x:v>
      </x:c>
      <x:c r="U438" s="22" t="n">
        <x:f>IF(COUNT(I438,M438,N438)=3,MAX(0,ROUND(I438+M438-N438,2)),"n.a.")</x:f>
        <x:v>0</x:v>
      </x:c>
    </x:row>
    <x:row r="439" ht="22" customHeight="1">
      <x:c r="A439" s="2"/>
      <x:c r="B439" s="2"/>
      <x:c r="C439" s="27" t="n">
        <x:f>87</x:f>
        <x:v>87</x:v>
      </x:c>
      <x:c r="D439" s="28" t="n">
        <x:f>IF(ISNUMBER('Inputs'!$D$7),EDATE('Inputs'!$D$7,86),"n.a.")</x:f>
        <x:v>48945</x:v>
      </x:c>
      <x:c r="E439" s="26" t="n">
        <x:f>IF('Inputs'!$D$9&lt;&gt;"Ready","n.a.",IF(ISNUMBER('Inputs'!E105),IF('Inputs'!E105&gt;=0,'Inputs'!E105,"n.a."),IF('Inputs'!E105="",'Inputs'!$D$6,"n.a.")))</x:f>
        <x:v>500</x:v>
      </x:c>
      <x:c r="F439" s="22" t="n">
        <x:f>IF(COUNT($N$437:$N$441)=5,SUM($N$437:$N$441),"n.a.")</x:f>
        <x:v>0</x:v>
      </x:c>
      <x:c r="G439" s="22" t="n">
        <x:f>IF(COUNT(E439:F439)=2,MAX(0,E439-F439),"n.a.")</x:f>
        <x:v>500</x:v>
      </x:c>
      <x:c r="H439" s="26" t="str">
        <x:f>'Inputs'!C13</x:f>
        <x:v>Loan C</x:v>
      </x:c>
      <x:c r="I439" s="26" t="n">
        <x:f>S434</x:f>
        <x:v>0</x:v>
      </x:c>
      <x:c r="J439" s="29" t="n">
        <x:f>IF('Inputs'!$D$9="Ready",'Inputs'!E13,"n.a.")</x:f>
        <x:v>0.08</x:v>
      </x:c>
      <x:c r="K439" s="26" t="n">
        <x:f>IF('Inputs'!$D$9="Ready",'Inputs'!F13,"n.a.")</x:f>
        <x:v>150</x:v>
      </x:c>
      <x:c r="L439" s="29" t="n">
        <x:f>IF('Inputs'!$D$9="Ready",'Inputs'!G13,"n.a.")</x:f>
        <x:v>0</x:v>
      </x:c>
      <x:c r="M439" s="22" t="n">
        <x:f>IF(COUNT(I439:L439)=4,ROUND(I439*J439/12,2),"n.a.")</x:f>
        <x:v>0</x:v>
      </x:c>
      <x:c r="N439" s="22" t="n">
        <x:f>IF(COUNT(I439:M439)=5,MIN(I439+M439,ROUND(MAX(K439,I439*L439+M439),2)),"n.a.")</x:f>
        <x:v>0</x:v>
      </x:c>
      <x:c r="O439" s="30" t="n">
        <x:f>IF(COUNT($I$437:$I$441)&lt;&gt;5,"n.a.",IF(I439=0,6,IF('Inputs'!$D$5=1,COUNTIFS($I$437:$I$441,"&gt;0",$I$437:$I$441,"&lt;"&amp;I439)+COUNTIFS($I$437:I439,I439),COUNTIFS($I$437:$I$441,"&gt;0",$J$437:$J$441,"&gt;"&amp;J439)+COUNTIFS($I$437:I439,"&gt;0",$J$437:J439,J439))))</x:f>
        <x:v>6</x:v>
      </x:c>
      <x:c r="P439" s="22" t="n">
        <x:f>IF(T439="Ready",MIN(U439,MAX(0,G439-SUMIFS($U$437:$U$441,$O$437:$O$441,"&lt;"&amp;O439))),"n.a.")</x:f>
        <x:v>0</x:v>
      </x:c>
      <x:c r="Q439" s="22" t="n">
        <x:f>IF(T439="Ready",ROUND(N439+P439,2),"n.a.")</x:f>
        <x:v>0</x:v>
      </x:c>
      <x:c r="R439" s="22" t="n">
        <x:f>IF(T439="Ready",ROUND(Q439-M439,2),"n.a.")</x:f>
        <x:v>0</x:v>
      </x:c>
      <x:c r="S439" s="22" t="n">
        <x:f>IF(T439="Ready",MAX(0,ROUND(I439+M439-Q439,2)),"n.a.")</x:f>
        <x:v>0</x:v>
      </x:c>
      <x:c r="T439" s="22" t="str">
        <x:f>IF(AND(COUNT($I$437:$I$441)=5,COUNT(E439:F439)=2),IF(E439&gt;=F439,"Ready","Budget below minima"),"Check inputs")</x:f>
        <x:v>Ready</x:v>
      </x:c>
      <x:c r="U439" s="22" t="n">
        <x:f>IF(COUNT(I439,M439,N439)=3,MAX(0,ROUND(I439+M439-N439,2)),"n.a.")</x:f>
        <x:v>0</x:v>
      </x:c>
    </x:row>
    <x:row r="440" ht="22" customHeight="1">
      <x:c r="A440" s="2"/>
      <x:c r="B440" s="2"/>
      <x:c r="C440" s="27" t="n">
        <x:f>87</x:f>
        <x:v>87</x:v>
      </x:c>
      <x:c r="D440" s="28" t="n">
        <x:f>IF(ISNUMBER('Inputs'!$D$7),EDATE('Inputs'!$D$7,86),"n.a.")</x:f>
        <x:v>48945</x:v>
      </x:c>
      <x:c r="E440" s="26" t="n">
        <x:f>IF('Inputs'!$D$9&lt;&gt;"Ready","n.a.",IF(ISNUMBER('Inputs'!E105),IF('Inputs'!E105&gt;=0,'Inputs'!E105,"n.a."),IF('Inputs'!E105="",'Inputs'!$D$6,"n.a.")))</x:f>
        <x:v>500</x:v>
      </x:c>
      <x:c r="F440" s="22" t="n">
        <x:f>IF(COUNT($N$437:$N$441)=5,SUM($N$437:$N$441),"n.a.")</x:f>
        <x:v>0</x:v>
      </x:c>
      <x:c r="G440" s="22" t="n">
        <x:f>IF(COUNT(E440:F440)=2,MAX(0,E440-F440),"n.a.")</x:f>
        <x:v>500</x:v>
      </x:c>
      <x:c r="H440" s="26" t="str">
        <x:f>'Inputs'!C14</x:f>
        <x:v>Unused 4</x:v>
      </x:c>
      <x:c r="I440" s="26" t="n">
        <x:f>S435</x:f>
        <x:v>0</x:v>
      </x:c>
      <x:c r="J440" s="29" t="n">
        <x:f>IF('Inputs'!$D$9="Ready",'Inputs'!E14,"n.a.")</x:f>
        <x:v>0</x:v>
      </x:c>
      <x:c r="K440" s="26" t="n">
        <x:f>IF('Inputs'!$D$9="Ready",'Inputs'!F14,"n.a.")</x:f>
        <x:v>0</x:v>
      </x:c>
      <x:c r="L440" s="29" t="n">
        <x:f>IF('Inputs'!$D$9="Ready",'Inputs'!G14,"n.a.")</x:f>
        <x:v>0</x:v>
      </x:c>
      <x:c r="M440" s="22" t="n">
        <x:f>IF(COUNT(I440:L440)=4,ROUND(I440*J440/12,2),"n.a.")</x:f>
        <x:v>0</x:v>
      </x:c>
      <x:c r="N440" s="22" t="n">
        <x:f>IF(COUNT(I440:M440)=5,MIN(I440+M440,ROUND(MAX(K440,I440*L440+M440),2)),"n.a.")</x:f>
        <x:v>0</x:v>
      </x:c>
      <x:c r="O440" s="30" t="n">
        <x:f>IF(COUNT($I$437:$I$441)&lt;&gt;5,"n.a.",IF(I440=0,6,IF('Inputs'!$D$5=1,COUNTIFS($I$437:$I$441,"&gt;0",$I$437:$I$441,"&lt;"&amp;I440)+COUNTIFS($I$437:I440,I440),COUNTIFS($I$437:$I$441,"&gt;0",$J$437:$J$441,"&gt;"&amp;J440)+COUNTIFS($I$437:I440,"&gt;0",$J$437:J440,J440))))</x:f>
        <x:v>6</x:v>
      </x:c>
      <x:c r="P440" s="22" t="n">
        <x:f>IF(T440="Ready",MIN(U440,MAX(0,G440-SUMIFS($U$437:$U$441,$O$437:$O$441,"&lt;"&amp;O440))),"n.a.")</x:f>
        <x:v>0</x:v>
      </x:c>
      <x:c r="Q440" s="22" t="n">
        <x:f>IF(T440="Ready",ROUND(N440+P440,2),"n.a.")</x:f>
        <x:v>0</x:v>
      </x:c>
      <x:c r="R440" s="22" t="n">
        <x:f>IF(T440="Ready",ROUND(Q440-M440,2),"n.a.")</x:f>
        <x:v>0</x:v>
      </x:c>
      <x:c r="S440" s="22" t="n">
        <x:f>IF(T440="Ready",MAX(0,ROUND(I440+M440-Q440,2)),"n.a.")</x:f>
        <x:v>0</x:v>
      </x:c>
      <x:c r="T440" s="22" t="str">
        <x:f>IF(AND(COUNT($I$437:$I$441)=5,COUNT(E440:F440)=2),IF(E440&gt;=F440,"Ready","Budget below minima"),"Check inputs")</x:f>
        <x:v>Ready</x:v>
      </x:c>
      <x:c r="U440" s="22" t="n">
        <x:f>IF(COUNT(I440,M440,N440)=3,MAX(0,ROUND(I440+M440-N440,2)),"n.a.")</x:f>
        <x:v>0</x:v>
      </x:c>
    </x:row>
    <x:row r="441" ht="22" customHeight="1">
      <x:c r="A441" s="2"/>
      <x:c r="B441" s="2"/>
      <x:c r="C441" s="27" t="n">
        <x:f>87</x:f>
        <x:v>87</x:v>
      </x:c>
      <x:c r="D441" s="28" t="n">
        <x:f>IF(ISNUMBER('Inputs'!$D$7),EDATE('Inputs'!$D$7,86),"n.a.")</x:f>
        <x:v>48945</x:v>
      </x:c>
      <x:c r="E441" s="26" t="n">
        <x:f>IF('Inputs'!$D$9&lt;&gt;"Ready","n.a.",IF(ISNUMBER('Inputs'!E105),IF('Inputs'!E105&gt;=0,'Inputs'!E105,"n.a."),IF('Inputs'!E105="",'Inputs'!$D$6,"n.a.")))</x:f>
        <x:v>500</x:v>
      </x:c>
      <x:c r="F441" s="22" t="n">
        <x:f>IF(COUNT($N$437:$N$441)=5,SUM($N$437:$N$441),"n.a.")</x:f>
        <x:v>0</x:v>
      </x:c>
      <x:c r="G441" s="22" t="n">
        <x:f>IF(COUNT(E441:F441)=2,MAX(0,E441-F441),"n.a.")</x:f>
        <x:v>500</x:v>
      </x:c>
      <x:c r="H441" s="26" t="str">
        <x:f>'Inputs'!C15</x:f>
        <x:v>Unused 5</x:v>
      </x:c>
      <x:c r="I441" s="26" t="n">
        <x:f>S436</x:f>
        <x:v>0</x:v>
      </x:c>
      <x:c r="J441" s="29" t="n">
        <x:f>IF('Inputs'!$D$9="Ready",'Inputs'!E15,"n.a.")</x:f>
        <x:v>0</x:v>
      </x:c>
      <x:c r="K441" s="26" t="n">
        <x:f>IF('Inputs'!$D$9="Ready",'Inputs'!F15,"n.a.")</x:f>
        <x:v>0</x:v>
      </x:c>
      <x:c r="L441" s="29" t="n">
        <x:f>IF('Inputs'!$D$9="Ready",'Inputs'!G15,"n.a.")</x:f>
        <x:v>0</x:v>
      </x:c>
      <x:c r="M441" s="22" t="n">
        <x:f>IF(COUNT(I441:L441)=4,ROUND(I441*J441/12,2),"n.a.")</x:f>
        <x:v>0</x:v>
      </x:c>
      <x:c r="N441" s="22" t="n">
        <x:f>IF(COUNT(I441:M441)=5,MIN(I441+M441,ROUND(MAX(K441,I441*L441+M441),2)),"n.a.")</x:f>
        <x:v>0</x:v>
      </x:c>
      <x:c r="O441" s="30" t="n">
        <x:f>IF(COUNT($I$437:$I$441)&lt;&gt;5,"n.a.",IF(I441=0,6,IF('Inputs'!$D$5=1,COUNTIFS($I$437:$I$441,"&gt;0",$I$437:$I$441,"&lt;"&amp;I441)+COUNTIFS($I$437:I441,I441),COUNTIFS($I$437:$I$441,"&gt;0",$J$437:$J$441,"&gt;"&amp;J441)+COUNTIFS($I$437:I441,"&gt;0",$J$437:J441,J441))))</x:f>
        <x:v>6</x:v>
      </x:c>
      <x:c r="P441" s="22" t="n">
        <x:f>IF(T441="Ready",MIN(U441,MAX(0,G441-SUMIFS($U$437:$U$441,$O$437:$O$441,"&lt;"&amp;O441))),"n.a.")</x:f>
        <x:v>0</x:v>
      </x:c>
      <x:c r="Q441" s="22" t="n">
        <x:f>IF(T441="Ready",ROUND(N441+P441,2),"n.a.")</x:f>
        <x:v>0</x:v>
      </x:c>
      <x:c r="R441" s="22" t="n">
        <x:f>IF(T441="Ready",ROUND(Q441-M441,2),"n.a.")</x:f>
        <x:v>0</x:v>
      </x:c>
      <x:c r="S441" s="22" t="n">
        <x:f>IF(T441="Ready",MAX(0,ROUND(I441+M441-Q441,2)),"n.a.")</x:f>
        <x:v>0</x:v>
      </x:c>
      <x:c r="T441" s="22" t="str">
        <x:f>IF(AND(COUNT($I$437:$I$441)=5,COUNT(E441:F441)=2),IF(E441&gt;=F441,"Ready","Budget below minima"),"Check inputs")</x:f>
        <x:v>Ready</x:v>
      </x:c>
      <x:c r="U441" s="22" t="n">
        <x:f>IF(COUNT(I441,M441,N441)=3,MAX(0,ROUND(I441+M441-N441,2)),"n.a.")</x:f>
        <x:v>0</x:v>
      </x:c>
    </x:row>
    <x:row r="442" ht="22" customHeight="1">
      <x:c r="A442" s="2"/>
      <x:c r="B442" s="2"/>
      <x:c r="C442" s="27" t="n">
        <x:f>88</x:f>
        <x:v>88</x:v>
      </x:c>
      <x:c r="D442" s="28" t="n">
        <x:f>IF(ISNUMBER('Inputs'!$D$7),EDATE('Inputs'!$D$7,87),"n.a.")</x:f>
        <x:v>48976</x:v>
      </x:c>
      <x:c r="E442" s="26" t="n">
        <x:f>IF('Inputs'!$D$9&lt;&gt;"Ready","n.a.",IF(ISNUMBER('Inputs'!E106),IF('Inputs'!E106&gt;=0,'Inputs'!E106,"n.a."),IF('Inputs'!E106="",'Inputs'!$D$6,"n.a.")))</x:f>
        <x:v>500</x:v>
      </x:c>
      <x:c r="F442" s="22" t="n">
        <x:f>IF(COUNT($N$442:$N$446)=5,SUM($N$442:$N$446),"n.a.")</x:f>
        <x:v>0</x:v>
      </x:c>
      <x:c r="G442" s="22" t="n">
        <x:f>IF(COUNT(E442:F442)=2,MAX(0,E442-F442),"n.a.")</x:f>
        <x:v>500</x:v>
      </x:c>
      <x:c r="H442" s="26" t="str">
        <x:f>'Inputs'!C11</x:f>
        <x:v>Card A</x:v>
      </x:c>
      <x:c r="I442" s="26" t="n">
        <x:f>S437</x:f>
        <x:v>0</x:v>
      </x:c>
      <x:c r="J442" s="29" t="n">
        <x:f>IF('Inputs'!$D$9="Ready",'Inputs'!E11,"n.a.")</x:f>
        <x:v>0.24</x:v>
      </x:c>
      <x:c r="K442" s="26" t="n">
        <x:f>IF('Inputs'!$D$9="Ready",'Inputs'!F11,"n.a.")</x:f>
        <x:v>35</x:v>
      </x:c>
      <x:c r="L442" s="29" t="n">
        <x:f>IF('Inputs'!$D$9="Ready",'Inputs'!G11,"n.a.")</x:f>
        <x:v>0.02</x:v>
      </x:c>
      <x:c r="M442" s="22" t="n">
        <x:f>IF(COUNT(I442:L442)=4,ROUND(I442*J442/12,2),"n.a.")</x:f>
        <x:v>0</x:v>
      </x:c>
      <x:c r="N442" s="22" t="n">
        <x:f>IF(COUNT(I442:M442)=5,MIN(I442+M442,ROUND(MAX(K442,I442*L442+M442),2)),"n.a.")</x:f>
        <x:v>0</x:v>
      </x:c>
      <x:c r="O442" s="30" t="n">
        <x:f>IF(COUNT($I$442:$I$446)&lt;&gt;5,"n.a.",IF(I442=0,6,IF('Inputs'!$D$5=1,COUNTIFS($I$442:$I$446,"&gt;0",$I$442:$I$446,"&lt;"&amp;I442)+COUNTIFS($I$442:I442,I442),COUNTIFS($I$442:$I$446,"&gt;0",$J$442:$J$446,"&gt;"&amp;J442)+COUNTIFS($I$442:I442,"&gt;0",$J$442:J442,J442))))</x:f>
        <x:v>6</x:v>
      </x:c>
      <x:c r="P442" s="22" t="n">
        <x:f>IF(T442="Ready",MIN(U442,MAX(0,G442-SUMIFS($U$442:$U$446,$O$442:$O$446,"&lt;"&amp;O442))),"n.a.")</x:f>
        <x:v>0</x:v>
      </x:c>
      <x:c r="Q442" s="22" t="n">
        <x:f>IF(T442="Ready",ROUND(N442+P442,2),"n.a.")</x:f>
        <x:v>0</x:v>
      </x:c>
      <x:c r="R442" s="22" t="n">
        <x:f>IF(T442="Ready",ROUND(Q442-M442,2),"n.a.")</x:f>
        <x:v>0</x:v>
      </x:c>
      <x:c r="S442" s="22" t="n">
        <x:f>IF(T442="Ready",MAX(0,ROUND(I442+M442-Q442,2)),"n.a.")</x:f>
        <x:v>0</x:v>
      </x:c>
      <x:c r="T442" s="22" t="str">
        <x:f>IF(AND(COUNT($I$442:$I$446)=5,COUNT(E442:F442)=2),IF(E442&gt;=F442,"Ready","Budget below minima"),"Check inputs")</x:f>
        <x:v>Ready</x:v>
      </x:c>
      <x:c r="U442" s="22" t="n">
        <x:f>IF(COUNT(I442,M442,N442)=3,MAX(0,ROUND(I442+M442-N442,2)),"n.a.")</x:f>
        <x:v>0</x:v>
      </x:c>
    </x:row>
    <x:row r="443" ht="22" customHeight="1">
      <x:c r="A443" s="2"/>
      <x:c r="B443" s="2"/>
      <x:c r="C443" s="27" t="n">
        <x:f>88</x:f>
        <x:v>88</x:v>
      </x:c>
      <x:c r="D443" s="28" t="n">
        <x:f>IF(ISNUMBER('Inputs'!$D$7),EDATE('Inputs'!$D$7,87),"n.a.")</x:f>
        <x:v>48976</x:v>
      </x:c>
      <x:c r="E443" s="26" t="n">
        <x:f>IF('Inputs'!$D$9&lt;&gt;"Ready","n.a.",IF(ISNUMBER('Inputs'!E106),IF('Inputs'!E106&gt;=0,'Inputs'!E106,"n.a."),IF('Inputs'!E106="",'Inputs'!$D$6,"n.a.")))</x:f>
        <x:v>500</x:v>
      </x:c>
      <x:c r="F443" s="22" t="n">
        <x:f>IF(COUNT($N$442:$N$446)=5,SUM($N$442:$N$446),"n.a.")</x:f>
        <x:v>0</x:v>
      </x:c>
      <x:c r="G443" s="22" t="n">
        <x:f>IF(COUNT(E443:F443)=2,MAX(0,E443-F443),"n.a.")</x:f>
        <x:v>500</x:v>
      </x:c>
      <x:c r="H443" s="26" t="str">
        <x:f>'Inputs'!C12</x:f>
        <x:v>Card B</x:v>
      </x:c>
      <x:c r="I443" s="26" t="n">
        <x:f>S438</x:f>
        <x:v>0</x:v>
      </x:c>
      <x:c r="J443" s="29" t="n">
        <x:f>IF('Inputs'!$D$9="Ready",'Inputs'!E12,"n.a.")</x:f>
        <x:v>0.18</x:v>
      </x:c>
      <x:c r="K443" s="26" t="n">
        <x:f>IF('Inputs'!$D$9="Ready",'Inputs'!F12,"n.a.")</x:f>
        <x:v>60</x:v>
      </x:c>
      <x:c r="L443" s="29" t="n">
        <x:f>IF('Inputs'!$D$9="Ready",'Inputs'!G12,"n.a.")</x:f>
        <x:v>0.02</x:v>
      </x:c>
      <x:c r="M443" s="22" t="n">
        <x:f>IF(COUNT(I443:L443)=4,ROUND(I443*J443/12,2),"n.a.")</x:f>
        <x:v>0</x:v>
      </x:c>
      <x:c r="N443" s="22" t="n">
        <x:f>IF(COUNT(I443:M443)=5,MIN(I443+M443,ROUND(MAX(K443,I443*L443+M443),2)),"n.a.")</x:f>
        <x:v>0</x:v>
      </x:c>
      <x:c r="O443" s="30" t="n">
        <x:f>IF(COUNT($I$442:$I$446)&lt;&gt;5,"n.a.",IF(I443=0,6,IF('Inputs'!$D$5=1,COUNTIFS($I$442:$I$446,"&gt;0",$I$442:$I$446,"&lt;"&amp;I443)+COUNTIFS($I$442:I443,I443),COUNTIFS($I$442:$I$446,"&gt;0",$J$442:$J$446,"&gt;"&amp;J443)+COUNTIFS($I$442:I443,"&gt;0",$J$442:J443,J443))))</x:f>
        <x:v>6</x:v>
      </x:c>
      <x:c r="P443" s="22" t="n">
        <x:f>IF(T443="Ready",MIN(U443,MAX(0,G443-SUMIFS($U$442:$U$446,$O$442:$O$446,"&lt;"&amp;O443))),"n.a.")</x:f>
        <x:v>0</x:v>
      </x:c>
      <x:c r="Q443" s="22" t="n">
        <x:f>IF(T443="Ready",ROUND(N443+P443,2),"n.a.")</x:f>
        <x:v>0</x:v>
      </x:c>
      <x:c r="R443" s="22" t="n">
        <x:f>IF(T443="Ready",ROUND(Q443-M443,2),"n.a.")</x:f>
        <x:v>0</x:v>
      </x:c>
      <x:c r="S443" s="22" t="n">
        <x:f>IF(T443="Ready",MAX(0,ROUND(I443+M443-Q443,2)),"n.a.")</x:f>
        <x:v>0</x:v>
      </x:c>
      <x:c r="T443" s="22" t="str">
        <x:f>IF(AND(COUNT($I$442:$I$446)=5,COUNT(E443:F443)=2),IF(E443&gt;=F443,"Ready","Budget below minima"),"Check inputs")</x:f>
        <x:v>Ready</x:v>
      </x:c>
      <x:c r="U443" s="22" t="n">
        <x:f>IF(COUNT(I443,M443,N443)=3,MAX(0,ROUND(I443+M443-N443,2)),"n.a.")</x:f>
        <x:v>0</x:v>
      </x:c>
    </x:row>
    <x:row r="444" ht="22" customHeight="1">
      <x:c r="A444" s="2"/>
      <x:c r="B444" s="2"/>
      <x:c r="C444" s="27" t="n">
        <x:f>88</x:f>
        <x:v>88</x:v>
      </x:c>
      <x:c r="D444" s="28" t="n">
        <x:f>IF(ISNUMBER('Inputs'!$D$7),EDATE('Inputs'!$D$7,87),"n.a.")</x:f>
        <x:v>48976</x:v>
      </x:c>
      <x:c r="E444" s="26" t="n">
        <x:f>IF('Inputs'!$D$9&lt;&gt;"Ready","n.a.",IF(ISNUMBER('Inputs'!E106),IF('Inputs'!E106&gt;=0,'Inputs'!E106,"n.a."),IF('Inputs'!E106="",'Inputs'!$D$6,"n.a.")))</x:f>
        <x:v>500</x:v>
      </x:c>
      <x:c r="F444" s="22" t="n">
        <x:f>IF(COUNT($N$442:$N$446)=5,SUM($N$442:$N$446),"n.a.")</x:f>
        <x:v>0</x:v>
      </x:c>
      <x:c r="G444" s="22" t="n">
        <x:f>IF(COUNT(E444:F444)=2,MAX(0,E444-F444),"n.a.")</x:f>
        <x:v>500</x:v>
      </x:c>
      <x:c r="H444" s="26" t="str">
        <x:f>'Inputs'!C13</x:f>
        <x:v>Loan C</x:v>
      </x:c>
      <x:c r="I444" s="26" t="n">
        <x:f>S439</x:f>
        <x:v>0</x:v>
      </x:c>
      <x:c r="J444" s="29" t="n">
        <x:f>IF('Inputs'!$D$9="Ready",'Inputs'!E13,"n.a.")</x:f>
        <x:v>0.08</x:v>
      </x:c>
      <x:c r="K444" s="26" t="n">
        <x:f>IF('Inputs'!$D$9="Ready",'Inputs'!F13,"n.a.")</x:f>
        <x:v>150</x:v>
      </x:c>
      <x:c r="L444" s="29" t="n">
        <x:f>IF('Inputs'!$D$9="Ready",'Inputs'!G13,"n.a.")</x:f>
        <x:v>0</x:v>
      </x:c>
      <x:c r="M444" s="22" t="n">
        <x:f>IF(COUNT(I444:L444)=4,ROUND(I444*J444/12,2),"n.a.")</x:f>
        <x:v>0</x:v>
      </x:c>
      <x:c r="N444" s="22" t="n">
        <x:f>IF(COUNT(I444:M444)=5,MIN(I444+M444,ROUND(MAX(K444,I444*L444+M444),2)),"n.a.")</x:f>
        <x:v>0</x:v>
      </x:c>
      <x:c r="O444" s="30" t="n">
        <x:f>IF(COUNT($I$442:$I$446)&lt;&gt;5,"n.a.",IF(I444=0,6,IF('Inputs'!$D$5=1,COUNTIFS($I$442:$I$446,"&gt;0",$I$442:$I$446,"&lt;"&amp;I444)+COUNTIFS($I$442:I444,I444),COUNTIFS($I$442:$I$446,"&gt;0",$J$442:$J$446,"&gt;"&amp;J444)+COUNTIFS($I$442:I444,"&gt;0",$J$442:J444,J444))))</x:f>
        <x:v>6</x:v>
      </x:c>
      <x:c r="P444" s="22" t="n">
        <x:f>IF(T444="Ready",MIN(U444,MAX(0,G444-SUMIFS($U$442:$U$446,$O$442:$O$446,"&lt;"&amp;O444))),"n.a.")</x:f>
        <x:v>0</x:v>
      </x:c>
      <x:c r="Q444" s="22" t="n">
        <x:f>IF(T444="Ready",ROUND(N444+P444,2),"n.a.")</x:f>
        <x:v>0</x:v>
      </x:c>
      <x:c r="R444" s="22" t="n">
        <x:f>IF(T444="Ready",ROUND(Q444-M444,2),"n.a.")</x:f>
        <x:v>0</x:v>
      </x:c>
      <x:c r="S444" s="22" t="n">
        <x:f>IF(T444="Ready",MAX(0,ROUND(I444+M444-Q444,2)),"n.a.")</x:f>
        <x:v>0</x:v>
      </x:c>
      <x:c r="T444" s="22" t="str">
        <x:f>IF(AND(COUNT($I$442:$I$446)=5,COUNT(E444:F444)=2),IF(E444&gt;=F444,"Ready","Budget below minima"),"Check inputs")</x:f>
        <x:v>Ready</x:v>
      </x:c>
      <x:c r="U444" s="22" t="n">
        <x:f>IF(COUNT(I444,M444,N444)=3,MAX(0,ROUND(I444+M444-N444,2)),"n.a.")</x:f>
        <x:v>0</x:v>
      </x:c>
    </x:row>
    <x:row r="445" ht="22" customHeight="1">
      <x:c r="A445" s="2"/>
      <x:c r="B445" s="2"/>
      <x:c r="C445" s="27" t="n">
        <x:f>88</x:f>
        <x:v>88</x:v>
      </x:c>
      <x:c r="D445" s="28" t="n">
        <x:f>IF(ISNUMBER('Inputs'!$D$7),EDATE('Inputs'!$D$7,87),"n.a.")</x:f>
        <x:v>48976</x:v>
      </x:c>
      <x:c r="E445" s="26" t="n">
        <x:f>IF('Inputs'!$D$9&lt;&gt;"Ready","n.a.",IF(ISNUMBER('Inputs'!E106),IF('Inputs'!E106&gt;=0,'Inputs'!E106,"n.a."),IF('Inputs'!E106="",'Inputs'!$D$6,"n.a.")))</x:f>
        <x:v>500</x:v>
      </x:c>
      <x:c r="F445" s="22" t="n">
        <x:f>IF(COUNT($N$442:$N$446)=5,SUM($N$442:$N$446),"n.a.")</x:f>
        <x:v>0</x:v>
      </x:c>
      <x:c r="G445" s="22" t="n">
        <x:f>IF(COUNT(E445:F445)=2,MAX(0,E445-F445),"n.a.")</x:f>
        <x:v>500</x:v>
      </x:c>
      <x:c r="H445" s="26" t="str">
        <x:f>'Inputs'!C14</x:f>
        <x:v>Unused 4</x:v>
      </x:c>
      <x:c r="I445" s="26" t="n">
        <x:f>S440</x:f>
        <x:v>0</x:v>
      </x:c>
      <x:c r="J445" s="29" t="n">
        <x:f>IF('Inputs'!$D$9="Ready",'Inputs'!E14,"n.a.")</x:f>
        <x:v>0</x:v>
      </x:c>
      <x:c r="K445" s="26" t="n">
        <x:f>IF('Inputs'!$D$9="Ready",'Inputs'!F14,"n.a.")</x:f>
        <x:v>0</x:v>
      </x:c>
      <x:c r="L445" s="29" t="n">
        <x:f>IF('Inputs'!$D$9="Ready",'Inputs'!G14,"n.a.")</x:f>
        <x:v>0</x:v>
      </x:c>
      <x:c r="M445" s="22" t="n">
        <x:f>IF(COUNT(I445:L445)=4,ROUND(I445*J445/12,2),"n.a.")</x:f>
        <x:v>0</x:v>
      </x:c>
      <x:c r="N445" s="22" t="n">
        <x:f>IF(COUNT(I445:M445)=5,MIN(I445+M445,ROUND(MAX(K445,I445*L445+M445),2)),"n.a.")</x:f>
        <x:v>0</x:v>
      </x:c>
      <x:c r="O445" s="30" t="n">
        <x:f>IF(COUNT($I$442:$I$446)&lt;&gt;5,"n.a.",IF(I445=0,6,IF('Inputs'!$D$5=1,COUNTIFS($I$442:$I$446,"&gt;0",$I$442:$I$446,"&lt;"&amp;I445)+COUNTIFS($I$442:I445,I445),COUNTIFS($I$442:$I$446,"&gt;0",$J$442:$J$446,"&gt;"&amp;J445)+COUNTIFS($I$442:I445,"&gt;0",$J$442:J445,J445))))</x:f>
        <x:v>6</x:v>
      </x:c>
      <x:c r="P445" s="22" t="n">
        <x:f>IF(T445="Ready",MIN(U445,MAX(0,G445-SUMIFS($U$442:$U$446,$O$442:$O$446,"&lt;"&amp;O445))),"n.a.")</x:f>
        <x:v>0</x:v>
      </x:c>
      <x:c r="Q445" s="22" t="n">
        <x:f>IF(T445="Ready",ROUND(N445+P445,2),"n.a.")</x:f>
        <x:v>0</x:v>
      </x:c>
      <x:c r="R445" s="22" t="n">
        <x:f>IF(T445="Ready",ROUND(Q445-M445,2),"n.a.")</x:f>
        <x:v>0</x:v>
      </x:c>
      <x:c r="S445" s="22" t="n">
        <x:f>IF(T445="Ready",MAX(0,ROUND(I445+M445-Q445,2)),"n.a.")</x:f>
        <x:v>0</x:v>
      </x:c>
      <x:c r="T445" s="22" t="str">
        <x:f>IF(AND(COUNT($I$442:$I$446)=5,COUNT(E445:F445)=2),IF(E445&gt;=F445,"Ready","Budget below minima"),"Check inputs")</x:f>
        <x:v>Ready</x:v>
      </x:c>
      <x:c r="U445" s="22" t="n">
        <x:f>IF(COUNT(I445,M445,N445)=3,MAX(0,ROUND(I445+M445-N445,2)),"n.a.")</x:f>
        <x:v>0</x:v>
      </x:c>
    </x:row>
    <x:row r="446" ht="22" customHeight="1">
      <x:c r="A446" s="2"/>
      <x:c r="B446" s="2"/>
      <x:c r="C446" s="27" t="n">
        <x:f>88</x:f>
        <x:v>88</x:v>
      </x:c>
      <x:c r="D446" s="28" t="n">
        <x:f>IF(ISNUMBER('Inputs'!$D$7),EDATE('Inputs'!$D$7,87),"n.a.")</x:f>
        <x:v>48976</x:v>
      </x:c>
      <x:c r="E446" s="26" t="n">
        <x:f>IF('Inputs'!$D$9&lt;&gt;"Ready","n.a.",IF(ISNUMBER('Inputs'!E106),IF('Inputs'!E106&gt;=0,'Inputs'!E106,"n.a."),IF('Inputs'!E106="",'Inputs'!$D$6,"n.a.")))</x:f>
        <x:v>500</x:v>
      </x:c>
      <x:c r="F446" s="22" t="n">
        <x:f>IF(COUNT($N$442:$N$446)=5,SUM($N$442:$N$446),"n.a.")</x:f>
        <x:v>0</x:v>
      </x:c>
      <x:c r="G446" s="22" t="n">
        <x:f>IF(COUNT(E446:F446)=2,MAX(0,E446-F446),"n.a.")</x:f>
        <x:v>500</x:v>
      </x:c>
      <x:c r="H446" s="26" t="str">
        <x:f>'Inputs'!C15</x:f>
        <x:v>Unused 5</x:v>
      </x:c>
      <x:c r="I446" s="26" t="n">
        <x:f>S441</x:f>
        <x:v>0</x:v>
      </x:c>
      <x:c r="J446" s="29" t="n">
        <x:f>IF('Inputs'!$D$9="Ready",'Inputs'!E15,"n.a.")</x:f>
        <x:v>0</x:v>
      </x:c>
      <x:c r="K446" s="26" t="n">
        <x:f>IF('Inputs'!$D$9="Ready",'Inputs'!F15,"n.a.")</x:f>
        <x:v>0</x:v>
      </x:c>
      <x:c r="L446" s="29" t="n">
        <x:f>IF('Inputs'!$D$9="Ready",'Inputs'!G15,"n.a.")</x:f>
        <x:v>0</x:v>
      </x:c>
      <x:c r="M446" s="22" t="n">
        <x:f>IF(COUNT(I446:L446)=4,ROUND(I446*J446/12,2),"n.a.")</x:f>
        <x:v>0</x:v>
      </x:c>
      <x:c r="N446" s="22" t="n">
        <x:f>IF(COUNT(I446:M446)=5,MIN(I446+M446,ROUND(MAX(K446,I446*L446+M446),2)),"n.a.")</x:f>
        <x:v>0</x:v>
      </x:c>
      <x:c r="O446" s="30" t="n">
        <x:f>IF(COUNT($I$442:$I$446)&lt;&gt;5,"n.a.",IF(I446=0,6,IF('Inputs'!$D$5=1,COUNTIFS($I$442:$I$446,"&gt;0",$I$442:$I$446,"&lt;"&amp;I446)+COUNTIFS($I$442:I446,I446),COUNTIFS($I$442:$I$446,"&gt;0",$J$442:$J$446,"&gt;"&amp;J446)+COUNTIFS($I$442:I446,"&gt;0",$J$442:J446,J446))))</x:f>
        <x:v>6</x:v>
      </x:c>
      <x:c r="P446" s="22" t="n">
        <x:f>IF(T446="Ready",MIN(U446,MAX(0,G446-SUMIFS($U$442:$U$446,$O$442:$O$446,"&lt;"&amp;O446))),"n.a.")</x:f>
        <x:v>0</x:v>
      </x:c>
      <x:c r="Q446" s="22" t="n">
        <x:f>IF(T446="Ready",ROUND(N446+P446,2),"n.a.")</x:f>
        <x:v>0</x:v>
      </x:c>
      <x:c r="R446" s="22" t="n">
        <x:f>IF(T446="Ready",ROUND(Q446-M446,2),"n.a.")</x:f>
        <x:v>0</x:v>
      </x:c>
      <x:c r="S446" s="22" t="n">
        <x:f>IF(T446="Ready",MAX(0,ROUND(I446+M446-Q446,2)),"n.a.")</x:f>
        <x:v>0</x:v>
      </x:c>
      <x:c r="T446" s="22" t="str">
        <x:f>IF(AND(COUNT($I$442:$I$446)=5,COUNT(E446:F446)=2),IF(E446&gt;=F446,"Ready","Budget below minima"),"Check inputs")</x:f>
        <x:v>Ready</x:v>
      </x:c>
      <x:c r="U446" s="22" t="n">
        <x:f>IF(COUNT(I446,M446,N446)=3,MAX(0,ROUND(I446+M446-N446,2)),"n.a.")</x:f>
        <x:v>0</x:v>
      </x:c>
    </x:row>
    <x:row r="447" ht="22" customHeight="1">
      <x:c r="A447" s="2"/>
      <x:c r="B447" s="2"/>
      <x:c r="C447" s="27" t="n">
        <x:f>89</x:f>
        <x:v>89</x:v>
      </x:c>
      <x:c r="D447" s="28" t="n">
        <x:f>IF(ISNUMBER('Inputs'!$D$7),EDATE('Inputs'!$D$7,88),"n.a.")</x:f>
        <x:v>49004</x:v>
      </x:c>
      <x:c r="E447" s="26" t="n">
        <x:f>IF('Inputs'!$D$9&lt;&gt;"Ready","n.a.",IF(ISNUMBER('Inputs'!E107),IF('Inputs'!E107&gt;=0,'Inputs'!E107,"n.a."),IF('Inputs'!E107="",'Inputs'!$D$6,"n.a.")))</x:f>
        <x:v>500</x:v>
      </x:c>
      <x:c r="F447" s="22" t="n">
        <x:f>IF(COUNT($N$447:$N$451)=5,SUM($N$447:$N$451),"n.a.")</x:f>
        <x:v>0</x:v>
      </x:c>
      <x:c r="G447" s="22" t="n">
        <x:f>IF(COUNT(E447:F447)=2,MAX(0,E447-F447),"n.a.")</x:f>
        <x:v>500</x:v>
      </x:c>
      <x:c r="H447" s="26" t="str">
        <x:f>'Inputs'!C11</x:f>
        <x:v>Card A</x:v>
      </x:c>
      <x:c r="I447" s="26" t="n">
        <x:f>S442</x:f>
        <x:v>0</x:v>
      </x:c>
      <x:c r="J447" s="29" t="n">
        <x:f>IF('Inputs'!$D$9="Ready",'Inputs'!E11,"n.a.")</x:f>
        <x:v>0.24</x:v>
      </x:c>
      <x:c r="K447" s="26" t="n">
        <x:f>IF('Inputs'!$D$9="Ready",'Inputs'!F11,"n.a.")</x:f>
        <x:v>35</x:v>
      </x:c>
      <x:c r="L447" s="29" t="n">
        <x:f>IF('Inputs'!$D$9="Ready",'Inputs'!G11,"n.a.")</x:f>
        <x:v>0.02</x:v>
      </x:c>
      <x:c r="M447" s="22" t="n">
        <x:f>IF(COUNT(I447:L447)=4,ROUND(I447*J447/12,2),"n.a.")</x:f>
        <x:v>0</x:v>
      </x:c>
      <x:c r="N447" s="22" t="n">
        <x:f>IF(COUNT(I447:M447)=5,MIN(I447+M447,ROUND(MAX(K447,I447*L447+M447),2)),"n.a.")</x:f>
        <x:v>0</x:v>
      </x:c>
      <x:c r="O447" s="30" t="n">
        <x:f>IF(COUNT($I$447:$I$451)&lt;&gt;5,"n.a.",IF(I447=0,6,IF('Inputs'!$D$5=1,COUNTIFS($I$447:$I$451,"&gt;0",$I$447:$I$451,"&lt;"&amp;I447)+COUNTIFS($I$447:I447,I447),COUNTIFS($I$447:$I$451,"&gt;0",$J$447:$J$451,"&gt;"&amp;J447)+COUNTIFS($I$447:I447,"&gt;0",$J$447:J447,J447))))</x:f>
        <x:v>6</x:v>
      </x:c>
      <x:c r="P447" s="22" t="n">
        <x:f>IF(T447="Ready",MIN(U447,MAX(0,G447-SUMIFS($U$447:$U$451,$O$447:$O$451,"&lt;"&amp;O447))),"n.a.")</x:f>
        <x:v>0</x:v>
      </x:c>
      <x:c r="Q447" s="22" t="n">
        <x:f>IF(T447="Ready",ROUND(N447+P447,2),"n.a.")</x:f>
        <x:v>0</x:v>
      </x:c>
      <x:c r="R447" s="22" t="n">
        <x:f>IF(T447="Ready",ROUND(Q447-M447,2),"n.a.")</x:f>
        <x:v>0</x:v>
      </x:c>
      <x:c r="S447" s="22" t="n">
        <x:f>IF(T447="Ready",MAX(0,ROUND(I447+M447-Q447,2)),"n.a.")</x:f>
        <x:v>0</x:v>
      </x:c>
      <x:c r="T447" s="22" t="str">
        <x:f>IF(AND(COUNT($I$447:$I$451)=5,COUNT(E447:F447)=2),IF(E447&gt;=F447,"Ready","Budget below minima"),"Check inputs")</x:f>
        <x:v>Ready</x:v>
      </x:c>
      <x:c r="U447" s="22" t="n">
        <x:f>IF(COUNT(I447,M447,N447)=3,MAX(0,ROUND(I447+M447-N447,2)),"n.a.")</x:f>
        <x:v>0</x:v>
      </x:c>
    </x:row>
    <x:row r="448" ht="22" customHeight="1">
      <x:c r="A448" s="2"/>
      <x:c r="B448" s="2"/>
      <x:c r="C448" s="27" t="n">
        <x:f>89</x:f>
        <x:v>89</x:v>
      </x:c>
      <x:c r="D448" s="28" t="n">
        <x:f>IF(ISNUMBER('Inputs'!$D$7),EDATE('Inputs'!$D$7,88),"n.a.")</x:f>
        <x:v>49004</x:v>
      </x:c>
      <x:c r="E448" s="26" t="n">
        <x:f>IF('Inputs'!$D$9&lt;&gt;"Ready","n.a.",IF(ISNUMBER('Inputs'!E107),IF('Inputs'!E107&gt;=0,'Inputs'!E107,"n.a."),IF('Inputs'!E107="",'Inputs'!$D$6,"n.a.")))</x:f>
        <x:v>500</x:v>
      </x:c>
      <x:c r="F448" s="22" t="n">
        <x:f>IF(COUNT($N$447:$N$451)=5,SUM($N$447:$N$451),"n.a.")</x:f>
        <x:v>0</x:v>
      </x:c>
      <x:c r="G448" s="22" t="n">
        <x:f>IF(COUNT(E448:F448)=2,MAX(0,E448-F448),"n.a.")</x:f>
        <x:v>500</x:v>
      </x:c>
      <x:c r="H448" s="26" t="str">
        <x:f>'Inputs'!C12</x:f>
        <x:v>Card B</x:v>
      </x:c>
      <x:c r="I448" s="26" t="n">
        <x:f>S443</x:f>
        <x:v>0</x:v>
      </x:c>
      <x:c r="J448" s="29" t="n">
        <x:f>IF('Inputs'!$D$9="Ready",'Inputs'!E12,"n.a.")</x:f>
        <x:v>0.18</x:v>
      </x:c>
      <x:c r="K448" s="26" t="n">
        <x:f>IF('Inputs'!$D$9="Ready",'Inputs'!F12,"n.a.")</x:f>
        <x:v>60</x:v>
      </x:c>
      <x:c r="L448" s="29" t="n">
        <x:f>IF('Inputs'!$D$9="Ready",'Inputs'!G12,"n.a.")</x:f>
        <x:v>0.02</x:v>
      </x:c>
      <x:c r="M448" s="22" t="n">
        <x:f>IF(COUNT(I448:L448)=4,ROUND(I448*J448/12,2),"n.a.")</x:f>
        <x:v>0</x:v>
      </x:c>
      <x:c r="N448" s="22" t="n">
        <x:f>IF(COUNT(I448:M448)=5,MIN(I448+M448,ROUND(MAX(K448,I448*L448+M448),2)),"n.a.")</x:f>
        <x:v>0</x:v>
      </x:c>
      <x:c r="O448" s="30" t="n">
        <x:f>IF(COUNT($I$447:$I$451)&lt;&gt;5,"n.a.",IF(I448=0,6,IF('Inputs'!$D$5=1,COUNTIFS($I$447:$I$451,"&gt;0",$I$447:$I$451,"&lt;"&amp;I448)+COUNTIFS($I$447:I448,I448),COUNTIFS($I$447:$I$451,"&gt;0",$J$447:$J$451,"&gt;"&amp;J448)+COUNTIFS($I$447:I448,"&gt;0",$J$447:J448,J448))))</x:f>
        <x:v>6</x:v>
      </x:c>
      <x:c r="P448" s="22" t="n">
        <x:f>IF(T448="Ready",MIN(U448,MAX(0,G448-SUMIFS($U$447:$U$451,$O$447:$O$451,"&lt;"&amp;O448))),"n.a.")</x:f>
        <x:v>0</x:v>
      </x:c>
      <x:c r="Q448" s="22" t="n">
        <x:f>IF(T448="Ready",ROUND(N448+P448,2),"n.a.")</x:f>
        <x:v>0</x:v>
      </x:c>
      <x:c r="R448" s="22" t="n">
        <x:f>IF(T448="Ready",ROUND(Q448-M448,2),"n.a.")</x:f>
        <x:v>0</x:v>
      </x:c>
      <x:c r="S448" s="22" t="n">
        <x:f>IF(T448="Ready",MAX(0,ROUND(I448+M448-Q448,2)),"n.a.")</x:f>
        <x:v>0</x:v>
      </x:c>
      <x:c r="T448" s="22" t="str">
        <x:f>IF(AND(COUNT($I$447:$I$451)=5,COUNT(E448:F448)=2),IF(E448&gt;=F448,"Ready","Budget below minima"),"Check inputs")</x:f>
        <x:v>Ready</x:v>
      </x:c>
      <x:c r="U448" s="22" t="n">
        <x:f>IF(COUNT(I448,M448,N448)=3,MAX(0,ROUND(I448+M448-N448,2)),"n.a.")</x:f>
        <x:v>0</x:v>
      </x:c>
    </x:row>
    <x:row r="449" ht="22" customHeight="1">
      <x:c r="A449" s="2"/>
      <x:c r="B449" s="2"/>
      <x:c r="C449" s="27" t="n">
        <x:f>89</x:f>
        <x:v>89</x:v>
      </x:c>
      <x:c r="D449" s="28" t="n">
        <x:f>IF(ISNUMBER('Inputs'!$D$7),EDATE('Inputs'!$D$7,88),"n.a.")</x:f>
        <x:v>49004</x:v>
      </x:c>
      <x:c r="E449" s="26" t="n">
        <x:f>IF('Inputs'!$D$9&lt;&gt;"Ready","n.a.",IF(ISNUMBER('Inputs'!E107),IF('Inputs'!E107&gt;=0,'Inputs'!E107,"n.a."),IF('Inputs'!E107="",'Inputs'!$D$6,"n.a.")))</x:f>
        <x:v>500</x:v>
      </x:c>
      <x:c r="F449" s="22" t="n">
        <x:f>IF(COUNT($N$447:$N$451)=5,SUM($N$447:$N$451),"n.a.")</x:f>
        <x:v>0</x:v>
      </x:c>
      <x:c r="G449" s="22" t="n">
        <x:f>IF(COUNT(E449:F449)=2,MAX(0,E449-F449),"n.a.")</x:f>
        <x:v>500</x:v>
      </x:c>
      <x:c r="H449" s="26" t="str">
        <x:f>'Inputs'!C13</x:f>
        <x:v>Loan C</x:v>
      </x:c>
      <x:c r="I449" s="26" t="n">
        <x:f>S444</x:f>
        <x:v>0</x:v>
      </x:c>
      <x:c r="J449" s="29" t="n">
        <x:f>IF('Inputs'!$D$9="Ready",'Inputs'!E13,"n.a.")</x:f>
        <x:v>0.08</x:v>
      </x:c>
      <x:c r="K449" s="26" t="n">
        <x:f>IF('Inputs'!$D$9="Ready",'Inputs'!F13,"n.a.")</x:f>
        <x:v>150</x:v>
      </x:c>
      <x:c r="L449" s="29" t="n">
        <x:f>IF('Inputs'!$D$9="Ready",'Inputs'!G13,"n.a.")</x:f>
        <x:v>0</x:v>
      </x:c>
      <x:c r="M449" s="22" t="n">
        <x:f>IF(COUNT(I449:L449)=4,ROUND(I449*J449/12,2),"n.a.")</x:f>
        <x:v>0</x:v>
      </x:c>
      <x:c r="N449" s="22" t="n">
        <x:f>IF(COUNT(I449:M449)=5,MIN(I449+M449,ROUND(MAX(K449,I449*L449+M449),2)),"n.a.")</x:f>
        <x:v>0</x:v>
      </x:c>
      <x:c r="O449" s="30" t="n">
        <x:f>IF(COUNT($I$447:$I$451)&lt;&gt;5,"n.a.",IF(I449=0,6,IF('Inputs'!$D$5=1,COUNTIFS($I$447:$I$451,"&gt;0",$I$447:$I$451,"&lt;"&amp;I449)+COUNTIFS($I$447:I449,I449),COUNTIFS($I$447:$I$451,"&gt;0",$J$447:$J$451,"&gt;"&amp;J449)+COUNTIFS($I$447:I449,"&gt;0",$J$447:J449,J449))))</x:f>
        <x:v>6</x:v>
      </x:c>
      <x:c r="P449" s="22" t="n">
        <x:f>IF(T449="Ready",MIN(U449,MAX(0,G449-SUMIFS($U$447:$U$451,$O$447:$O$451,"&lt;"&amp;O449))),"n.a.")</x:f>
        <x:v>0</x:v>
      </x:c>
      <x:c r="Q449" s="22" t="n">
        <x:f>IF(T449="Ready",ROUND(N449+P449,2),"n.a.")</x:f>
        <x:v>0</x:v>
      </x:c>
      <x:c r="R449" s="22" t="n">
        <x:f>IF(T449="Ready",ROUND(Q449-M449,2),"n.a.")</x:f>
        <x:v>0</x:v>
      </x:c>
      <x:c r="S449" s="22" t="n">
        <x:f>IF(T449="Ready",MAX(0,ROUND(I449+M449-Q449,2)),"n.a.")</x:f>
        <x:v>0</x:v>
      </x:c>
      <x:c r="T449" s="22" t="str">
        <x:f>IF(AND(COUNT($I$447:$I$451)=5,COUNT(E449:F449)=2),IF(E449&gt;=F449,"Ready","Budget below minima"),"Check inputs")</x:f>
        <x:v>Ready</x:v>
      </x:c>
      <x:c r="U449" s="22" t="n">
        <x:f>IF(COUNT(I449,M449,N449)=3,MAX(0,ROUND(I449+M449-N449,2)),"n.a.")</x:f>
        <x:v>0</x:v>
      </x:c>
    </x:row>
    <x:row r="450" ht="22" customHeight="1">
      <x:c r="A450" s="2"/>
      <x:c r="B450" s="2"/>
      <x:c r="C450" s="27" t="n">
        <x:f>89</x:f>
        <x:v>89</x:v>
      </x:c>
      <x:c r="D450" s="28" t="n">
        <x:f>IF(ISNUMBER('Inputs'!$D$7),EDATE('Inputs'!$D$7,88),"n.a.")</x:f>
        <x:v>49004</x:v>
      </x:c>
      <x:c r="E450" s="26" t="n">
        <x:f>IF('Inputs'!$D$9&lt;&gt;"Ready","n.a.",IF(ISNUMBER('Inputs'!E107),IF('Inputs'!E107&gt;=0,'Inputs'!E107,"n.a."),IF('Inputs'!E107="",'Inputs'!$D$6,"n.a.")))</x:f>
        <x:v>500</x:v>
      </x:c>
      <x:c r="F450" s="22" t="n">
        <x:f>IF(COUNT($N$447:$N$451)=5,SUM($N$447:$N$451),"n.a.")</x:f>
        <x:v>0</x:v>
      </x:c>
      <x:c r="G450" s="22" t="n">
        <x:f>IF(COUNT(E450:F450)=2,MAX(0,E450-F450),"n.a.")</x:f>
        <x:v>500</x:v>
      </x:c>
      <x:c r="H450" s="26" t="str">
        <x:f>'Inputs'!C14</x:f>
        <x:v>Unused 4</x:v>
      </x:c>
      <x:c r="I450" s="26" t="n">
        <x:f>S445</x:f>
        <x:v>0</x:v>
      </x:c>
      <x:c r="J450" s="29" t="n">
        <x:f>IF('Inputs'!$D$9="Ready",'Inputs'!E14,"n.a.")</x:f>
        <x:v>0</x:v>
      </x:c>
      <x:c r="K450" s="26" t="n">
        <x:f>IF('Inputs'!$D$9="Ready",'Inputs'!F14,"n.a.")</x:f>
        <x:v>0</x:v>
      </x:c>
      <x:c r="L450" s="29" t="n">
        <x:f>IF('Inputs'!$D$9="Ready",'Inputs'!G14,"n.a.")</x:f>
        <x:v>0</x:v>
      </x:c>
      <x:c r="M450" s="22" t="n">
        <x:f>IF(COUNT(I450:L450)=4,ROUND(I450*J450/12,2),"n.a.")</x:f>
        <x:v>0</x:v>
      </x:c>
      <x:c r="N450" s="22" t="n">
        <x:f>IF(COUNT(I450:M450)=5,MIN(I450+M450,ROUND(MAX(K450,I450*L450+M450),2)),"n.a.")</x:f>
        <x:v>0</x:v>
      </x:c>
      <x:c r="O450" s="30" t="n">
        <x:f>IF(COUNT($I$447:$I$451)&lt;&gt;5,"n.a.",IF(I450=0,6,IF('Inputs'!$D$5=1,COUNTIFS($I$447:$I$451,"&gt;0",$I$447:$I$451,"&lt;"&amp;I450)+COUNTIFS($I$447:I450,I450),COUNTIFS($I$447:$I$451,"&gt;0",$J$447:$J$451,"&gt;"&amp;J450)+COUNTIFS($I$447:I450,"&gt;0",$J$447:J450,J450))))</x:f>
        <x:v>6</x:v>
      </x:c>
      <x:c r="P450" s="22" t="n">
        <x:f>IF(T450="Ready",MIN(U450,MAX(0,G450-SUMIFS($U$447:$U$451,$O$447:$O$451,"&lt;"&amp;O450))),"n.a.")</x:f>
        <x:v>0</x:v>
      </x:c>
      <x:c r="Q450" s="22" t="n">
        <x:f>IF(T450="Ready",ROUND(N450+P450,2),"n.a.")</x:f>
        <x:v>0</x:v>
      </x:c>
      <x:c r="R450" s="22" t="n">
        <x:f>IF(T450="Ready",ROUND(Q450-M450,2),"n.a.")</x:f>
        <x:v>0</x:v>
      </x:c>
      <x:c r="S450" s="22" t="n">
        <x:f>IF(T450="Ready",MAX(0,ROUND(I450+M450-Q450,2)),"n.a.")</x:f>
        <x:v>0</x:v>
      </x:c>
      <x:c r="T450" s="22" t="str">
        <x:f>IF(AND(COUNT($I$447:$I$451)=5,COUNT(E450:F450)=2),IF(E450&gt;=F450,"Ready","Budget below minima"),"Check inputs")</x:f>
        <x:v>Ready</x:v>
      </x:c>
      <x:c r="U450" s="22" t="n">
        <x:f>IF(COUNT(I450,M450,N450)=3,MAX(0,ROUND(I450+M450-N450,2)),"n.a.")</x:f>
        <x:v>0</x:v>
      </x:c>
    </x:row>
    <x:row r="451" ht="22" customHeight="1">
      <x:c r="A451" s="2"/>
      <x:c r="B451" s="2"/>
      <x:c r="C451" s="27" t="n">
        <x:f>89</x:f>
        <x:v>89</x:v>
      </x:c>
      <x:c r="D451" s="28" t="n">
        <x:f>IF(ISNUMBER('Inputs'!$D$7),EDATE('Inputs'!$D$7,88),"n.a.")</x:f>
        <x:v>49004</x:v>
      </x:c>
      <x:c r="E451" s="26" t="n">
        <x:f>IF('Inputs'!$D$9&lt;&gt;"Ready","n.a.",IF(ISNUMBER('Inputs'!E107),IF('Inputs'!E107&gt;=0,'Inputs'!E107,"n.a."),IF('Inputs'!E107="",'Inputs'!$D$6,"n.a.")))</x:f>
        <x:v>500</x:v>
      </x:c>
      <x:c r="F451" s="22" t="n">
        <x:f>IF(COUNT($N$447:$N$451)=5,SUM($N$447:$N$451),"n.a.")</x:f>
        <x:v>0</x:v>
      </x:c>
      <x:c r="G451" s="22" t="n">
        <x:f>IF(COUNT(E451:F451)=2,MAX(0,E451-F451),"n.a.")</x:f>
        <x:v>500</x:v>
      </x:c>
      <x:c r="H451" s="26" t="str">
        <x:f>'Inputs'!C15</x:f>
        <x:v>Unused 5</x:v>
      </x:c>
      <x:c r="I451" s="26" t="n">
        <x:f>S446</x:f>
        <x:v>0</x:v>
      </x:c>
      <x:c r="J451" s="29" t="n">
        <x:f>IF('Inputs'!$D$9="Ready",'Inputs'!E15,"n.a.")</x:f>
        <x:v>0</x:v>
      </x:c>
      <x:c r="K451" s="26" t="n">
        <x:f>IF('Inputs'!$D$9="Ready",'Inputs'!F15,"n.a.")</x:f>
        <x:v>0</x:v>
      </x:c>
      <x:c r="L451" s="29" t="n">
        <x:f>IF('Inputs'!$D$9="Ready",'Inputs'!G15,"n.a.")</x:f>
        <x:v>0</x:v>
      </x:c>
      <x:c r="M451" s="22" t="n">
        <x:f>IF(COUNT(I451:L451)=4,ROUND(I451*J451/12,2),"n.a.")</x:f>
        <x:v>0</x:v>
      </x:c>
      <x:c r="N451" s="22" t="n">
        <x:f>IF(COUNT(I451:M451)=5,MIN(I451+M451,ROUND(MAX(K451,I451*L451+M451),2)),"n.a.")</x:f>
        <x:v>0</x:v>
      </x:c>
      <x:c r="O451" s="30" t="n">
        <x:f>IF(COUNT($I$447:$I$451)&lt;&gt;5,"n.a.",IF(I451=0,6,IF('Inputs'!$D$5=1,COUNTIFS($I$447:$I$451,"&gt;0",$I$447:$I$451,"&lt;"&amp;I451)+COUNTIFS($I$447:I451,I451),COUNTIFS($I$447:$I$451,"&gt;0",$J$447:$J$451,"&gt;"&amp;J451)+COUNTIFS($I$447:I451,"&gt;0",$J$447:J451,J451))))</x:f>
        <x:v>6</x:v>
      </x:c>
      <x:c r="P451" s="22" t="n">
        <x:f>IF(T451="Ready",MIN(U451,MAX(0,G451-SUMIFS($U$447:$U$451,$O$447:$O$451,"&lt;"&amp;O451))),"n.a.")</x:f>
        <x:v>0</x:v>
      </x:c>
      <x:c r="Q451" s="22" t="n">
        <x:f>IF(T451="Ready",ROUND(N451+P451,2),"n.a.")</x:f>
        <x:v>0</x:v>
      </x:c>
      <x:c r="R451" s="22" t="n">
        <x:f>IF(T451="Ready",ROUND(Q451-M451,2),"n.a.")</x:f>
        <x:v>0</x:v>
      </x:c>
      <x:c r="S451" s="22" t="n">
        <x:f>IF(T451="Ready",MAX(0,ROUND(I451+M451-Q451,2)),"n.a.")</x:f>
        <x:v>0</x:v>
      </x:c>
      <x:c r="T451" s="22" t="str">
        <x:f>IF(AND(COUNT($I$447:$I$451)=5,COUNT(E451:F451)=2),IF(E451&gt;=F451,"Ready","Budget below minima"),"Check inputs")</x:f>
        <x:v>Ready</x:v>
      </x:c>
      <x:c r="U451" s="22" t="n">
        <x:f>IF(COUNT(I451,M451,N451)=3,MAX(0,ROUND(I451+M451-N451,2)),"n.a.")</x:f>
        <x:v>0</x:v>
      </x:c>
    </x:row>
    <x:row r="452" ht="22" customHeight="1">
      <x:c r="A452" s="2"/>
      <x:c r="B452" s="2"/>
      <x:c r="C452" s="27" t="n">
        <x:f>90</x:f>
        <x:v>90</x:v>
      </x:c>
      <x:c r="D452" s="28" t="n">
        <x:f>IF(ISNUMBER('Inputs'!$D$7),EDATE('Inputs'!$D$7,89),"n.a.")</x:f>
        <x:v>49035</x:v>
      </x:c>
      <x:c r="E452" s="26" t="n">
        <x:f>IF('Inputs'!$D$9&lt;&gt;"Ready","n.a.",IF(ISNUMBER('Inputs'!E108),IF('Inputs'!E108&gt;=0,'Inputs'!E108,"n.a."),IF('Inputs'!E108="",'Inputs'!$D$6,"n.a.")))</x:f>
        <x:v>500</x:v>
      </x:c>
      <x:c r="F452" s="22" t="n">
        <x:f>IF(COUNT($N$452:$N$456)=5,SUM($N$452:$N$456),"n.a.")</x:f>
        <x:v>0</x:v>
      </x:c>
      <x:c r="G452" s="22" t="n">
        <x:f>IF(COUNT(E452:F452)=2,MAX(0,E452-F452),"n.a.")</x:f>
        <x:v>500</x:v>
      </x:c>
      <x:c r="H452" s="26" t="str">
        <x:f>'Inputs'!C11</x:f>
        <x:v>Card A</x:v>
      </x:c>
      <x:c r="I452" s="26" t="n">
        <x:f>S447</x:f>
        <x:v>0</x:v>
      </x:c>
      <x:c r="J452" s="29" t="n">
        <x:f>IF('Inputs'!$D$9="Ready",'Inputs'!E11,"n.a.")</x:f>
        <x:v>0.24</x:v>
      </x:c>
      <x:c r="K452" s="26" t="n">
        <x:f>IF('Inputs'!$D$9="Ready",'Inputs'!F11,"n.a.")</x:f>
        <x:v>35</x:v>
      </x:c>
      <x:c r="L452" s="29" t="n">
        <x:f>IF('Inputs'!$D$9="Ready",'Inputs'!G11,"n.a.")</x:f>
        <x:v>0.02</x:v>
      </x:c>
      <x:c r="M452" s="22" t="n">
        <x:f>IF(COUNT(I452:L452)=4,ROUND(I452*J452/12,2),"n.a.")</x:f>
        <x:v>0</x:v>
      </x:c>
      <x:c r="N452" s="22" t="n">
        <x:f>IF(COUNT(I452:M452)=5,MIN(I452+M452,ROUND(MAX(K452,I452*L452+M452),2)),"n.a.")</x:f>
        <x:v>0</x:v>
      </x:c>
      <x:c r="O452" s="30" t="n">
        <x:f>IF(COUNT($I$452:$I$456)&lt;&gt;5,"n.a.",IF(I452=0,6,IF('Inputs'!$D$5=1,COUNTIFS($I$452:$I$456,"&gt;0",$I$452:$I$456,"&lt;"&amp;I452)+COUNTIFS($I$452:I452,I452),COUNTIFS($I$452:$I$456,"&gt;0",$J$452:$J$456,"&gt;"&amp;J452)+COUNTIFS($I$452:I452,"&gt;0",$J$452:J452,J452))))</x:f>
        <x:v>6</x:v>
      </x:c>
      <x:c r="P452" s="22" t="n">
        <x:f>IF(T452="Ready",MIN(U452,MAX(0,G452-SUMIFS($U$452:$U$456,$O$452:$O$456,"&lt;"&amp;O452))),"n.a.")</x:f>
        <x:v>0</x:v>
      </x:c>
      <x:c r="Q452" s="22" t="n">
        <x:f>IF(T452="Ready",ROUND(N452+P452,2),"n.a.")</x:f>
        <x:v>0</x:v>
      </x:c>
      <x:c r="R452" s="22" t="n">
        <x:f>IF(T452="Ready",ROUND(Q452-M452,2),"n.a.")</x:f>
        <x:v>0</x:v>
      </x:c>
      <x:c r="S452" s="22" t="n">
        <x:f>IF(T452="Ready",MAX(0,ROUND(I452+M452-Q452,2)),"n.a.")</x:f>
        <x:v>0</x:v>
      </x:c>
      <x:c r="T452" s="22" t="str">
        <x:f>IF(AND(COUNT($I$452:$I$456)=5,COUNT(E452:F452)=2),IF(E452&gt;=F452,"Ready","Budget below minima"),"Check inputs")</x:f>
        <x:v>Ready</x:v>
      </x:c>
      <x:c r="U452" s="22" t="n">
        <x:f>IF(COUNT(I452,M452,N452)=3,MAX(0,ROUND(I452+M452-N452,2)),"n.a.")</x:f>
        <x:v>0</x:v>
      </x:c>
    </x:row>
    <x:row r="453" ht="22" customHeight="1">
      <x:c r="A453" s="2"/>
      <x:c r="B453" s="2"/>
      <x:c r="C453" s="27" t="n">
        <x:f>90</x:f>
        <x:v>90</x:v>
      </x:c>
      <x:c r="D453" s="28" t="n">
        <x:f>IF(ISNUMBER('Inputs'!$D$7),EDATE('Inputs'!$D$7,89),"n.a.")</x:f>
        <x:v>49035</x:v>
      </x:c>
      <x:c r="E453" s="26" t="n">
        <x:f>IF('Inputs'!$D$9&lt;&gt;"Ready","n.a.",IF(ISNUMBER('Inputs'!E108),IF('Inputs'!E108&gt;=0,'Inputs'!E108,"n.a."),IF('Inputs'!E108="",'Inputs'!$D$6,"n.a.")))</x:f>
        <x:v>500</x:v>
      </x:c>
      <x:c r="F453" s="22" t="n">
        <x:f>IF(COUNT($N$452:$N$456)=5,SUM($N$452:$N$456),"n.a.")</x:f>
        <x:v>0</x:v>
      </x:c>
      <x:c r="G453" s="22" t="n">
        <x:f>IF(COUNT(E453:F453)=2,MAX(0,E453-F453),"n.a.")</x:f>
        <x:v>500</x:v>
      </x:c>
      <x:c r="H453" s="26" t="str">
        <x:f>'Inputs'!C12</x:f>
        <x:v>Card B</x:v>
      </x:c>
      <x:c r="I453" s="26" t="n">
        <x:f>S448</x:f>
        <x:v>0</x:v>
      </x:c>
      <x:c r="J453" s="29" t="n">
        <x:f>IF('Inputs'!$D$9="Ready",'Inputs'!E12,"n.a.")</x:f>
        <x:v>0.18</x:v>
      </x:c>
      <x:c r="K453" s="26" t="n">
        <x:f>IF('Inputs'!$D$9="Ready",'Inputs'!F12,"n.a.")</x:f>
        <x:v>60</x:v>
      </x:c>
      <x:c r="L453" s="29" t="n">
        <x:f>IF('Inputs'!$D$9="Ready",'Inputs'!G12,"n.a.")</x:f>
        <x:v>0.02</x:v>
      </x:c>
      <x:c r="M453" s="22" t="n">
        <x:f>IF(COUNT(I453:L453)=4,ROUND(I453*J453/12,2),"n.a.")</x:f>
        <x:v>0</x:v>
      </x:c>
      <x:c r="N453" s="22" t="n">
        <x:f>IF(COUNT(I453:M453)=5,MIN(I453+M453,ROUND(MAX(K453,I453*L453+M453),2)),"n.a.")</x:f>
        <x:v>0</x:v>
      </x:c>
      <x:c r="O453" s="30" t="n">
        <x:f>IF(COUNT($I$452:$I$456)&lt;&gt;5,"n.a.",IF(I453=0,6,IF('Inputs'!$D$5=1,COUNTIFS($I$452:$I$456,"&gt;0",$I$452:$I$456,"&lt;"&amp;I453)+COUNTIFS($I$452:I453,I453),COUNTIFS($I$452:$I$456,"&gt;0",$J$452:$J$456,"&gt;"&amp;J453)+COUNTIFS($I$452:I453,"&gt;0",$J$452:J453,J453))))</x:f>
        <x:v>6</x:v>
      </x:c>
      <x:c r="P453" s="22" t="n">
        <x:f>IF(T453="Ready",MIN(U453,MAX(0,G453-SUMIFS($U$452:$U$456,$O$452:$O$456,"&lt;"&amp;O453))),"n.a.")</x:f>
        <x:v>0</x:v>
      </x:c>
      <x:c r="Q453" s="22" t="n">
        <x:f>IF(T453="Ready",ROUND(N453+P453,2),"n.a.")</x:f>
        <x:v>0</x:v>
      </x:c>
      <x:c r="R453" s="22" t="n">
        <x:f>IF(T453="Ready",ROUND(Q453-M453,2),"n.a.")</x:f>
        <x:v>0</x:v>
      </x:c>
      <x:c r="S453" s="22" t="n">
        <x:f>IF(T453="Ready",MAX(0,ROUND(I453+M453-Q453,2)),"n.a.")</x:f>
        <x:v>0</x:v>
      </x:c>
      <x:c r="T453" s="22" t="str">
        <x:f>IF(AND(COUNT($I$452:$I$456)=5,COUNT(E453:F453)=2),IF(E453&gt;=F453,"Ready","Budget below minima"),"Check inputs")</x:f>
        <x:v>Ready</x:v>
      </x:c>
      <x:c r="U453" s="22" t="n">
        <x:f>IF(COUNT(I453,M453,N453)=3,MAX(0,ROUND(I453+M453-N453,2)),"n.a.")</x:f>
        <x:v>0</x:v>
      </x:c>
    </x:row>
    <x:row r="454" ht="22" customHeight="1">
      <x:c r="A454" s="2"/>
      <x:c r="B454" s="2"/>
      <x:c r="C454" s="27" t="n">
        <x:f>90</x:f>
        <x:v>90</x:v>
      </x:c>
      <x:c r="D454" s="28" t="n">
        <x:f>IF(ISNUMBER('Inputs'!$D$7),EDATE('Inputs'!$D$7,89),"n.a.")</x:f>
        <x:v>49035</x:v>
      </x:c>
      <x:c r="E454" s="26" t="n">
        <x:f>IF('Inputs'!$D$9&lt;&gt;"Ready","n.a.",IF(ISNUMBER('Inputs'!E108),IF('Inputs'!E108&gt;=0,'Inputs'!E108,"n.a."),IF('Inputs'!E108="",'Inputs'!$D$6,"n.a.")))</x:f>
        <x:v>500</x:v>
      </x:c>
      <x:c r="F454" s="22" t="n">
        <x:f>IF(COUNT($N$452:$N$456)=5,SUM($N$452:$N$456),"n.a.")</x:f>
        <x:v>0</x:v>
      </x:c>
      <x:c r="G454" s="22" t="n">
        <x:f>IF(COUNT(E454:F454)=2,MAX(0,E454-F454),"n.a.")</x:f>
        <x:v>500</x:v>
      </x:c>
      <x:c r="H454" s="26" t="str">
        <x:f>'Inputs'!C13</x:f>
        <x:v>Loan C</x:v>
      </x:c>
      <x:c r="I454" s="26" t="n">
        <x:f>S449</x:f>
        <x:v>0</x:v>
      </x:c>
      <x:c r="J454" s="29" t="n">
        <x:f>IF('Inputs'!$D$9="Ready",'Inputs'!E13,"n.a.")</x:f>
        <x:v>0.08</x:v>
      </x:c>
      <x:c r="K454" s="26" t="n">
        <x:f>IF('Inputs'!$D$9="Ready",'Inputs'!F13,"n.a.")</x:f>
        <x:v>150</x:v>
      </x:c>
      <x:c r="L454" s="29" t="n">
        <x:f>IF('Inputs'!$D$9="Ready",'Inputs'!G13,"n.a.")</x:f>
        <x:v>0</x:v>
      </x:c>
      <x:c r="M454" s="22" t="n">
        <x:f>IF(COUNT(I454:L454)=4,ROUND(I454*J454/12,2),"n.a.")</x:f>
        <x:v>0</x:v>
      </x:c>
      <x:c r="N454" s="22" t="n">
        <x:f>IF(COUNT(I454:M454)=5,MIN(I454+M454,ROUND(MAX(K454,I454*L454+M454),2)),"n.a.")</x:f>
        <x:v>0</x:v>
      </x:c>
      <x:c r="O454" s="30" t="n">
        <x:f>IF(COUNT($I$452:$I$456)&lt;&gt;5,"n.a.",IF(I454=0,6,IF('Inputs'!$D$5=1,COUNTIFS($I$452:$I$456,"&gt;0",$I$452:$I$456,"&lt;"&amp;I454)+COUNTIFS($I$452:I454,I454),COUNTIFS($I$452:$I$456,"&gt;0",$J$452:$J$456,"&gt;"&amp;J454)+COUNTIFS($I$452:I454,"&gt;0",$J$452:J454,J454))))</x:f>
        <x:v>6</x:v>
      </x:c>
      <x:c r="P454" s="22" t="n">
        <x:f>IF(T454="Ready",MIN(U454,MAX(0,G454-SUMIFS($U$452:$U$456,$O$452:$O$456,"&lt;"&amp;O454))),"n.a.")</x:f>
        <x:v>0</x:v>
      </x:c>
      <x:c r="Q454" s="22" t="n">
        <x:f>IF(T454="Ready",ROUND(N454+P454,2),"n.a.")</x:f>
        <x:v>0</x:v>
      </x:c>
      <x:c r="R454" s="22" t="n">
        <x:f>IF(T454="Ready",ROUND(Q454-M454,2),"n.a.")</x:f>
        <x:v>0</x:v>
      </x:c>
      <x:c r="S454" s="22" t="n">
        <x:f>IF(T454="Ready",MAX(0,ROUND(I454+M454-Q454,2)),"n.a.")</x:f>
        <x:v>0</x:v>
      </x:c>
      <x:c r="T454" s="22" t="str">
        <x:f>IF(AND(COUNT($I$452:$I$456)=5,COUNT(E454:F454)=2),IF(E454&gt;=F454,"Ready","Budget below minima"),"Check inputs")</x:f>
        <x:v>Ready</x:v>
      </x:c>
      <x:c r="U454" s="22" t="n">
        <x:f>IF(COUNT(I454,M454,N454)=3,MAX(0,ROUND(I454+M454-N454,2)),"n.a.")</x:f>
        <x:v>0</x:v>
      </x:c>
    </x:row>
    <x:row r="455" ht="22" customHeight="1">
      <x:c r="A455" s="2"/>
      <x:c r="B455" s="2"/>
      <x:c r="C455" s="27" t="n">
        <x:f>90</x:f>
        <x:v>90</x:v>
      </x:c>
      <x:c r="D455" s="28" t="n">
        <x:f>IF(ISNUMBER('Inputs'!$D$7),EDATE('Inputs'!$D$7,89),"n.a.")</x:f>
        <x:v>49035</x:v>
      </x:c>
      <x:c r="E455" s="26" t="n">
        <x:f>IF('Inputs'!$D$9&lt;&gt;"Ready","n.a.",IF(ISNUMBER('Inputs'!E108),IF('Inputs'!E108&gt;=0,'Inputs'!E108,"n.a."),IF('Inputs'!E108="",'Inputs'!$D$6,"n.a.")))</x:f>
        <x:v>500</x:v>
      </x:c>
      <x:c r="F455" s="22" t="n">
        <x:f>IF(COUNT($N$452:$N$456)=5,SUM($N$452:$N$456),"n.a.")</x:f>
        <x:v>0</x:v>
      </x:c>
      <x:c r="G455" s="22" t="n">
        <x:f>IF(COUNT(E455:F455)=2,MAX(0,E455-F455),"n.a.")</x:f>
        <x:v>500</x:v>
      </x:c>
      <x:c r="H455" s="26" t="str">
        <x:f>'Inputs'!C14</x:f>
        <x:v>Unused 4</x:v>
      </x:c>
      <x:c r="I455" s="26" t="n">
        <x:f>S450</x:f>
        <x:v>0</x:v>
      </x:c>
      <x:c r="J455" s="29" t="n">
        <x:f>IF('Inputs'!$D$9="Ready",'Inputs'!E14,"n.a.")</x:f>
        <x:v>0</x:v>
      </x:c>
      <x:c r="K455" s="26" t="n">
        <x:f>IF('Inputs'!$D$9="Ready",'Inputs'!F14,"n.a.")</x:f>
        <x:v>0</x:v>
      </x:c>
      <x:c r="L455" s="29" t="n">
        <x:f>IF('Inputs'!$D$9="Ready",'Inputs'!G14,"n.a.")</x:f>
        <x:v>0</x:v>
      </x:c>
      <x:c r="M455" s="22" t="n">
        <x:f>IF(COUNT(I455:L455)=4,ROUND(I455*J455/12,2),"n.a.")</x:f>
        <x:v>0</x:v>
      </x:c>
      <x:c r="N455" s="22" t="n">
        <x:f>IF(COUNT(I455:M455)=5,MIN(I455+M455,ROUND(MAX(K455,I455*L455+M455),2)),"n.a.")</x:f>
        <x:v>0</x:v>
      </x:c>
      <x:c r="O455" s="30" t="n">
        <x:f>IF(COUNT($I$452:$I$456)&lt;&gt;5,"n.a.",IF(I455=0,6,IF('Inputs'!$D$5=1,COUNTIFS($I$452:$I$456,"&gt;0",$I$452:$I$456,"&lt;"&amp;I455)+COUNTIFS($I$452:I455,I455),COUNTIFS($I$452:$I$456,"&gt;0",$J$452:$J$456,"&gt;"&amp;J455)+COUNTIFS($I$452:I455,"&gt;0",$J$452:J455,J455))))</x:f>
        <x:v>6</x:v>
      </x:c>
      <x:c r="P455" s="22" t="n">
        <x:f>IF(T455="Ready",MIN(U455,MAX(0,G455-SUMIFS($U$452:$U$456,$O$452:$O$456,"&lt;"&amp;O455))),"n.a.")</x:f>
        <x:v>0</x:v>
      </x:c>
      <x:c r="Q455" s="22" t="n">
        <x:f>IF(T455="Ready",ROUND(N455+P455,2),"n.a.")</x:f>
        <x:v>0</x:v>
      </x:c>
      <x:c r="R455" s="22" t="n">
        <x:f>IF(T455="Ready",ROUND(Q455-M455,2),"n.a.")</x:f>
        <x:v>0</x:v>
      </x:c>
      <x:c r="S455" s="22" t="n">
        <x:f>IF(T455="Ready",MAX(0,ROUND(I455+M455-Q455,2)),"n.a.")</x:f>
        <x:v>0</x:v>
      </x:c>
      <x:c r="T455" s="22" t="str">
        <x:f>IF(AND(COUNT($I$452:$I$456)=5,COUNT(E455:F455)=2),IF(E455&gt;=F455,"Ready","Budget below minima"),"Check inputs")</x:f>
        <x:v>Ready</x:v>
      </x:c>
      <x:c r="U455" s="22" t="n">
        <x:f>IF(COUNT(I455,M455,N455)=3,MAX(0,ROUND(I455+M455-N455,2)),"n.a.")</x:f>
        <x:v>0</x:v>
      </x:c>
    </x:row>
    <x:row r="456" ht="22" customHeight="1">
      <x:c r="A456" s="2"/>
      <x:c r="B456" s="2"/>
      <x:c r="C456" s="27" t="n">
        <x:f>90</x:f>
        <x:v>90</x:v>
      </x:c>
      <x:c r="D456" s="28" t="n">
        <x:f>IF(ISNUMBER('Inputs'!$D$7),EDATE('Inputs'!$D$7,89),"n.a.")</x:f>
        <x:v>49035</x:v>
      </x:c>
      <x:c r="E456" s="26" t="n">
        <x:f>IF('Inputs'!$D$9&lt;&gt;"Ready","n.a.",IF(ISNUMBER('Inputs'!E108),IF('Inputs'!E108&gt;=0,'Inputs'!E108,"n.a."),IF('Inputs'!E108="",'Inputs'!$D$6,"n.a.")))</x:f>
        <x:v>500</x:v>
      </x:c>
      <x:c r="F456" s="22" t="n">
        <x:f>IF(COUNT($N$452:$N$456)=5,SUM($N$452:$N$456),"n.a.")</x:f>
        <x:v>0</x:v>
      </x:c>
      <x:c r="G456" s="22" t="n">
        <x:f>IF(COUNT(E456:F456)=2,MAX(0,E456-F456),"n.a.")</x:f>
        <x:v>500</x:v>
      </x:c>
      <x:c r="H456" s="26" t="str">
        <x:f>'Inputs'!C15</x:f>
        <x:v>Unused 5</x:v>
      </x:c>
      <x:c r="I456" s="26" t="n">
        <x:f>S451</x:f>
        <x:v>0</x:v>
      </x:c>
      <x:c r="J456" s="29" t="n">
        <x:f>IF('Inputs'!$D$9="Ready",'Inputs'!E15,"n.a.")</x:f>
        <x:v>0</x:v>
      </x:c>
      <x:c r="K456" s="26" t="n">
        <x:f>IF('Inputs'!$D$9="Ready",'Inputs'!F15,"n.a.")</x:f>
        <x:v>0</x:v>
      </x:c>
      <x:c r="L456" s="29" t="n">
        <x:f>IF('Inputs'!$D$9="Ready",'Inputs'!G15,"n.a.")</x:f>
        <x:v>0</x:v>
      </x:c>
      <x:c r="M456" s="22" t="n">
        <x:f>IF(COUNT(I456:L456)=4,ROUND(I456*J456/12,2),"n.a.")</x:f>
        <x:v>0</x:v>
      </x:c>
      <x:c r="N456" s="22" t="n">
        <x:f>IF(COUNT(I456:M456)=5,MIN(I456+M456,ROUND(MAX(K456,I456*L456+M456),2)),"n.a.")</x:f>
        <x:v>0</x:v>
      </x:c>
      <x:c r="O456" s="30" t="n">
        <x:f>IF(COUNT($I$452:$I$456)&lt;&gt;5,"n.a.",IF(I456=0,6,IF('Inputs'!$D$5=1,COUNTIFS($I$452:$I$456,"&gt;0",$I$452:$I$456,"&lt;"&amp;I456)+COUNTIFS($I$452:I456,I456),COUNTIFS($I$452:$I$456,"&gt;0",$J$452:$J$456,"&gt;"&amp;J456)+COUNTIFS($I$452:I456,"&gt;0",$J$452:J456,J456))))</x:f>
        <x:v>6</x:v>
      </x:c>
      <x:c r="P456" s="22" t="n">
        <x:f>IF(T456="Ready",MIN(U456,MAX(0,G456-SUMIFS($U$452:$U$456,$O$452:$O$456,"&lt;"&amp;O456))),"n.a.")</x:f>
        <x:v>0</x:v>
      </x:c>
      <x:c r="Q456" s="22" t="n">
        <x:f>IF(T456="Ready",ROUND(N456+P456,2),"n.a.")</x:f>
        <x:v>0</x:v>
      </x:c>
      <x:c r="R456" s="22" t="n">
        <x:f>IF(T456="Ready",ROUND(Q456-M456,2),"n.a.")</x:f>
        <x:v>0</x:v>
      </x:c>
      <x:c r="S456" s="22" t="n">
        <x:f>IF(T456="Ready",MAX(0,ROUND(I456+M456-Q456,2)),"n.a.")</x:f>
        <x:v>0</x:v>
      </x:c>
      <x:c r="T456" s="22" t="str">
        <x:f>IF(AND(COUNT($I$452:$I$456)=5,COUNT(E456:F456)=2),IF(E456&gt;=F456,"Ready","Budget below minima"),"Check inputs")</x:f>
        <x:v>Ready</x:v>
      </x:c>
      <x:c r="U456" s="22" t="n">
        <x:f>IF(COUNT(I456,M456,N456)=3,MAX(0,ROUND(I456+M456-N456,2)),"n.a.")</x:f>
        <x:v>0</x:v>
      </x:c>
    </x:row>
    <x:row r="457" ht="22" customHeight="1">
      <x:c r="A457" s="2"/>
      <x:c r="B457" s="2"/>
      <x:c r="C457" s="27" t="n">
        <x:f>91</x:f>
        <x:v>91</x:v>
      </x:c>
      <x:c r="D457" s="28" t="n">
        <x:f>IF(ISNUMBER('Inputs'!$D$7),EDATE('Inputs'!$D$7,90),"n.a.")</x:f>
        <x:v>49065</x:v>
      </x:c>
      <x:c r="E457" s="26" t="n">
        <x:f>IF('Inputs'!$D$9&lt;&gt;"Ready","n.a.",IF(ISNUMBER('Inputs'!E109),IF('Inputs'!E109&gt;=0,'Inputs'!E109,"n.a."),IF('Inputs'!E109="",'Inputs'!$D$6,"n.a.")))</x:f>
        <x:v>500</x:v>
      </x:c>
      <x:c r="F457" s="22" t="n">
        <x:f>IF(COUNT($N$457:$N$461)=5,SUM($N$457:$N$461),"n.a.")</x:f>
        <x:v>0</x:v>
      </x:c>
      <x:c r="G457" s="22" t="n">
        <x:f>IF(COUNT(E457:F457)=2,MAX(0,E457-F457),"n.a.")</x:f>
        <x:v>500</x:v>
      </x:c>
      <x:c r="H457" s="26" t="str">
        <x:f>'Inputs'!C11</x:f>
        <x:v>Card A</x:v>
      </x:c>
      <x:c r="I457" s="26" t="n">
        <x:f>S452</x:f>
        <x:v>0</x:v>
      </x:c>
      <x:c r="J457" s="29" t="n">
        <x:f>IF('Inputs'!$D$9="Ready",'Inputs'!E11,"n.a.")</x:f>
        <x:v>0.24</x:v>
      </x:c>
      <x:c r="K457" s="26" t="n">
        <x:f>IF('Inputs'!$D$9="Ready",'Inputs'!F11,"n.a.")</x:f>
        <x:v>35</x:v>
      </x:c>
      <x:c r="L457" s="29" t="n">
        <x:f>IF('Inputs'!$D$9="Ready",'Inputs'!G11,"n.a.")</x:f>
        <x:v>0.02</x:v>
      </x:c>
      <x:c r="M457" s="22" t="n">
        <x:f>IF(COUNT(I457:L457)=4,ROUND(I457*J457/12,2),"n.a.")</x:f>
        <x:v>0</x:v>
      </x:c>
      <x:c r="N457" s="22" t="n">
        <x:f>IF(COUNT(I457:M457)=5,MIN(I457+M457,ROUND(MAX(K457,I457*L457+M457),2)),"n.a.")</x:f>
        <x:v>0</x:v>
      </x:c>
      <x:c r="O457" s="30" t="n">
        <x:f>IF(COUNT($I$457:$I$461)&lt;&gt;5,"n.a.",IF(I457=0,6,IF('Inputs'!$D$5=1,COUNTIFS($I$457:$I$461,"&gt;0",$I$457:$I$461,"&lt;"&amp;I457)+COUNTIFS($I$457:I457,I457),COUNTIFS($I$457:$I$461,"&gt;0",$J$457:$J$461,"&gt;"&amp;J457)+COUNTIFS($I$457:I457,"&gt;0",$J$457:J457,J457))))</x:f>
        <x:v>6</x:v>
      </x:c>
      <x:c r="P457" s="22" t="n">
        <x:f>IF(T457="Ready",MIN(U457,MAX(0,G457-SUMIFS($U$457:$U$461,$O$457:$O$461,"&lt;"&amp;O457))),"n.a.")</x:f>
        <x:v>0</x:v>
      </x:c>
      <x:c r="Q457" s="22" t="n">
        <x:f>IF(T457="Ready",ROUND(N457+P457,2),"n.a.")</x:f>
        <x:v>0</x:v>
      </x:c>
      <x:c r="R457" s="22" t="n">
        <x:f>IF(T457="Ready",ROUND(Q457-M457,2),"n.a.")</x:f>
        <x:v>0</x:v>
      </x:c>
      <x:c r="S457" s="22" t="n">
        <x:f>IF(T457="Ready",MAX(0,ROUND(I457+M457-Q457,2)),"n.a.")</x:f>
        <x:v>0</x:v>
      </x:c>
      <x:c r="T457" s="22" t="str">
        <x:f>IF(AND(COUNT($I$457:$I$461)=5,COUNT(E457:F457)=2),IF(E457&gt;=F457,"Ready","Budget below minima"),"Check inputs")</x:f>
        <x:v>Ready</x:v>
      </x:c>
      <x:c r="U457" s="22" t="n">
        <x:f>IF(COUNT(I457,M457,N457)=3,MAX(0,ROUND(I457+M457-N457,2)),"n.a.")</x:f>
        <x:v>0</x:v>
      </x:c>
    </x:row>
    <x:row r="458" ht="22" customHeight="1">
      <x:c r="A458" s="2"/>
      <x:c r="B458" s="2"/>
      <x:c r="C458" s="27" t="n">
        <x:f>91</x:f>
        <x:v>91</x:v>
      </x:c>
      <x:c r="D458" s="28" t="n">
        <x:f>IF(ISNUMBER('Inputs'!$D$7),EDATE('Inputs'!$D$7,90),"n.a.")</x:f>
        <x:v>49065</x:v>
      </x:c>
      <x:c r="E458" s="26" t="n">
        <x:f>IF('Inputs'!$D$9&lt;&gt;"Ready","n.a.",IF(ISNUMBER('Inputs'!E109),IF('Inputs'!E109&gt;=0,'Inputs'!E109,"n.a."),IF('Inputs'!E109="",'Inputs'!$D$6,"n.a.")))</x:f>
        <x:v>500</x:v>
      </x:c>
      <x:c r="F458" s="22" t="n">
        <x:f>IF(COUNT($N$457:$N$461)=5,SUM($N$457:$N$461),"n.a.")</x:f>
        <x:v>0</x:v>
      </x:c>
      <x:c r="G458" s="22" t="n">
        <x:f>IF(COUNT(E458:F458)=2,MAX(0,E458-F458),"n.a.")</x:f>
        <x:v>500</x:v>
      </x:c>
      <x:c r="H458" s="26" t="str">
        <x:f>'Inputs'!C12</x:f>
        <x:v>Card B</x:v>
      </x:c>
      <x:c r="I458" s="26" t="n">
        <x:f>S453</x:f>
        <x:v>0</x:v>
      </x:c>
      <x:c r="J458" s="29" t="n">
        <x:f>IF('Inputs'!$D$9="Ready",'Inputs'!E12,"n.a.")</x:f>
        <x:v>0.18</x:v>
      </x:c>
      <x:c r="K458" s="26" t="n">
        <x:f>IF('Inputs'!$D$9="Ready",'Inputs'!F12,"n.a.")</x:f>
        <x:v>60</x:v>
      </x:c>
      <x:c r="L458" s="29" t="n">
        <x:f>IF('Inputs'!$D$9="Ready",'Inputs'!G12,"n.a.")</x:f>
        <x:v>0.02</x:v>
      </x:c>
      <x:c r="M458" s="22" t="n">
        <x:f>IF(COUNT(I458:L458)=4,ROUND(I458*J458/12,2),"n.a.")</x:f>
        <x:v>0</x:v>
      </x:c>
      <x:c r="N458" s="22" t="n">
        <x:f>IF(COUNT(I458:M458)=5,MIN(I458+M458,ROUND(MAX(K458,I458*L458+M458),2)),"n.a.")</x:f>
        <x:v>0</x:v>
      </x:c>
      <x:c r="O458" s="30" t="n">
        <x:f>IF(COUNT($I$457:$I$461)&lt;&gt;5,"n.a.",IF(I458=0,6,IF('Inputs'!$D$5=1,COUNTIFS($I$457:$I$461,"&gt;0",$I$457:$I$461,"&lt;"&amp;I458)+COUNTIFS($I$457:I458,I458),COUNTIFS($I$457:$I$461,"&gt;0",$J$457:$J$461,"&gt;"&amp;J458)+COUNTIFS($I$457:I458,"&gt;0",$J$457:J458,J458))))</x:f>
        <x:v>6</x:v>
      </x:c>
      <x:c r="P458" s="22" t="n">
        <x:f>IF(T458="Ready",MIN(U458,MAX(0,G458-SUMIFS($U$457:$U$461,$O$457:$O$461,"&lt;"&amp;O458))),"n.a.")</x:f>
        <x:v>0</x:v>
      </x:c>
      <x:c r="Q458" s="22" t="n">
        <x:f>IF(T458="Ready",ROUND(N458+P458,2),"n.a.")</x:f>
        <x:v>0</x:v>
      </x:c>
      <x:c r="R458" s="22" t="n">
        <x:f>IF(T458="Ready",ROUND(Q458-M458,2),"n.a.")</x:f>
        <x:v>0</x:v>
      </x:c>
      <x:c r="S458" s="22" t="n">
        <x:f>IF(T458="Ready",MAX(0,ROUND(I458+M458-Q458,2)),"n.a.")</x:f>
        <x:v>0</x:v>
      </x:c>
      <x:c r="T458" s="22" t="str">
        <x:f>IF(AND(COUNT($I$457:$I$461)=5,COUNT(E458:F458)=2),IF(E458&gt;=F458,"Ready","Budget below minima"),"Check inputs")</x:f>
        <x:v>Ready</x:v>
      </x:c>
      <x:c r="U458" s="22" t="n">
        <x:f>IF(COUNT(I458,M458,N458)=3,MAX(0,ROUND(I458+M458-N458,2)),"n.a.")</x:f>
        <x:v>0</x:v>
      </x:c>
    </x:row>
    <x:row r="459" ht="22" customHeight="1">
      <x:c r="A459" s="2"/>
      <x:c r="B459" s="2"/>
      <x:c r="C459" s="27" t="n">
        <x:f>91</x:f>
        <x:v>91</x:v>
      </x:c>
      <x:c r="D459" s="28" t="n">
        <x:f>IF(ISNUMBER('Inputs'!$D$7),EDATE('Inputs'!$D$7,90),"n.a.")</x:f>
        <x:v>49065</x:v>
      </x:c>
      <x:c r="E459" s="26" t="n">
        <x:f>IF('Inputs'!$D$9&lt;&gt;"Ready","n.a.",IF(ISNUMBER('Inputs'!E109),IF('Inputs'!E109&gt;=0,'Inputs'!E109,"n.a."),IF('Inputs'!E109="",'Inputs'!$D$6,"n.a.")))</x:f>
        <x:v>500</x:v>
      </x:c>
      <x:c r="F459" s="22" t="n">
        <x:f>IF(COUNT($N$457:$N$461)=5,SUM($N$457:$N$461),"n.a.")</x:f>
        <x:v>0</x:v>
      </x:c>
      <x:c r="G459" s="22" t="n">
        <x:f>IF(COUNT(E459:F459)=2,MAX(0,E459-F459),"n.a.")</x:f>
        <x:v>500</x:v>
      </x:c>
      <x:c r="H459" s="26" t="str">
        <x:f>'Inputs'!C13</x:f>
        <x:v>Loan C</x:v>
      </x:c>
      <x:c r="I459" s="26" t="n">
        <x:f>S454</x:f>
        <x:v>0</x:v>
      </x:c>
      <x:c r="J459" s="29" t="n">
        <x:f>IF('Inputs'!$D$9="Ready",'Inputs'!E13,"n.a.")</x:f>
        <x:v>0.08</x:v>
      </x:c>
      <x:c r="K459" s="26" t="n">
        <x:f>IF('Inputs'!$D$9="Ready",'Inputs'!F13,"n.a.")</x:f>
        <x:v>150</x:v>
      </x:c>
      <x:c r="L459" s="29" t="n">
        <x:f>IF('Inputs'!$D$9="Ready",'Inputs'!G13,"n.a.")</x:f>
        <x:v>0</x:v>
      </x:c>
      <x:c r="M459" s="22" t="n">
        <x:f>IF(COUNT(I459:L459)=4,ROUND(I459*J459/12,2),"n.a.")</x:f>
        <x:v>0</x:v>
      </x:c>
      <x:c r="N459" s="22" t="n">
        <x:f>IF(COUNT(I459:M459)=5,MIN(I459+M459,ROUND(MAX(K459,I459*L459+M459),2)),"n.a.")</x:f>
        <x:v>0</x:v>
      </x:c>
      <x:c r="O459" s="30" t="n">
        <x:f>IF(COUNT($I$457:$I$461)&lt;&gt;5,"n.a.",IF(I459=0,6,IF('Inputs'!$D$5=1,COUNTIFS($I$457:$I$461,"&gt;0",$I$457:$I$461,"&lt;"&amp;I459)+COUNTIFS($I$457:I459,I459),COUNTIFS($I$457:$I$461,"&gt;0",$J$457:$J$461,"&gt;"&amp;J459)+COUNTIFS($I$457:I459,"&gt;0",$J$457:J459,J459))))</x:f>
        <x:v>6</x:v>
      </x:c>
      <x:c r="P459" s="22" t="n">
        <x:f>IF(T459="Ready",MIN(U459,MAX(0,G459-SUMIFS($U$457:$U$461,$O$457:$O$461,"&lt;"&amp;O459))),"n.a.")</x:f>
        <x:v>0</x:v>
      </x:c>
      <x:c r="Q459" s="22" t="n">
        <x:f>IF(T459="Ready",ROUND(N459+P459,2),"n.a.")</x:f>
        <x:v>0</x:v>
      </x:c>
      <x:c r="R459" s="22" t="n">
        <x:f>IF(T459="Ready",ROUND(Q459-M459,2),"n.a.")</x:f>
        <x:v>0</x:v>
      </x:c>
      <x:c r="S459" s="22" t="n">
        <x:f>IF(T459="Ready",MAX(0,ROUND(I459+M459-Q459,2)),"n.a.")</x:f>
        <x:v>0</x:v>
      </x:c>
      <x:c r="T459" s="22" t="str">
        <x:f>IF(AND(COUNT($I$457:$I$461)=5,COUNT(E459:F459)=2),IF(E459&gt;=F459,"Ready","Budget below minima"),"Check inputs")</x:f>
        <x:v>Ready</x:v>
      </x:c>
      <x:c r="U459" s="22" t="n">
        <x:f>IF(COUNT(I459,M459,N459)=3,MAX(0,ROUND(I459+M459-N459,2)),"n.a.")</x:f>
        <x:v>0</x:v>
      </x:c>
    </x:row>
    <x:row r="460" ht="22" customHeight="1">
      <x:c r="A460" s="2"/>
      <x:c r="B460" s="2"/>
      <x:c r="C460" s="27" t="n">
        <x:f>91</x:f>
        <x:v>91</x:v>
      </x:c>
      <x:c r="D460" s="28" t="n">
        <x:f>IF(ISNUMBER('Inputs'!$D$7),EDATE('Inputs'!$D$7,90),"n.a.")</x:f>
        <x:v>49065</x:v>
      </x:c>
      <x:c r="E460" s="26" t="n">
        <x:f>IF('Inputs'!$D$9&lt;&gt;"Ready","n.a.",IF(ISNUMBER('Inputs'!E109),IF('Inputs'!E109&gt;=0,'Inputs'!E109,"n.a."),IF('Inputs'!E109="",'Inputs'!$D$6,"n.a.")))</x:f>
        <x:v>500</x:v>
      </x:c>
      <x:c r="F460" s="22" t="n">
        <x:f>IF(COUNT($N$457:$N$461)=5,SUM($N$457:$N$461),"n.a.")</x:f>
        <x:v>0</x:v>
      </x:c>
      <x:c r="G460" s="22" t="n">
        <x:f>IF(COUNT(E460:F460)=2,MAX(0,E460-F460),"n.a.")</x:f>
        <x:v>500</x:v>
      </x:c>
      <x:c r="H460" s="26" t="str">
        <x:f>'Inputs'!C14</x:f>
        <x:v>Unused 4</x:v>
      </x:c>
      <x:c r="I460" s="26" t="n">
        <x:f>S455</x:f>
        <x:v>0</x:v>
      </x:c>
      <x:c r="J460" s="29" t="n">
        <x:f>IF('Inputs'!$D$9="Ready",'Inputs'!E14,"n.a.")</x:f>
        <x:v>0</x:v>
      </x:c>
      <x:c r="K460" s="26" t="n">
        <x:f>IF('Inputs'!$D$9="Ready",'Inputs'!F14,"n.a.")</x:f>
        <x:v>0</x:v>
      </x:c>
      <x:c r="L460" s="29" t="n">
        <x:f>IF('Inputs'!$D$9="Ready",'Inputs'!G14,"n.a.")</x:f>
        <x:v>0</x:v>
      </x:c>
      <x:c r="M460" s="22" t="n">
        <x:f>IF(COUNT(I460:L460)=4,ROUND(I460*J460/12,2),"n.a.")</x:f>
        <x:v>0</x:v>
      </x:c>
      <x:c r="N460" s="22" t="n">
        <x:f>IF(COUNT(I460:M460)=5,MIN(I460+M460,ROUND(MAX(K460,I460*L460+M460),2)),"n.a.")</x:f>
        <x:v>0</x:v>
      </x:c>
      <x:c r="O460" s="30" t="n">
        <x:f>IF(COUNT($I$457:$I$461)&lt;&gt;5,"n.a.",IF(I460=0,6,IF('Inputs'!$D$5=1,COUNTIFS($I$457:$I$461,"&gt;0",$I$457:$I$461,"&lt;"&amp;I460)+COUNTIFS($I$457:I460,I460),COUNTIFS($I$457:$I$461,"&gt;0",$J$457:$J$461,"&gt;"&amp;J460)+COUNTIFS($I$457:I460,"&gt;0",$J$457:J460,J460))))</x:f>
        <x:v>6</x:v>
      </x:c>
      <x:c r="P460" s="22" t="n">
        <x:f>IF(T460="Ready",MIN(U460,MAX(0,G460-SUMIFS($U$457:$U$461,$O$457:$O$461,"&lt;"&amp;O460))),"n.a.")</x:f>
        <x:v>0</x:v>
      </x:c>
      <x:c r="Q460" s="22" t="n">
        <x:f>IF(T460="Ready",ROUND(N460+P460,2),"n.a.")</x:f>
        <x:v>0</x:v>
      </x:c>
      <x:c r="R460" s="22" t="n">
        <x:f>IF(T460="Ready",ROUND(Q460-M460,2),"n.a.")</x:f>
        <x:v>0</x:v>
      </x:c>
      <x:c r="S460" s="22" t="n">
        <x:f>IF(T460="Ready",MAX(0,ROUND(I460+M460-Q460,2)),"n.a.")</x:f>
        <x:v>0</x:v>
      </x:c>
      <x:c r="T460" s="22" t="str">
        <x:f>IF(AND(COUNT($I$457:$I$461)=5,COUNT(E460:F460)=2),IF(E460&gt;=F460,"Ready","Budget below minima"),"Check inputs")</x:f>
        <x:v>Ready</x:v>
      </x:c>
      <x:c r="U460" s="22" t="n">
        <x:f>IF(COUNT(I460,M460,N460)=3,MAX(0,ROUND(I460+M460-N460,2)),"n.a.")</x:f>
        <x:v>0</x:v>
      </x:c>
    </x:row>
    <x:row r="461" ht="22" customHeight="1">
      <x:c r="A461" s="2"/>
      <x:c r="B461" s="2"/>
      <x:c r="C461" s="27" t="n">
        <x:f>91</x:f>
        <x:v>91</x:v>
      </x:c>
      <x:c r="D461" s="28" t="n">
        <x:f>IF(ISNUMBER('Inputs'!$D$7),EDATE('Inputs'!$D$7,90),"n.a.")</x:f>
        <x:v>49065</x:v>
      </x:c>
      <x:c r="E461" s="26" t="n">
        <x:f>IF('Inputs'!$D$9&lt;&gt;"Ready","n.a.",IF(ISNUMBER('Inputs'!E109),IF('Inputs'!E109&gt;=0,'Inputs'!E109,"n.a."),IF('Inputs'!E109="",'Inputs'!$D$6,"n.a.")))</x:f>
        <x:v>500</x:v>
      </x:c>
      <x:c r="F461" s="22" t="n">
        <x:f>IF(COUNT($N$457:$N$461)=5,SUM($N$457:$N$461),"n.a.")</x:f>
        <x:v>0</x:v>
      </x:c>
      <x:c r="G461" s="22" t="n">
        <x:f>IF(COUNT(E461:F461)=2,MAX(0,E461-F461),"n.a.")</x:f>
        <x:v>500</x:v>
      </x:c>
      <x:c r="H461" s="26" t="str">
        <x:f>'Inputs'!C15</x:f>
        <x:v>Unused 5</x:v>
      </x:c>
      <x:c r="I461" s="26" t="n">
        <x:f>S456</x:f>
        <x:v>0</x:v>
      </x:c>
      <x:c r="J461" s="29" t="n">
        <x:f>IF('Inputs'!$D$9="Ready",'Inputs'!E15,"n.a.")</x:f>
        <x:v>0</x:v>
      </x:c>
      <x:c r="K461" s="26" t="n">
        <x:f>IF('Inputs'!$D$9="Ready",'Inputs'!F15,"n.a.")</x:f>
        <x:v>0</x:v>
      </x:c>
      <x:c r="L461" s="29" t="n">
        <x:f>IF('Inputs'!$D$9="Ready",'Inputs'!G15,"n.a.")</x:f>
        <x:v>0</x:v>
      </x:c>
      <x:c r="M461" s="22" t="n">
        <x:f>IF(COUNT(I461:L461)=4,ROUND(I461*J461/12,2),"n.a.")</x:f>
        <x:v>0</x:v>
      </x:c>
      <x:c r="N461" s="22" t="n">
        <x:f>IF(COUNT(I461:M461)=5,MIN(I461+M461,ROUND(MAX(K461,I461*L461+M461),2)),"n.a.")</x:f>
        <x:v>0</x:v>
      </x:c>
      <x:c r="O461" s="30" t="n">
        <x:f>IF(COUNT($I$457:$I$461)&lt;&gt;5,"n.a.",IF(I461=0,6,IF('Inputs'!$D$5=1,COUNTIFS($I$457:$I$461,"&gt;0",$I$457:$I$461,"&lt;"&amp;I461)+COUNTIFS($I$457:I461,I461),COUNTIFS($I$457:$I$461,"&gt;0",$J$457:$J$461,"&gt;"&amp;J461)+COUNTIFS($I$457:I461,"&gt;0",$J$457:J461,J461))))</x:f>
        <x:v>6</x:v>
      </x:c>
      <x:c r="P461" s="22" t="n">
        <x:f>IF(T461="Ready",MIN(U461,MAX(0,G461-SUMIFS($U$457:$U$461,$O$457:$O$461,"&lt;"&amp;O461))),"n.a.")</x:f>
        <x:v>0</x:v>
      </x:c>
      <x:c r="Q461" s="22" t="n">
        <x:f>IF(T461="Ready",ROUND(N461+P461,2),"n.a.")</x:f>
        <x:v>0</x:v>
      </x:c>
      <x:c r="R461" s="22" t="n">
        <x:f>IF(T461="Ready",ROUND(Q461-M461,2),"n.a.")</x:f>
        <x:v>0</x:v>
      </x:c>
      <x:c r="S461" s="22" t="n">
        <x:f>IF(T461="Ready",MAX(0,ROUND(I461+M461-Q461,2)),"n.a.")</x:f>
        <x:v>0</x:v>
      </x:c>
      <x:c r="T461" s="22" t="str">
        <x:f>IF(AND(COUNT($I$457:$I$461)=5,COUNT(E461:F461)=2),IF(E461&gt;=F461,"Ready","Budget below minima"),"Check inputs")</x:f>
        <x:v>Ready</x:v>
      </x:c>
      <x:c r="U461" s="22" t="n">
        <x:f>IF(COUNT(I461,M461,N461)=3,MAX(0,ROUND(I461+M461-N461,2)),"n.a.")</x:f>
        <x:v>0</x:v>
      </x:c>
    </x:row>
    <x:row r="462" ht="22" customHeight="1">
      <x:c r="A462" s="2"/>
      <x:c r="B462" s="2"/>
      <x:c r="C462" s="27" t="n">
        <x:f>92</x:f>
        <x:v>92</x:v>
      </x:c>
      <x:c r="D462" s="28" t="n">
        <x:f>IF(ISNUMBER('Inputs'!$D$7),EDATE('Inputs'!$D$7,91),"n.a.")</x:f>
        <x:v>49096</x:v>
      </x:c>
      <x:c r="E462" s="26" t="n">
        <x:f>IF('Inputs'!$D$9&lt;&gt;"Ready","n.a.",IF(ISNUMBER('Inputs'!E110),IF('Inputs'!E110&gt;=0,'Inputs'!E110,"n.a."),IF('Inputs'!E110="",'Inputs'!$D$6,"n.a.")))</x:f>
        <x:v>500</x:v>
      </x:c>
      <x:c r="F462" s="22" t="n">
        <x:f>IF(COUNT($N$462:$N$466)=5,SUM($N$462:$N$466),"n.a.")</x:f>
        <x:v>0</x:v>
      </x:c>
      <x:c r="G462" s="22" t="n">
        <x:f>IF(COUNT(E462:F462)=2,MAX(0,E462-F462),"n.a.")</x:f>
        <x:v>500</x:v>
      </x:c>
      <x:c r="H462" s="26" t="str">
        <x:f>'Inputs'!C11</x:f>
        <x:v>Card A</x:v>
      </x:c>
      <x:c r="I462" s="26" t="n">
        <x:f>S457</x:f>
        <x:v>0</x:v>
      </x:c>
      <x:c r="J462" s="29" t="n">
        <x:f>IF('Inputs'!$D$9="Ready",'Inputs'!E11,"n.a.")</x:f>
        <x:v>0.24</x:v>
      </x:c>
      <x:c r="K462" s="26" t="n">
        <x:f>IF('Inputs'!$D$9="Ready",'Inputs'!F11,"n.a.")</x:f>
        <x:v>35</x:v>
      </x:c>
      <x:c r="L462" s="29" t="n">
        <x:f>IF('Inputs'!$D$9="Ready",'Inputs'!G11,"n.a.")</x:f>
        <x:v>0.02</x:v>
      </x:c>
      <x:c r="M462" s="22" t="n">
        <x:f>IF(COUNT(I462:L462)=4,ROUND(I462*J462/12,2),"n.a.")</x:f>
        <x:v>0</x:v>
      </x:c>
      <x:c r="N462" s="22" t="n">
        <x:f>IF(COUNT(I462:M462)=5,MIN(I462+M462,ROUND(MAX(K462,I462*L462+M462),2)),"n.a.")</x:f>
        <x:v>0</x:v>
      </x:c>
      <x:c r="O462" s="30" t="n">
        <x:f>IF(COUNT($I$462:$I$466)&lt;&gt;5,"n.a.",IF(I462=0,6,IF('Inputs'!$D$5=1,COUNTIFS($I$462:$I$466,"&gt;0",$I$462:$I$466,"&lt;"&amp;I462)+COUNTIFS($I$462:I462,I462),COUNTIFS($I$462:$I$466,"&gt;0",$J$462:$J$466,"&gt;"&amp;J462)+COUNTIFS($I$462:I462,"&gt;0",$J$462:J462,J462))))</x:f>
        <x:v>6</x:v>
      </x:c>
      <x:c r="P462" s="22" t="n">
        <x:f>IF(T462="Ready",MIN(U462,MAX(0,G462-SUMIFS($U$462:$U$466,$O$462:$O$466,"&lt;"&amp;O462))),"n.a.")</x:f>
        <x:v>0</x:v>
      </x:c>
      <x:c r="Q462" s="22" t="n">
        <x:f>IF(T462="Ready",ROUND(N462+P462,2),"n.a.")</x:f>
        <x:v>0</x:v>
      </x:c>
      <x:c r="R462" s="22" t="n">
        <x:f>IF(T462="Ready",ROUND(Q462-M462,2),"n.a.")</x:f>
        <x:v>0</x:v>
      </x:c>
      <x:c r="S462" s="22" t="n">
        <x:f>IF(T462="Ready",MAX(0,ROUND(I462+M462-Q462,2)),"n.a.")</x:f>
        <x:v>0</x:v>
      </x:c>
      <x:c r="T462" s="22" t="str">
        <x:f>IF(AND(COUNT($I$462:$I$466)=5,COUNT(E462:F462)=2),IF(E462&gt;=F462,"Ready","Budget below minima"),"Check inputs")</x:f>
        <x:v>Ready</x:v>
      </x:c>
      <x:c r="U462" s="22" t="n">
        <x:f>IF(COUNT(I462,M462,N462)=3,MAX(0,ROUND(I462+M462-N462,2)),"n.a.")</x:f>
        <x:v>0</x:v>
      </x:c>
    </x:row>
    <x:row r="463" ht="22" customHeight="1">
      <x:c r="A463" s="2"/>
      <x:c r="B463" s="2"/>
      <x:c r="C463" s="27" t="n">
        <x:f>92</x:f>
        <x:v>92</x:v>
      </x:c>
      <x:c r="D463" s="28" t="n">
        <x:f>IF(ISNUMBER('Inputs'!$D$7),EDATE('Inputs'!$D$7,91),"n.a.")</x:f>
        <x:v>49096</x:v>
      </x:c>
      <x:c r="E463" s="26" t="n">
        <x:f>IF('Inputs'!$D$9&lt;&gt;"Ready","n.a.",IF(ISNUMBER('Inputs'!E110),IF('Inputs'!E110&gt;=0,'Inputs'!E110,"n.a."),IF('Inputs'!E110="",'Inputs'!$D$6,"n.a.")))</x:f>
        <x:v>500</x:v>
      </x:c>
      <x:c r="F463" s="22" t="n">
        <x:f>IF(COUNT($N$462:$N$466)=5,SUM($N$462:$N$466),"n.a.")</x:f>
        <x:v>0</x:v>
      </x:c>
      <x:c r="G463" s="22" t="n">
        <x:f>IF(COUNT(E463:F463)=2,MAX(0,E463-F463),"n.a.")</x:f>
        <x:v>500</x:v>
      </x:c>
      <x:c r="H463" s="26" t="str">
        <x:f>'Inputs'!C12</x:f>
        <x:v>Card B</x:v>
      </x:c>
      <x:c r="I463" s="26" t="n">
        <x:f>S458</x:f>
        <x:v>0</x:v>
      </x:c>
      <x:c r="J463" s="29" t="n">
        <x:f>IF('Inputs'!$D$9="Ready",'Inputs'!E12,"n.a.")</x:f>
        <x:v>0.18</x:v>
      </x:c>
      <x:c r="K463" s="26" t="n">
        <x:f>IF('Inputs'!$D$9="Ready",'Inputs'!F12,"n.a.")</x:f>
        <x:v>60</x:v>
      </x:c>
      <x:c r="L463" s="29" t="n">
        <x:f>IF('Inputs'!$D$9="Ready",'Inputs'!G12,"n.a.")</x:f>
        <x:v>0.02</x:v>
      </x:c>
      <x:c r="M463" s="22" t="n">
        <x:f>IF(COUNT(I463:L463)=4,ROUND(I463*J463/12,2),"n.a.")</x:f>
        <x:v>0</x:v>
      </x:c>
      <x:c r="N463" s="22" t="n">
        <x:f>IF(COUNT(I463:M463)=5,MIN(I463+M463,ROUND(MAX(K463,I463*L463+M463),2)),"n.a.")</x:f>
        <x:v>0</x:v>
      </x:c>
      <x:c r="O463" s="30" t="n">
        <x:f>IF(COUNT($I$462:$I$466)&lt;&gt;5,"n.a.",IF(I463=0,6,IF('Inputs'!$D$5=1,COUNTIFS($I$462:$I$466,"&gt;0",$I$462:$I$466,"&lt;"&amp;I463)+COUNTIFS($I$462:I463,I463),COUNTIFS($I$462:$I$466,"&gt;0",$J$462:$J$466,"&gt;"&amp;J463)+COUNTIFS($I$462:I463,"&gt;0",$J$462:J463,J463))))</x:f>
        <x:v>6</x:v>
      </x:c>
      <x:c r="P463" s="22" t="n">
        <x:f>IF(T463="Ready",MIN(U463,MAX(0,G463-SUMIFS($U$462:$U$466,$O$462:$O$466,"&lt;"&amp;O463))),"n.a.")</x:f>
        <x:v>0</x:v>
      </x:c>
      <x:c r="Q463" s="22" t="n">
        <x:f>IF(T463="Ready",ROUND(N463+P463,2),"n.a.")</x:f>
        <x:v>0</x:v>
      </x:c>
      <x:c r="R463" s="22" t="n">
        <x:f>IF(T463="Ready",ROUND(Q463-M463,2),"n.a.")</x:f>
        <x:v>0</x:v>
      </x:c>
      <x:c r="S463" s="22" t="n">
        <x:f>IF(T463="Ready",MAX(0,ROUND(I463+M463-Q463,2)),"n.a.")</x:f>
        <x:v>0</x:v>
      </x:c>
      <x:c r="T463" s="22" t="str">
        <x:f>IF(AND(COUNT($I$462:$I$466)=5,COUNT(E463:F463)=2),IF(E463&gt;=F463,"Ready","Budget below minima"),"Check inputs")</x:f>
        <x:v>Ready</x:v>
      </x:c>
      <x:c r="U463" s="22" t="n">
        <x:f>IF(COUNT(I463,M463,N463)=3,MAX(0,ROUND(I463+M463-N463,2)),"n.a.")</x:f>
        <x:v>0</x:v>
      </x:c>
    </x:row>
    <x:row r="464" ht="22" customHeight="1">
      <x:c r="A464" s="2"/>
      <x:c r="B464" s="2"/>
      <x:c r="C464" s="27" t="n">
        <x:f>92</x:f>
        <x:v>92</x:v>
      </x:c>
      <x:c r="D464" s="28" t="n">
        <x:f>IF(ISNUMBER('Inputs'!$D$7),EDATE('Inputs'!$D$7,91),"n.a.")</x:f>
        <x:v>49096</x:v>
      </x:c>
      <x:c r="E464" s="26" t="n">
        <x:f>IF('Inputs'!$D$9&lt;&gt;"Ready","n.a.",IF(ISNUMBER('Inputs'!E110),IF('Inputs'!E110&gt;=0,'Inputs'!E110,"n.a."),IF('Inputs'!E110="",'Inputs'!$D$6,"n.a.")))</x:f>
        <x:v>500</x:v>
      </x:c>
      <x:c r="F464" s="22" t="n">
        <x:f>IF(COUNT($N$462:$N$466)=5,SUM($N$462:$N$466),"n.a.")</x:f>
        <x:v>0</x:v>
      </x:c>
      <x:c r="G464" s="22" t="n">
        <x:f>IF(COUNT(E464:F464)=2,MAX(0,E464-F464),"n.a.")</x:f>
        <x:v>500</x:v>
      </x:c>
      <x:c r="H464" s="26" t="str">
        <x:f>'Inputs'!C13</x:f>
        <x:v>Loan C</x:v>
      </x:c>
      <x:c r="I464" s="26" t="n">
        <x:f>S459</x:f>
        <x:v>0</x:v>
      </x:c>
      <x:c r="J464" s="29" t="n">
        <x:f>IF('Inputs'!$D$9="Ready",'Inputs'!E13,"n.a.")</x:f>
        <x:v>0.08</x:v>
      </x:c>
      <x:c r="K464" s="26" t="n">
        <x:f>IF('Inputs'!$D$9="Ready",'Inputs'!F13,"n.a.")</x:f>
        <x:v>150</x:v>
      </x:c>
      <x:c r="L464" s="29" t="n">
        <x:f>IF('Inputs'!$D$9="Ready",'Inputs'!G13,"n.a.")</x:f>
        <x:v>0</x:v>
      </x:c>
      <x:c r="M464" s="22" t="n">
        <x:f>IF(COUNT(I464:L464)=4,ROUND(I464*J464/12,2),"n.a.")</x:f>
        <x:v>0</x:v>
      </x:c>
      <x:c r="N464" s="22" t="n">
        <x:f>IF(COUNT(I464:M464)=5,MIN(I464+M464,ROUND(MAX(K464,I464*L464+M464),2)),"n.a.")</x:f>
        <x:v>0</x:v>
      </x:c>
      <x:c r="O464" s="30" t="n">
        <x:f>IF(COUNT($I$462:$I$466)&lt;&gt;5,"n.a.",IF(I464=0,6,IF('Inputs'!$D$5=1,COUNTIFS($I$462:$I$466,"&gt;0",$I$462:$I$466,"&lt;"&amp;I464)+COUNTIFS($I$462:I464,I464),COUNTIFS($I$462:$I$466,"&gt;0",$J$462:$J$466,"&gt;"&amp;J464)+COUNTIFS($I$462:I464,"&gt;0",$J$462:J464,J464))))</x:f>
        <x:v>6</x:v>
      </x:c>
      <x:c r="P464" s="22" t="n">
        <x:f>IF(T464="Ready",MIN(U464,MAX(0,G464-SUMIFS($U$462:$U$466,$O$462:$O$466,"&lt;"&amp;O464))),"n.a.")</x:f>
        <x:v>0</x:v>
      </x:c>
      <x:c r="Q464" s="22" t="n">
        <x:f>IF(T464="Ready",ROUND(N464+P464,2),"n.a.")</x:f>
        <x:v>0</x:v>
      </x:c>
      <x:c r="R464" s="22" t="n">
        <x:f>IF(T464="Ready",ROUND(Q464-M464,2),"n.a.")</x:f>
        <x:v>0</x:v>
      </x:c>
      <x:c r="S464" s="22" t="n">
        <x:f>IF(T464="Ready",MAX(0,ROUND(I464+M464-Q464,2)),"n.a.")</x:f>
        <x:v>0</x:v>
      </x:c>
      <x:c r="T464" s="22" t="str">
        <x:f>IF(AND(COUNT($I$462:$I$466)=5,COUNT(E464:F464)=2),IF(E464&gt;=F464,"Ready","Budget below minima"),"Check inputs")</x:f>
        <x:v>Ready</x:v>
      </x:c>
      <x:c r="U464" s="22" t="n">
        <x:f>IF(COUNT(I464,M464,N464)=3,MAX(0,ROUND(I464+M464-N464,2)),"n.a.")</x:f>
        <x:v>0</x:v>
      </x:c>
    </x:row>
    <x:row r="465" ht="22" customHeight="1">
      <x:c r="A465" s="2"/>
      <x:c r="B465" s="2"/>
      <x:c r="C465" s="27" t="n">
        <x:f>92</x:f>
        <x:v>92</x:v>
      </x:c>
      <x:c r="D465" s="28" t="n">
        <x:f>IF(ISNUMBER('Inputs'!$D$7),EDATE('Inputs'!$D$7,91),"n.a.")</x:f>
        <x:v>49096</x:v>
      </x:c>
      <x:c r="E465" s="26" t="n">
        <x:f>IF('Inputs'!$D$9&lt;&gt;"Ready","n.a.",IF(ISNUMBER('Inputs'!E110),IF('Inputs'!E110&gt;=0,'Inputs'!E110,"n.a."),IF('Inputs'!E110="",'Inputs'!$D$6,"n.a.")))</x:f>
        <x:v>500</x:v>
      </x:c>
      <x:c r="F465" s="22" t="n">
        <x:f>IF(COUNT($N$462:$N$466)=5,SUM($N$462:$N$466),"n.a.")</x:f>
        <x:v>0</x:v>
      </x:c>
      <x:c r="G465" s="22" t="n">
        <x:f>IF(COUNT(E465:F465)=2,MAX(0,E465-F465),"n.a.")</x:f>
        <x:v>500</x:v>
      </x:c>
      <x:c r="H465" s="26" t="str">
        <x:f>'Inputs'!C14</x:f>
        <x:v>Unused 4</x:v>
      </x:c>
      <x:c r="I465" s="26" t="n">
        <x:f>S460</x:f>
        <x:v>0</x:v>
      </x:c>
      <x:c r="J465" s="29" t="n">
        <x:f>IF('Inputs'!$D$9="Ready",'Inputs'!E14,"n.a.")</x:f>
        <x:v>0</x:v>
      </x:c>
      <x:c r="K465" s="26" t="n">
        <x:f>IF('Inputs'!$D$9="Ready",'Inputs'!F14,"n.a.")</x:f>
        <x:v>0</x:v>
      </x:c>
      <x:c r="L465" s="29" t="n">
        <x:f>IF('Inputs'!$D$9="Ready",'Inputs'!G14,"n.a.")</x:f>
        <x:v>0</x:v>
      </x:c>
      <x:c r="M465" s="22" t="n">
        <x:f>IF(COUNT(I465:L465)=4,ROUND(I465*J465/12,2),"n.a.")</x:f>
        <x:v>0</x:v>
      </x:c>
      <x:c r="N465" s="22" t="n">
        <x:f>IF(COUNT(I465:M465)=5,MIN(I465+M465,ROUND(MAX(K465,I465*L465+M465),2)),"n.a.")</x:f>
        <x:v>0</x:v>
      </x:c>
      <x:c r="O465" s="30" t="n">
        <x:f>IF(COUNT($I$462:$I$466)&lt;&gt;5,"n.a.",IF(I465=0,6,IF('Inputs'!$D$5=1,COUNTIFS($I$462:$I$466,"&gt;0",$I$462:$I$466,"&lt;"&amp;I465)+COUNTIFS($I$462:I465,I465),COUNTIFS($I$462:$I$466,"&gt;0",$J$462:$J$466,"&gt;"&amp;J465)+COUNTIFS($I$462:I465,"&gt;0",$J$462:J465,J465))))</x:f>
        <x:v>6</x:v>
      </x:c>
      <x:c r="P465" s="22" t="n">
        <x:f>IF(T465="Ready",MIN(U465,MAX(0,G465-SUMIFS($U$462:$U$466,$O$462:$O$466,"&lt;"&amp;O465))),"n.a.")</x:f>
        <x:v>0</x:v>
      </x:c>
      <x:c r="Q465" s="22" t="n">
        <x:f>IF(T465="Ready",ROUND(N465+P465,2),"n.a.")</x:f>
        <x:v>0</x:v>
      </x:c>
      <x:c r="R465" s="22" t="n">
        <x:f>IF(T465="Ready",ROUND(Q465-M465,2),"n.a.")</x:f>
        <x:v>0</x:v>
      </x:c>
      <x:c r="S465" s="22" t="n">
        <x:f>IF(T465="Ready",MAX(0,ROUND(I465+M465-Q465,2)),"n.a.")</x:f>
        <x:v>0</x:v>
      </x:c>
      <x:c r="T465" s="22" t="str">
        <x:f>IF(AND(COUNT($I$462:$I$466)=5,COUNT(E465:F465)=2),IF(E465&gt;=F465,"Ready","Budget below minima"),"Check inputs")</x:f>
        <x:v>Ready</x:v>
      </x:c>
      <x:c r="U465" s="22" t="n">
        <x:f>IF(COUNT(I465,M465,N465)=3,MAX(0,ROUND(I465+M465-N465,2)),"n.a.")</x:f>
        <x:v>0</x:v>
      </x:c>
    </x:row>
    <x:row r="466" ht="22" customHeight="1">
      <x:c r="A466" s="2"/>
      <x:c r="B466" s="2"/>
      <x:c r="C466" s="27" t="n">
        <x:f>92</x:f>
        <x:v>92</x:v>
      </x:c>
      <x:c r="D466" s="28" t="n">
        <x:f>IF(ISNUMBER('Inputs'!$D$7),EDATE('Inputs'!$D$7,91),"n.a.")</x:f>
        <x:v>49096</x:v>
      </x:c>
      <x:c r="E466" s="26" t="n">
        <x:f>IF('Inputs'!$D$9&lt;&gt;"Ready","n.a.",IF(ISNUMBER('Inputs'!E110),IF('Inputs'!E110&gt;=0,'Inputs'!E110,"n.a."),IF('Inputs'!E110="",'Inputs'!$D$6,"n.a.")))</x:f>
        <x:v>500</x:v>
      </x:c>
      <x:c r="F466" s="22" t="n">
        <x:f>IF(COUNT($N$462:$N$466)=5,SUM($N$462:$N$466),"n.a.")</x:f>
        <x:v>0</x:v>
      </x:c>
      <x:c r="G466" s="22" t="n">
        <x:f>IF(COUNT(E466:F466)=2,MAX(0,E466-F466),"n.a.")</x:f>
        <x:v>500</x:v>
      </x:c>
      <x:c r="H466" s="26" t="str">
        <x:f>'Inputs'!C15</x:f>
        <x:v>Unused 5</x:v>
      </x:c>
      <x:c r="I466" s="26" t="n">
        <x:f>S461</x:f>
        <x:v>0</x:v>
      </x:c>
      <x:c r="J466" s="29" t="n">
        <x:f>IF('Inputs'!$D$9="Ready",'Inputs'!E15,"n.a.")</x:f>
        <x:v>0</x:v>
      </x:c>
      <x:c r="K466" s="26" t="n">
        <x:f>IF('Inputs'!$D$9="Ready",'Inputs'!F15,"n.a.")</x:f>
        <x:v>0</x:v>
      </x:c>
      <x:c r="L466" s="29" t="n">
        <x:f>IF('Inputs'!$D$9="Ready",'Inputs'!G15,"n.a.")</x:f>
        <x:v>0</x:v>
      </x:c>
      <x:c r="M466" s="22" t="n">
        <x:f>IF(COUNT(I466:L466)=4,ROUND(I466*J466/12,2),"n.a.")</x:f>
        <x:v>0</x:v>
      </x:c>
      <x:c r="N466" s="22" t="n">
        <x:f>IF(COUNT(I466:M466)=5,MIN(I466+M466,ROUND(MAX(K466,I466*L466+M466),2)),"n.a.")</x:f>
        <x:v>0</x:v>
      </x:c>
      <x:c r="O466" s="30" t="n">
        <x:f>IF(COUNT($I$462:$I$466)&lt;&gt;5,"n.a.",IF(I466=0,6,IF('Inputs'!$D$5=1,COUNTIFS($I$462:$I$466,"&gt;0",$I$462:$I$466,"&lt;"&amp;I466)+COUNTIFS($I$462:I466,I466),COUNTIFS($I$462:$I$466,"&gt;0",$J$462:$J$466,"&gt;"&amp;J466)+COUNTIFS($I$462:I466,"&gt;0",$J$462:J466,J466))))</x:f>
        <x:v>6</x:v>
      </x:c>
      <x:c r="P466" s="22" t="n">
        <x:f>IF(T466="Ready",MIN(U466,MAX(0,G466-SUMIFS($U$462:$U$466,$O$462:$O$466,"&lt;"&amp;O466))),"n.a.")</x:f>
        <x:v>0</x:v>
      </x:c>
      <x:c r="Q466" s="22" t="n">
        <x:f>IF(T466="Ready",ROUND(N466+P466,2),"n.a.")</x:f>
        <x:v>0</x:v>
      </x:c>
      <x:c r="R466" s="22" t="n">
        <x:f>IF(T466="Ready",ROUND(Q466-M466,2),"n.a.")</x:f>
        <x:v>0</x:v>
      </x:c>
      <x:c r="S466" s="22" t="n">
        <x:f>IF(T466="Ready",MAX(0,ROUND(I466+M466-Q466,2)),"n.a.")</x:f>
        <x:v>0</x:v>
      </x:c>
      <x:c r="T466" s="22" t="str">
        <x:f>IF(AND(COUNT($I$462:$I$466)=5,COUNT(E466:F466)=2),IF(E466&gt;=F466,"Ready","Budget below minima"),"Check inputs")</x:f>
        <x:v>Ready</x:v>
      </x:c>
      <x:c r="U466" s="22" t="n">
        <x:f>IF(COUNT(I466,M466,N466)=3,MAX(0,ROUND(I466+M466-N466,2)),"n.a.")</x:f>
        <x:v>0</x:v>
      </x:c>
    </x:row>
    <x:row r="467" ht="22" customHeight="1">
      <x:c r="A467" s="2"/>
      <x:c r="B467" s="2"/>
      <x:c r="C467" s="27" t="n">
        <x:f>93</x:f>
        <x:v>93</x:v>
      </x:c>
      <x:c r="D467" s="28" t="n">
        <x:f>IF(ISNUMBER('Inputs'!$D$7),EDATE('Inputs'!$D$7,92),"n.a.")</x:f>
        <x:v>49126</x:v>
      </x:c>
      <x:c r="E467" s="26" t="n">
        <x:f>IF('Inputs'!$D$9&lt;&gt;"Ready","n.a.",IF(ISNUMBER('Inputs'!E111),IF('Inputs'!E111&gt;=0,'Inputs'!E111,"n.a."),IF('Inputs'!E111="",'Inputs'!$D$6,"n.a.")))</x:f>
        <x:v>500</x:v>
      </x:c>
      <x:c r="F467" s="22" t="n">
        <x:f>IF(COUNT($N$467:$N$471)=5,SUM($N$467:$N$471),"n.a.")</x:f>
        <x:v>0</x:v>
      </x:c>
      <x:c r="G467" s="22" t="n">
        <x:f>IF(COUNT(E467:F467)=2,MAX(0,E467-F467),"n.a.")</x:f>
        <x:v>500</x:v>
      </x:c>
      <x:c r="H467" s="26" t="str">
        <x:f>'Inputs'!C11</x:f>
        <x:v>Card A</x:v>
      </x:c>
      <x:c r="I467" s="26" t="n">
        <x:f>S462</x:f>
        <x:v>0</x:v>
      </x:c>
      <x:c r="J467" s="29" t="n">
        <x:f>IF('Inputs'!$D$9="Ready",'Inputs'!E11,"n.a.")</x:f>
        <x:v>0.24</x:v>
      </x:c>
      <x:c r="K467" s="26" t="n">
        <x:f>IF('Inputs'!$D$9="Ready",'Inputs'!F11,"n.a.")</x:f>
        <x:v>35</x:v>
      </x:c>
      <x:c r="L467" s="29" t="n">
        <x:f>IF('Inputs'!$D$9="Ready",'Inputs'!G11,"n.a.")</x:f>
        <x:v>0.02</x:v>
      </x:c>
      <x:c r="M467" s="22" t="n">
        <x:f>IF(COUNT(I467:L467)=4,ROUND(I467*J467/12,2),"n.a.")</x:f>
        <x:v>0</x:v>
      </x:c>
      <x:c r="N467" s="22" t="n">
        <x:f>IF(COUNT(I467:M467)=5,MIN(I467+M467,ROUND(MAX(K467,I467*L467+M467),2)),"n.a.")</x:f>
        <x:v>0</x:v>
      </x:c>
      <x:c r="O467" s="30" t="n">
        <x:f>IF(COUNT($I$467:$I$471)&lt;&gt;5,"n.a.",IF(I467=0,6,IF('Inputs'!$D$5=1,COUNTIFS($I$467:$I$471,"&gt;0",$I$467:$I$471,"&lt;"&amp;I467)+COUNTIFS($I$467:I467,I467),COUNTIFS($I$467:$I$471,"&gt;0",$J$467:$J$471,"&gt;"&amp;J467)+COUNTIFS($I$467:I467,"&gt;0",$J$467:J467,J467))))</x:f>
        <x:v>6</x:v>
      </x:c>
      <x:c r="P467" s="22" t="n">
        <x:f>IF(T467="Ready",MIN(U467,MAX(0,G467-SUMIFS($U$467:$U$471,$O$467:$O$471,"&lt;"&amp;O467))),"n.a.")</x:f>
        <x:v>0</x:v>
      </x:c>
      <x:c r="Q467" s="22" t="n">
        <x:f>IF(T467="Ready",ROUND(N467+P467,2),"n.a.")</x:f>
        <x:v>0</x:v>
      </x:c>
      <x:c r="R467" s="22" t="n">
        <x:f>IF(T467="Ready",ROUND(Q467-M467,2),"n.a.")</x:f>
        <x:v>0</x:v>
      </x:c>
      <x:c r="S467" s="22" t="n">
        <x:f>IF(T467="Ready",MAX(0,ROUND(I467+M467-Q467,2)),"n.a.")</x:f>
        <x:v>0</x:v>
      </x:c>
      <x:c r="T467" s="22" t="str">
        <x:f>IF(AND(COUNT($I$467:$I$471)=5,COUNT(E467:F467)=2),IF(E467&gt;=F467,"Ready","Budget below minima"),"Check inputs")</x:f>
        <x:v>Ready</x:v>
      </x:c>
      <x:c r="U467" s="22" t="n">
        <x:f>IF(COUNT(I467,M467,N467)=3,MAX(0,ROUND(I467+M467-N467,2)),"n.a.")</x:f>
        <x:v>0</x:v>
      </x:c>
    </x:row>
    <x:row r="468" ht="22" customHeight="1">
      <x:c r="A468" s="2"/>
      <x:c r="B468" s="2"/>
      <x:c r="C468" s="27" t="n">
        <x:f>93</x:f>
        <x:v>93</x:v>
      </x:c>
      <x:c r="D468" s="28" t="n">
        <x:f>IF(ISNUMBER('Inputs'!$D$7),EDATE('Inputs'!$D$7,92),"n.a.")</x:f>
        <x:v>49126</x:v>
      </x:c>
      <x:c r="E468" s="26" t="n">
        <x:f>IF('Inputs'!$D$9&lt;&gt;"Ready","n.a.",IF(ISNUMBER('Inputs'!E111),IF('Inputs'!E111&gt;=0,'Inputs'!E111,"n.a."),IF('Inputs'!E111="",'Inputs'!$D$6,"n.a.")))</x:f>
        <x:v>500</x:v>
      </x:c>
      <x:c r="F468" s="22" t="n">
        <x:f>IF(COUNT($N$467:$N$471)=5,SUM($N$467:$N$471),"n.a.")</x:f>
        <x:v>0</x:v>
      </x:c>
      <x:c r="G468" s="22" t="n">
        <x:f>IF(COUNT(E468:F468)=2,MAX(0,E468-F468),"n.a.")</x:f>
        <x:v>500</x:v>
      </x:c>
      <x:c r="H468" s="26" t="str">
        <x:f>'Inputs'!C12</x:f>
        <x:v>Card B</x:v>
      </x:c>
      <x:c r="I468" s="26" t="n">
        <x:f>S463</x:f>
        <x:v>0</x:v>
      </x:c>
      <x:c r="J468" s="29" t="n">
        <x:f>IF('Inputs'!$D$9="Ready",'Inputs'!E12,"n.a.")</x:f>
        <x:v>0.18</x:v>
      </x:c>
      <x:c r="K468" s="26" t="n">
        <x:f>IF('Inputs'!$D$9="Ready",'Inputs'!F12,"n.a.")</x:f>
        <x:v>60</x:v>
      </x:c>
      <x:c r="L468" s="29" t="n">
        <x:f>IF('Inputs'!$D$9="Ready",'Inputs'!G12,"n.a.")</x:f>
        <x:v>0.02</x:v>
      </x:c>
      <x:c r="M468" s="22" t="n">
        <x:f>IF(COUNT(I468:L468)=4,ROUND(I468*J468/12,2),"n.a.")</x:f>
        <x:v>0</x:v>
      </x:c>
      <x:c r="N468" s="22" t="n">
        <x:f>IF(COUNT(I468:M468)=5,MIN(I468+M468,ROUND(MAX(K468,I468*L468+M468),2)),"n.a.")</x:f>
        <x:v>0</x:v>
      </x:c>
      <x:c r="O468" s="30" t="n">
        <x:f>IF(COUNT($I$467:$I$471)&lt;&gt;5,"n.a.",IF(I468=0,6,IF('Inputs'!$D$5=1,COUNTIFS($I$467:$I$471,"&gt;0",$I$467:$I$471,"&lt;"&amp;I468)+COUNTIFS($I$467:I468,I468),COUNTIFS($I$467:$I$471,"&gt;0",$J$467:$J$471,"&gt;"&amp;J468)+COUNTIFS($I$467:I468,"&gt;0",$J$467:J468,J468))))</x:f>
        <x:v>6</x:v>
      </x:c>
      <x:c r="P468" s="22" t="n">
        <x:f>IF(T468="Ready",MIN(U468,MAX(0,G468-SUMIFS($U$467:$U$471,$O$467:$O$471,"&lt;"&amp;O468))),"n.a.")</x:f>
        <x:v>0</x:v>
      </x:c>
      <x:c r="Q468" s="22" t="n">
        <x:f>IF(T468="Ready",ROUND(N468+P468,2),"n.a.")</x:f>
        <x:v>0</x:v>
      </x:c>
      <x:c r="R468" s="22" t="n">
        <x:f>IF(T468="Ready",ROUND(Q468-M468,2),"n.a.")</x:f>
        <x:v>0</x:v>
      </x:c>
      <x:c r="S468" s="22" t="n">
        <x:f>IF(T468="Ready",MAX(0,ROUND(I468+M468-Q468,2)),"n.a.")</x:f>
        <x:v>0</x:v>
      </x:c>
      <x:c r="T468" s="22" t="str">
        <x:f>IF(AND(COUNT($I$467:$I$471)=5,COUNT(E468:F468)=2),IF(E468&gt;=F468,"Ready","Budget below minima"),"Check inputs")</x:f>
        <x:v>Ready</x:v>
      </x:c>
      <x:c r="U468" s="22" t="n">
        <x:f>IF(COUNT(I468,M468,N468)=3,MAX(0,ROUND(I468+M468-N468,2)),"n.a.")</x:f>
        <x:v>0</x:v>
      </x:c>
    </x:row>
    <x:row r="469" ht="22" customHeight="1">
      <x:c r="A469" s="2"/>
      <x:c r="B469" s="2"/>
      <x:c r="C469" s="27" t="n">
        <x:f>93</x:f>
        <x:v>93</x:v>
      </x:c>
      <x:c r="D469" s="28" t="n">
        <x:f>IF(ISNUMBER('Inputs'!$D$7),EDATE('Inputs'!$D$7,92),"n.a.")</x:f>
        <x:v>49126</x:v>
      </x:c>
      <x:c r="E469" s="26" t="n">
        <x:f>IF('Inputs'!$D$9&lt;&gt;"Ready","n.a.",IF(ISNUMBER('Inputs'!E111),IF('Inputs'!E111&gt;=0,'Inputs'!E111,"n.a."),IF('Inputs'!E111="",'Inputs'!$D$6,"n.a.")))</x:f>
        <x:v>500</x:v>
      </x:c>
      <x:c r="F469" s="22" t="n">
        <x:f>IF(COUNT($N$467:$N$471)=5,SUM($N$467:$N$471),"n.a.")</x:f>
        <x:v>0</x:v>
      </x:c>
      <x:c r="G469" s="22" t="n">
        <x:f>IF(COUNT(E469:F469)=2,MAX(0,E469-F469),"n.a.")</x:f>
        <x:v>500</x:v>
      </x:c>
      <x:c r="H469" s="26" t="str">
        <x:f>'Inputs'!C13</x:f>
        <x:v>Loan C</x:v>
      </x:c>
      <x:c r="I469" s="26" t="n">
        <x:f>S464</x:f>
        <x:v>0</x:v>
      </x:c>
      <x:c r="J469" s="29" t="n">
        <x:f>IF('Inputs'!$D$9="Ready",'Inputs'!E13,"n.a.")</x:f>
        <x:v>0.08</x:v>
      </x:c>
      <x:c r="K469" s="26" t="n">
        <x:f>IF('Inputs'!$D$9="Ready",'Inputs'!F13,"n.a.")</x:f>
        <x:v>150</x:v>
      </x:c>
      <x:c r="L469" s="29" t="n">
        <x:f>IF('Inputs'!$D$9="Ready",'Inputs'!G13,"n.a.")</x:f>
        <x:v>0</x:v>
      </x:c>
      <x:c r="M469" s="22" t="n">
        <x:f>IF(COUNT(I469:L469)=4,ROUND(I469*J469/12,2),"n.a.")</x:f>
        <x:v>0</x:v>
      </x:c>
      <x:c r="N469" s="22" t="n">
        <x:f>IF(COUNT(I469:M469)=5,MIN(I469+M469,ROUND(MAX(K469,I469*L469+M469),2)),"n.a.")</x:f>
        <x:v>0</x:v>
      </x:c>
      <x:c r="O469" s="30" t="n">
        <x:f>IF(COUNT($I$467:$I$471)&lt;&gt;5,"n.a.",IF(I469=0,6,IF('Inputs'!$D$5=1,COUNTIFS($I$467:$I$471,"&gt;0",$I$467:$I$471,"&lt;"&amp;I469)+COUNTIFS($I$467:I469,I469),COUNTIFS($I$467:$I$471,"&gt;0",$J$467:$J$471,"&gt;"&amp;J469)+COUNTIFS($I$467:I469,"&gt;0",$J$467:J469,J469))))</x:f>
        <x:v>6</x:v>
      </x:c>
      <x:c r="P469" s="22" t="n">
        <x:f>IF(T469="Ready",MIN(U469,MAX(0,G469-SUMIFS($U$467:$U$471,$O$467:$O$471,"&lt;"&amp;O469))),"n.a.")</x:f>
        <x:v>0</x:v>
      </x:c>
      <x:c r="Q469" s="22" t="n">
        <x:f>IF(T469="Ready",ROUND(N469+P469,2),"n.a.")</x:f>
        <x:v>0</x:v>
      </x:c>
      <x:c r="R469" s="22" t="n">
        <x:f>IF(T469="Ready",ROUND(Q469-M469,2),"n.a.")</x:f>
        <x:v>0</x:v>
      </x:c>
      <x:c r="S469" s="22" t="n">
        <x:f>IF(T469="Ready",MAX(0,ROUND(I469+M469-Q469,2)),"n.a.")</x:f>
        <x:v>0</x:v>
      </x:c>
      <x:c r="T469" s="22" t="str">
        <x:f>IF(AND(COUNT($I$467:$I$471)=5,COUNT(E469:F469)=2),IF(E469&gt;=F469,"Ready","Budget below minima"),"Check inputs")</x:f>
        <x:v>Ready</x:v>
      </x:c>
      <x:c r="U469" s="22" t="n">
        <x:f>IF(COUNT(I469,M469,N469)=3,MAX(0,ROUND(I469+M469-N469,2)),"n.a.")</x:f>
        <x:v>0</x:v>
      </x:c>
    </x:row>
    <x:row r="470" ht="22" customHeight="1">
      <x:c r="A470" s="2"/>
      <x:c r="B470" s="2"/>
      <x:c r="C470" s="27" t="n">
        <x:f>93</x:f>
        <x:v>93</x:v>
      </x:c>
      <x:c r="D470" s="28" t="n">
        <x:f>IF(ISNUMBER('Inputs'!$D$7),EDATE('Inputs'!$D$7,92),"n.a.")</x:f>
        <x:v>49126</x:v>
      </x:c>
      <x:c r="E470" s="26" t="n">
        <x:f>IF('Inputs'!$D$9&lt;&gt;"Ready","n.a.",IF(ISNUMBER('Inputs'!E111),IF('Inputs'!E111&gt;=0,'Inputs'!E111,"n.a."),IF('Inputs'!E111="",'Inputs'!$D$6,"n.a.")))</x:f>
        <x:v>500</x:v>
      </x:c>
      <x:c r="F470" s="22" t="n">
        <x:f>IF(COUNT($N$467:$N$471)=5,SUM($N$467:$N$471),"n.a.")</x:f>
        <x:v>0</x:v>
      </x:c>
      <x:c r="G470" s="22" t="n">
        <x:f>IF(COUNT(E470:F470)=2,MAX(0,E470-F470),"n.a.")</x:f>
        <x:v>500</x:v>
      </x:c>
      <x:c r="H470" s="26" t="str">
        <x:f>'Inputs'!C14</x:f>
        <x:v>Unused 4</x:v>
      </x:c>
      <x:c r="I470" s="26" t="n">
        <x:f>S465</x:f>
        <x:v>0</x:v>
      </x:c>
      <x:c r="J470" s="29" t="n">
        <x:f>IF('Inputs'!$D$9="Ready",'Inputs'!E14,"n.a.")</x:f>
        <x:v>0</x:v>
      </x:c>
      <x:c r="K470" s="26" t="n">
        <x:f>IF('Inputs'!$D$9="Ready",'Inputs'!F14,"n.a.")</x:f>
        <x:v>0</x:v>
      </x:c>
      <x:c r="L470" s="29" t="n">
        <x:f>IF('Inputs'!$D$9="Ready",'Inputs'!G14,"n.a.")</x:f>
        <x:v>0</x:v>
      </x:c>
      <x:c r="M470" s="22" t="n">
        <x:f>IF(COUNT(I470:L470)=4,ROUND(I470*J470/12,2),"n.a.")</x:f>
        <x:v>0</x:v>
      </x:c>
      <x:c r="N470" s="22" t="n">
        <x:f>IF(COUNT(I470:M470)=5,MIN(I470+M470,ROUND(MAX(K470,I470*L470+M470),2)),"n.a.")</x:f>
        <x:v>0</x:v>
      </x:c>
      <x:c r="O470" s="30" t="n">
        <x:f>IF(COUNT($I$467:$I$471)&lt;&gt;5,"n.a.",IF(I470=0,6,IF('Inputs'!$D$5=1,COUNTIFS($I$467:$I$471,"&gt;0",$I$467:$I$471,"&lt;"&amp;I470)+COUNTIFS($I$467:I470,I470),COUNTIFS($I$467:$I$471,"&gt;0",$J$467:$J$471,"&gt;"&amp;J470)+COUNTIFS($I$467:I470,"&gt;0",$J$467:J470,J470))))</x:f>
        <x:v>6</x:v>
      </x:c>
      <x:c r="P470" s="22" t="n">
        <x:f>IF(T470="Ready",MIN(U470,MAX(0,G470-SUMIFS($U$467:$U$471,$O$467:$O$471,"&lt;"&amp;O470))),"n.a.")</x:f>
        <x:v>0</x:v>
      </x:c>
      <x:c r="Q470" s="22" t="n">
        <x:f>IF(T470="Ready",ROUND(N470+P470,2),"n.a.")</x:f>
        <x:v>0</x:v>
      </x:c>
      <x:c r="R470" s="22" t="n">
        <x:f>IF(T470="Ready",ROUND(Q470-M470,2),"n.a.")</x:f>
        <x:v>0</x:v>
      </x:c>
      <x:c r="S470" s="22" t="n">
        <x:f>IF(T470="Ready",MAX(0,ROUND(I470+M470-Q470,2)),"n.a.")</x:f>
        <x:v>0</x:v>
      </x:c>
      <x:c r="T470" s="22" t="str">
        <x:f>IF(AND(COUNT($I$467:$I$471)=5,COUNT(E470:F470)=2),IF(E470&gt;=F470,"Ready","Budget below minima"),"Check inputs")</x:f>
        <x:v>Ready</x:v>
      </x:c>
      <x:c r="U470" s="22" t="n">
        <x:f>IF(COUNT(I470,M470,N470)=3,MAX(0,ROUND(I470+M470-N470,2)),"n.a.")</x:f>
        <x:v>0</x:v>
      </x:c>
    </x:row>
    <x:row r="471" ht="22" customHeight="1">
      <x:c r="A471" s="2"/>
      <x:c r="B471" s="2"/>
      <x:c r="C471" s="27" t="n">
        <x:f>93</x:f>
        <x:v>93</x:v>
      </x:c>
      <x:c r="D471" s="28" t="n">
        <x:f>IF(ISNUMBER('Inputs'!$D$7),EDATE('Inputs'!$D$7,92),"n.a.")</x:f>
        <x:v>49126</x:v>
      </x:c>
      <x:c r="E471" s="26" t="n">
        <x:f>IF('Inputs'!$D$9&lt;&gt;"Ready","n.a.",IF(ISNUMBER('Inputs'!E111),IF('Inputs'!E111&gt;=0,'Inputs'!E111,"n.a."),IF('Inputs'!E111="",'Inputs'!$D$6,"n.a.")))</x:f>
        <x:v>500</x:v>
      </x:c>
      <x:c r="F471" s="22" t="n">
        <x:f>IF(COUNT($N$467:$N$471)=5,SUM($N$467:$N$471),"n.a.")</x:f>
        <x:v>0</x:v>
      </x:c>
      <x:c r="G471" s="22" t="n">
        <x:f>IF(COUNT(E471:F471)=2,MAX(0,E471-F471),"n.a.")</x:f>
        <x:v>500</x:v>
      </x:c>
      <x:c r="H471" s="26" t="str">
        <x:f>'Inputs'!C15</x:f>
        <x:v>Unused 5</x:v>
      </x:c>
      <x:c r="I471" s="26" t="n">
        <x:f>S466</x:f>
        <x:v>0</x:v>
      </x:c>
      <x:c r="J471" s="29" t="n">
        <x:f>IF('Inputs'!$D$9="Ready",'Inputs'!E15,"n.a.")</x:f>
        <x:v>0</x:v>
      </x:c>
      <x:c r="K471" s="26" t="n">
        <x:f>IF('Inputs'!$D$9="Ready",'Inputs'!F15,"n.a.")</x:f>
        <x:v>0</x:v>
      </x:c>
      <x:c r="L471" s="29" t="n">
        <x:f>IF('Inputs'!$D$9="Ready",'Inputs'!G15,"n.a.")</x:f>
        <x:v>0</x:v>
      </x:c>
      <x:c r="M471" s="22" t="n">
        <x:f>IF(COUNT(I471:L471)=4,ROUND(I471*J471/12,2),"n.a.")</x:f>
        <x:v>0</x:v>
      </x:c>
      <x:c r="N471" s="22" t="n">
        <x:f>IF(COUNT(I471:M471)=5,MIN(I471+M471,ROUND(MAX(K471,I471*L471+M471),2)),"n.a.")</x:f>
        <x:v>0</x:v>
      </x:c>
      <x:c r="O471" s="30" t="n">
        <x:f>IF(COUNT($I$467:$I$471)&lt;&gt;5,"n.a.",IF(I471=0,6,IF('Inputs'!$D$5=1,COUNTIFS($I$467:$I$471,"&gt;0",$I$467:$I$471,"&lt;"&amp;I471)+COUNTIFS($I$467:I471,I471),COUNTIFS($I$467:$I$471,"&gt;0",$J$467:$J$471,"&gt;"&amp;J471)+COUNTIFS($I$467:I471,"&gt;0",$J$467:J471,J471))))</x:f>
        <x:v>6</x:v>
      </x:c>
      <x:c r="P471" s="22" t="n">
        <x:f>IF(T471="Ready",MIN(U471,MAX(0,G471-SUMIFS($U$467:$U$471,$O$467:$O$471,"&lt;"&amp;O471))),"n.a.")</x:f>
        <x:v>0</x:v>
      </x:c>
      <x:c r="Q471" s="22" t="n">
        <x:f>IF(T471="Ready",ROUND(N471+P471,2),"n.a.")</x:f>
        <x:v>0</x:v>
      </x:c>
      <x:c r="R471" s="22" t="n">
        <x:f>IF(T471="Ready",ROUND(Q471-M471,2),"n.a.")</x:f>
        <x:v>0</x:v>
      </x:c>
      <x:c r="S471" s="22" t="n">
        <x:f>IF(T471="Ready",MAX(0,ROUND(I471+M471-Q471,2)),"n.a.")</x:f>
        <x:v>0</x:v>
      </x:c>
      <x:c r="T471" s="22" t="str">
        <x:f>IF(AND(COUNT($I$467:$I$471)=5,COUNT(E471:F471)=2),IF(E471&gt;=F471,"Ready","Budget below minima"),"Check inputs")</x:f>
        <x:v>Ready</x:v>
      </x:c>
      <x:c r="U471" s="22" t="n">
        <x:f>IF(COUNT(I471,M471,N471)=3,MAX(0,ROUND(I471+M471-N471,2)),"n.a.")</x:f>
        <x:v>0</x:v>
      </x:c>
    </x:row>
    <x:row r="472" ht="22" customHeight="1">
      <x:c r="A472" s="2"/>
      <x:c r="B472" s="2"/>
      <x:c r="C472" s="27" t="n">
        <x:f>94</x:f>
        <x:v>94</x:v>
      </x:c>
      <x:c r="D472" s="28" t="n">
        <x:f>IF(ISNUMBER('Inputs'!$D$7),EDATE('Inputs'!$D$7,93),"n.a.")</x:f>
        <x:v>49157</x:v>
      </x:c>
      <x:c r="E472" s="26" t="n">
        <x:f>IF('Inputs'!$D$9&lt;&gt;"Ready","n.a.",IF(ISNUMBER('Inputs'!E112),IF('Inputs'!E112&gt;=0,'Inputs'!E112,"n.a."),IF('Inputs'!E112="",'Inputs'!$D$6,"n.a.")))</x:f>
        <x:v>500</x:v>
      </x:c>
      <x:c r="F472" s="22" t="n">
        <x:f>IF(COUNT($N$472:$N$476)=5,SUM($N$472:$N$476),"n.a.")</x:f>
        <x:v>0</x:v>
      </x:c>
      <x:c r="G472" s="22" t="n">
        <x:f>IF(COUNT(E472:F472)=2,MAX(0,E472-F472),"n.a.")</x:f>
        <x:v>500</x:v>
      </x:c>
      <x:c r="H472" s="26" t="str">
        <x:f>'Inputs'!C11</x:f>
        <x:v>Card A</x:v>
      </x:c>
      <x:c r="I472" s="26" t="n">
        <x:f>S467</x:f>
        <x:v>0</x:v>
      </x:c>
      <x:c r="J472" s="29" t="n">
        <x:f>IF('Inputs'!$D$9="Ready",'Inputs'!E11,"n.a.")</x:f>
        <x:v>0.24</x:v>
      </x:c>
      <x:c r="K472" s="26" t="n">
        <x:f>IF('Inputs'!$D$9="Ready",'Inputs'!F11,"n.a.")</x:f>
        <x:v>35</x:v>
      </x:c>
      <x:c r="L472" s="29" t="n">
        <x:f>IF('Inputs'!$D$9="Ready",'Inputs'!G11,"n.a.")</x:f>
        <x:v>0.02</x:v>
      </x:c>
      <x:c r="M472" s="22" t="n">
        <x:f>IF(COUNT(I472:L472)=4,ROUND(I472*J472/12,2),"n.a.")</x:f>
        <x:v>0</x:v>
      </x:c>
      <x:c r="N472" s="22" t="n">
        <x:f>IF(COUNT(I472:M472)=5,MIN(I472+M472,ROUND(MAX(K472,I472*L472+M472),2)),"n.a.")</x:f>
        <x:v>0</x:v>
      </x:c>
      <x:c r="O472" s="30" t="n">
        <x:f>IF(COUNT($I$472:$I$476)&lt;&gt;5,"n.a.",IF(I472=0,6,IF('Inputs'!$D$5=1,COUNTIFS($I$472:$I$476,"&gt;0",$I$472:$I$476,"&lt;"&amp;I472)+COUNTIFS($I$472:I472,I472),COUNTIFS($I$472:$I$476,"&gt;0",$J$472:$J$476,"&gt;"&amp;J472)+COUNTIFS($I$472:I472,"&gt;0",$J$472:J472,J472))))</x:f>
        <x:v>6</x:v>
      </x:c>
      <x:c r="P472" s="22" t="n">
        <x:f>IF(T472="Ready",MIN(U472,MAX(0,G472-SUMIFS($U$472:$U$476,$O$472:$O$476,"&lt;"&amp;O472))),"n.a.")</x:f>
        <x:v>0</x:v>
      </x:c>
      <x:c r="Q472" s="22" t="n">
        <x:f>IF(T472="Ready",ROUND(N472+P472,2),"n.a.")</x:f>
        <x:v>0</x:v>
      </x:c>
      <x:c r="R472" s="22" t="n">
        <x:f>IF(T472="Ready",ROUND(Q472-M472,2),"n.a.")</x:f>
        <x:v>0</x:v>
      </x:c>
      <x:c r="S472" s="22" t="n">
        <x:f>IF(T472="Ready",MAX(0,ROUND(I472+M472-Q472,2)),"n.a.")</x:f>
        <x:v>0</x:v>
      </x:c>
      <x:c r="T472" s="22" t="str">
        <x:f>IF(AND(COUNT($I$472:$I$476)=5,COUNT(E472:F472)=2),IF(E472&gt;=F472,"Ready","Budget below minima"),"Check inputs")</x:f>
        <x:v>Ready</x:v>
      </x:c>
      <x:c r="U472" s="22" t="n">
        <x:f>IF(COUNT(I472,M472,N472)=3,MAX(0,ROUND(I472+M472-N472,2)),"n.a.")</x:f>
        <x:v>0</x:v>
      </x:c>
    </x:row>
    <x:row r="473" ht="22" customHeight="1">
      <x:c r="A473" s="2"/>
      <x:c r="B473" s="2"/>
      <x:c r="C473" s="27" t="n">
        <x:f>94</x:f>
        <x:v>94</x:v>
      </x:c>
      <x:c r="D473" s="28" t="n">
        <x:f>IF(ISNUMBER('Inputs'!$D$7),EDATE('Inputs'!$D$7,93),"n.a.")</x:f>
        <x:v>49157</x:v>
      </x:c>
      <x:c r="E473" s="26" t="n">
        <x:f>IF('Inputs'!$D$9&lt;&gt;"Ready","n.a.",IF(ISNUMBER('Inputs'!E112),IF('Inputs'!E112&gt;=0,'Inputs'!E112,"n.a."),IF('Inputs'!E112="",'Inputs'!$D$6,"n.a.")))</x:f>
        <x:v>500</x:v>
      </x:c>
      <x:c r="F473" s="22" t="n">
        <x:f>IF(COUNT($N$472:$N$476)=5,SUM($N$472:$N$476),"n.a.")</x:f>
        <x:v>0</x:v>
      </x:c>
      <x:c r="G473" s="22" t="n">
        <x:f>IF(COUNT(E473:F473)=2,MAX(0,E473-F473),"n.a.")</x:f>
        <x:v>500</x:v>
      </x:c>
      <x:c r="H473" s="26" t="str">
        <x:f>'Inputs'!C12</x:f>
        <x:v>Card B</x:v>
      </x:c>
      <x:c r="I473" s="26" t="n">
        <x:f>S468</x:f>
        <x:v>0</x:v>
      </x:c>
      <x:c r="J473" s="29" t="n">
        <x:f>IF('Inputs'!$D$9="Ready",'Inputs'!E12,"n.a.")</x:f>
        <x:v>0.18</x:v>
      </x:c>
      <x:c r="K473" s="26" t="n">
        <x:f>IF('Inputs'!$D$9="Ready",'Inputs'!F12,"n.a.")</x:f>
        <x:v>60</x:v>
      </x:c>
      <x:c r="L473" s="29" t="n">
        <x:f>IF('Inputs'!$D$9="Ready",'Inputs'!G12,"n.a.")</x:f>
        <x:v>0.02</x:v>
      </x:c>
      <x:c r="M473" s="22" t="n">
        <x:f>IF(COUNT(I473:L473)=4,ROUND(I473*J473/12,2),"n.a.")</x:f>
        <x:v>0</x:v>
      </x:c>
      <x:c r="N473" s="22" t="n">
        <x:f>IF(COUNT(I473:M473)=5,MIN(I473+M473,ROUND(MAX(K473,I473*L473+M473),2)),"n.a.")</x:f>
        <x:v>0</x:v>
      </x:c>
      <x:c r="O473" s="30" t="n">
        <x:f>IF(COUNT($I$472:$I$476)&lt;&gt;5,"n.a.",IF(I473=0,6,IF('Inputs'!$D$5=1,COUNTIFS($I$472:$I$476,"&gt;0",$I$472:$I$476,"&lt;"&amp;I473)+COUNTIFS($I$472:I473,I473),COUNTIFS($I$472:$I$476,"&gt;0",$J$472:$J$476,"&gt;"&amp;J473)+COUNTIFS($I$472:I473,"&gt;0",$J$472:J473,J473))))</x:f>
        <x:v>6</x:v>
      </x:c>
      <x:c r="P473" s="22" t="n">
        <x:f>IF(T473="Ready",MIN(U473,MAX(0,G473-SUMIFS($U$472:$U$476,$O$472:$O$476,"&lt;"&amp;O473))),"n.a.")</x:f>
        <x:v>0</x:v>
      </x:c>
      <x:c r="Q473" s="22" t="n">
        <x:f>IF(T473="Ready",ROUND(N473+P473,2),"n.a.")</x:f>
        <x:v>0</x:v>
      </x:c>
      <x:c r="R473" s="22" t="n">
        <x:f>IF(T473="Ready",ROUND(Q473-M473,2),"n.a.")</x:f>
        <x:v>0</x:v>
      </x:c>
      <x:c r="S473" s="22" t="n">
        <x:f>IF(T473="Ready",MAX(0,ROUND(I473+M473-Q473,2)),"n.a.")</x:f>
        <x:v>0</x:v>
      </x:c>
      <x:c r="T473" s="22" t="str">
        <x:f>IF(AND(COUNT($I$472:$I$476)=5,COUNT(E473:F473)=2),IF(E473&gt;=F473,"Ready","Budget below minima"),"Check inputs")</x:f>
        <x:v>Ready</x:v>
      </x:c>
      <x:c r="U473" s="22" t="n">
        <x:f>IF(COUNT(I473,M473,N473)=3,MAX(0,ROUND(I473+M473-N473,2)),"n.a.")</x:f>
        <x:v>0</x:v>
      </x:c>
    </x:row>
    <x:row r="474" ht="22" customHeight="1">
      <x:c r="A474" s="2"/>
      <x:c r="B474" s="2"/>
      <x:c r="C474" s="27" t="n">
        <x:f>94</x:f>
        <x:v>94</x:v>
      </x:c>
      <x:c r="D474" s="28" t="n">
        <x:f>IF(ISNUMBER('Inputs'!$D$7),EDATE('Inputs'!$D$7,93),"n.a.")</x:f>
        <x:v>49157</x:v>
      </x:c>
      <x:c r="E474" s="26" t="n">
        <x:f>IF('Inputs'!$D$9&lt;&gt;"Ready","n.a.",IF(ISNUMBER('Inputs'!E112),IF('Inputs'!E112&gt;=0,'Inputs'!E112,"n.a."),IF('Inputs'!E112="",'Inputs'!$D$6,"n.a.")))</x:f>
        <x:v>500</x:v>
      </x:c>
      <x:c r="F474" s="22" t="n">
        <x:f>IF(COUNT($N$472:$N$476)=5,SUM($N$472:$N$476),"n.a.")</x:f>
        <x:v>0</x:v>
      </x:c>
      <x:c r="G474" s="22" t="n">
        <x:f>IF(COUNT(E474:F474)=2,MAX(0,E474-F474),"n.a.")</x:f>
        <x:v>500</x:v>
      </x:c>
      <x:c r="H474" s="26" t="str">
        <x:f>'Inputs'!C13</x:f>
        <x:v>Loan C</x:v>
      </x:c>
      <x:c r="I474" s="26" t="n">
        <x:f>S469</x:f>
        <x:v>0</x:v>
      </x:c>
      <x:c r="J474" s="29" t="n">
        <x:f>IF('Inputs'!$D$9="Ready",'Inputs'!E13,"n.a.")</x:f>
        <x:v>0.08</x:v>
      </x:c>
      <x:c r="K474" s="26" t="n">
        <x:f>IF('Inputs'!$D$9="Ready",'Inputs'!F13,"n.a.")</x:f>
        <x:v>150</x:v>
      </x:c>
      <x:c r="L474" s="29" t="n">
        <x:f>IF('Inputs'!$D$9="Ready",'Inputs'!G13,"n.a.")</x:f>
        <x:v>0</x:v>
      </x:c>
      <x:c r="M474" s="22" t="n">
        <x:f>IF(COUNT(I474:L474)=4,ROUND(I474*J474/12,2),"n.a.")</x:f>
        <x:v>0</x:v>
      </x:c>
      <x:c r="N474" s="22" t="n">
        <x:f>IF(COUNT(I474:M474)=5,MIN(I474+M474,ROUND(MAX(K474,I474*L474+M474),2)),"n.a.")</x:f>
        <x:v>0</x:v>
      </x:c>
      <x:c r="O474" s="30" t="n">
        <x:f>IF(COUNT($I$472:$I$476)&lt;&gt;5,"n.a.",IF(I474=0,6,IF('Inputs'!$D$5=1,COUNTIFS($I$472:$I$476,"&gt;0",$I$472:$I$476,"&lt;"&amp;I474)+COUNTIFS($I$472:I474,I474),COUNTIFS($I$472:$I$476,"&gt;0",$J$472:$J$476,"&gt;"&amp;J474)+COUNTIFS($I$472:I474,"&gt;0",$J$472:J474,J474))))</x:f>
        <x:v>6</x:v>
      </x:c>
      <x:c r="P474" s="22" t="n">
        <x:f>IF(T474="Ready",MIN(U474,MAX(0,G474-SUMIFS($U$472:$U$476,$O$472:$O$476,"&lt;"&amp;O474))),"n.a.")</x:f>
        <x:v>0</x:v>
      </x:c>
      <x:c r="Q474" s="22" t="n">
        <x:f>IF(T474="Ready",ROUND(N474+P474,2),"n.a.")</x:f>
        <x:v>0</x:v>
      </x:c>
      <x:c r="R474" s="22" t="n">
        <x:f>IF(T474="Ready",ROUND(Q474-M474,2),"n.a.")</x:f>
        <x:v>0</x:v>
      </x:c>
      <x:c r="S474" s="22" t="n">
        <x:f>IF(T474="Ready",MAX(0,ROUND(I474+M474-Q474,2)),"n.a.")</x:f>
        <x:v>0</x:v>
      </x:c>
      <x:c r="T474" s="22" t="str">
        <x:f>IF(AND(COUNT($I$472:$I$476)=5,COUNT(E474:F474)=2),IF(E474&gt;=F474,"Ready","Budget below minima"),"Check inputs")</x:f>
        <x:v>Ready</x:v>
      </x:c>
      <x:c r="U474" s="22" t="n">
        <x:f>IF(COUNT(I474,M474,N474)=3,MAX(0,ROUND(I474+M474-N474,2)),"n.a.")</x:f>
        <x:v>0</x:v>
      </x:c>
    </x:row>
    <x:row r="475" ht="22" customHeight="1">
      <x:c r="A475" s="2"/>
      <x:c r="B475" s="2"/>
      <x:c r="C475" s="27" t="n">
        <x:f>94</x:f>
        <x:v>94</x:v>
      </x:c>
      <x:c r="D475" s="28" t="n">
        <x:f>IF(ISNUMBER('Inputs'!$D$7),EDATE('Inputs'!$D$7,93),"n.a.")</x:f>
        <x:v>49157</x:v>
      </x:c>
      <x:c r="E475" s="26" t="n">
        <x:f>IF('Inputs'!$D$9&lt;&gt;"Ready","n.a.",IF(ISNUMBER('Inputs'!E112),IF('Inputs'!E112&gt;=0,'Inputs'!E112,"n.a."),IF('Inputs'!E112="",'Inputs'!$D$6,"n.a.")))</x:f>
        <x:v>500</x:v>
      </x:c>
      <x:c r="F475" s="22" t="n">
        <x:f>IF(COUNT($N$472:$N$476)=5,SUM($N$472:$N$476),"n.a.")</x:f>
        <x:v>0</x:v>
      </x:c>
      <x:c r="G475" s="22" t="n">
        <x:f>IF(COUNT(E475:F475)=2,MAX(0,E475-F475),"n.a.")</x:f>
        <x:v>500</x:v>
      </x:c>
      <x:c r="H475" s="26" t="str">
        <x:f>'Inputs'!C14</x:f>
        <x:v>Unused 4</x:v>
      </x:c>
      <x:c r="I475" s="26" t="n">
        <x:f>S470</x:f>
        <x:v>0</x:v>
      </x:c>
      <x:c r="J475" s="29" t="n">
        <x:f>IF('Inputs'!$D$9="Ready",'Inputs'!E14,"n.a.")</x:f>
        <x:v>0</x:v>
      </x:c>
      <x:c r="K475" s="26" t="n">
        <x:f>IF('Inputs'!$D$9="Ready",'Inputs'!F14,"n.a.")</x:f>
        <x:v>0</x:v>
      </x:c>
      <x:c r="L475" s="29" t="n">
        <x:f>IF('Inputs'!$D$9="Ready",'Inputs'!G14,"n.a.")</x:f>
        <x:v>0</x:v>
      </x:c>
      <x:c r="M475" s="22" t="n">
        <x:f>IF(COUNT(I475:L475)=4,ROUND(I475*J475/12,2),"n.a.")</x:f>
        <x:v>0</x:v>
      </x:c>
      <x:c r="N475" s="22" t="n">
        <x:f>IF(COUNT(I475:M475)=5,MIN(I475+M475,ROUND(MAX(K475,I475*L475+M475),2)),"n.a.")</x:f>
        <x:v>0</x:v>
      </x:c>
      <x:c r="O475" s="30" t="n">
        <x:f>IF(COUNT($I$472:$I$476)&lt;&gt;5,"n.a.",IF(I475=0,6,IF('Inputs'!$D$5=1,COUNTIFS($I$472:$I$476,"&gt;0",$I$472:$I$476,"&lt;"&amp;I475)+COUNTIFS($I$472:I475,I475),COUNTIFS($I$472:$I$476,"&gt;0",$J$472:$J$476,"&gt;"&amp;J475)+COUNTIFS($I$472:I475,"&gt;0",$J$472:J475,J475))))</x:f>
        <x:v>6</x:v>
      </x:c>
      <x:c r="P475" s="22" t="n">
        <x:f>IF(T475="Ready",MIN(U475,MAX(0,G475-SUMIFS($U$472:$U$476,$O$472:$O$476,"&lt;"&amp;O475))),"n.a.")</x:f>
        <x:v>0</x:v>
      </x:c>
      <x:c r="Q475" s="22" t="n">
        <x:f>IF(T475="Ready",ROUND(N475+P475,2),"n.a.")</x:f>
        <x:v>0</x:v>
      </x:c>
      <x:c r="R475" s="22" t="n">
        <x:f>IF(T475="Ready",ROUND(Q475-M475,2),"n.a.")</x:f>
        <x:v>0</x:v>
      </x:c>
      <x:c r="S475" s="22" t="n">
        <x:f>IF(T475="Ready",MAX(0,ROUND(I475+M475-Q475,2)),"n.a.")</x:f>
        <x:v>0</x:v>
      </x:c>
      <x:c r="T475" s="22" t="str">
        <x:f>IF(AND(COUNT($I$472:$I$476)=5,COUNT(E475:F475)=2),IF(E475&gt;=F475,"Ready","Budget below minima"),"Check inputs")</x:f>
        <x:v>Ready</x:v>
      </x:c>
      <x:c r="U475" s="22" t="n">
        <x:f>IF(COUNT(I475,M475,N475)=3,MAX(0,ROUND(I475+M475-N475,2)),"n.a.")</x:f>
        <x:v>0</x:v>
      </x:c>
    </x:row>
    <x:row r="476" ht="22" customHeight="1">
      <x:c r="A476" s="2"/>
      <x:c r="B476" s="2"/>
      <x:c r="C476" s="27" t="n">
        <x:f>94</x:f>
        <x:v>94</x:v>
      </x:c>
      <x:c r="D476" s="28" t="n">
        <x:f>IF(ISNUMBER('Inputs'!$D$7),EDATE('Inputs'!$D$7,93),"n.a.")</x:f>
        <x:v>49157</x:v>
      </x:c>
      <x:c r="E476" s="26" t="n">
        <x:f>IF('Inputs'!$D$9&lt;&gt;"Ready","n.a.",IF(ISNUMBER('Inputs'!E112),IF('Inputs'!E112&gt;=0,'Inputs'!E112,"n.a."),IF('Inputs'!E112="",'Inputs'!$D$6,"n.a.")))</x:f>
        <x:v>500</x:v>
      </x:c>
      <x:c r="F476" s="22" t="n">
        <x:f>IF(COUNT($N$472:$N$476)=5,SUM($N$472:$N$476),"n.a.")</x:f>
        <x:v>0</x:v>
      </x:c>
      <x:c r="G476" s="22" t="n">
        <x:f>IF(COUNT(E476:F476)=2,MAX(0,E476-F476),"n.a.")</x:f>
        <x:v>500</x:v>
      </x:c>
      <x:c r="H476" s="26" t="str">
        <x:f>'Inputs'!C15</x:f>
        <x:v>Unused 5</x:v>
      </x:c>
      <x:c r="I476" s="26" t="n">
        <x:f>S471</x:f>
        <x:v>0</x:v>
      </x:c>
      <x:c r="J476" s="29" t="n">
        <x:f>IF('Inputs'!$D$9="Ready",'Inputs'!E15,"n.a.")</x:f>
        <x:v>0</x:v>
      </x:c>
      <x:c r="K476" s="26" t="n">
        <x:f>IF('Inputs'!$D$9="Ready",'Inputs'!F15,"n.a.")</x:f>
        <x:v>0</x:v>
      </x:c>
      <x:c r="L476" s="29" t="n">
        <x:f>IF('Inputs'!$D$9="Ready",'Inputs'!G15,"n.a.")</x:f>
        <x:v>0</x:v>
      </x:c>
      <x:c r="M476" s="22" t="n">
        <x:f>IF(COUNT(I476:L476)=4,ROUND(I476*J476/12,2),"n.a.")</x:f>
        <x:v>0</x:v>
      </x:c>
      <x:c r="N476" s="22" t="n">
        <x:f>IF(COUNT(I476:M476)=5,MIN(I476+M476,ROUND(MAX(K476,I476*L476+M476),2)),"n.a.")</x:f>
        <x:v>0</x:v>
      </x:c>
      <x:c r="O476" s="30" t="n">
        <x:f>IF(COUNT($I$472:$I$476)&lt;&gt;5,"n.a.",IF(I476=0,6,IF('Inputs'!$D$5=1,COUNTIFS($I$472:$I$476,"&gt;0",$I$472:$I$476,"&lt;"&amp;I476)+COUNTIFS($I$472:I476,I476),COUNTIFS($I$472:$I$476,"&gt;0",$J$472:$J$476,"&gt;"&amp;J476)+COUNTIFS($I$472:I476,"&gt;0",$J$472:J476,J476))))</x:f>
        <x:v>6</x:v>
      </x:c>
      <x:c r="P476" s="22" t="n">
        <x:f>IF(T476="Ready",MIN(U476,MAX(0,G476-SUMIFS($U$472:$U$476,$O$472:$O$476,"&lt;"&amp;O476))),"n.a.")</x:f>
        <x:v>0</x:v>
      </x:c>
      <x:c r="Q476" s="22" t="n">
        <x:f>IF(T476="Ready",ROUND(N476+P476,2),"n.a.")</x:f>
        <x:v>0</x:v>
      </x:c>
      <x:c r="R476" s="22" t="n">
        <x:f>IF(T476="Ready",ROUND(Q476-M476,2),"n.a.")</x:f>
        <x:v>0</x:v>
      </x:c>
      <x:c r="S476" s="22" t="n">
        <x:f>IF(T476="Ready",MAX(0,ROUND(I476+M476-Q476,2)),"n.a.")</x:f>
        <x:v>0</x:v>
      </x:c>
      <x:c r="T476" s="22" t="str">
        <x:f>IF(AND(COUNT($I$472:$I$476)=5,COUNT(E476:F476)=2),IF(E476&gt;=F476,"Ready","Budget below minima"),"Check inputs")</x:f>
        <x:v>Ready</x:v>
      </x:c>
      <x:c r="U476" s="22" t="n">
        <x:f>IF(COUNT(I476,M476,N476)=3,MAX(0,ROUND(I476+M476-N476,2)),"n.a.")</x:f>
        <x:v>0</x:v>
      </x:c>
    </x:row>
    <x:row r="477" ht="22" customHeight="1">
      <x:c r="A477" s="2"/>
      <x:c r="B477" s="2"/>
      <x:c r="C477" s="27" t="n">
        <x:f>95</x:f>
        <x:v>95</x:v>
      </x:c>
      <x:c r="D477" s="28" t="n">
        <x:f>IF(ISNUMBER('Inputs'!$D$7),EDATE('Inputs'!$D$7,94),"n.a.")</x:f>
        <x:v>49188</x:v>
      </x:c>
      <x:c r="E477" s="26" t="n">
        <x:f>IF('Inputs'!$D$9&lt;&gt;"Ready","n.a.",IF(ISNUMBER('Inputs'!E113),IF('Inputs'!E113&gt;=0,'Inputs'!E113,"n.a."),IF('Inputs'!E113="",'Inputs'!$D$6,"n.a.")))</x:f>
        <x:v>500</x:v>
      </x:c>
      <x:c r="F477" s="22" t="n">
        <x:f>IF(COUNT($N$477:$N$481)=5,SUM($N$477:$N$481),"n.a.")</x:f>
        <x:v>0</x:v>
      </x:c>
      <x:c r="G477" s="22" t="n">
        <x:f>IF(COUNT(E477:F477)=2,MAX(0,E477-F477),"n.a.")</x:f>
        <x:v>500</x:v>
      </x:c>
      <x:c r="H477" s="26" t="str">
        <x:f>'Inputs'!C11</x:f>
        <x:v>Card A</x:v>
      </x:c>
      <x:c r="I477" s="26" t="n">
        <x:f>S472</x:f>
        <x:v>0</x:v>
      </x:c>
      <x:c r="J477" s="29" t="n">
        <x:f>IF('Inputs'!$D$9="Ready",'Inputs'!E11,"n.a.")</x:f>
        <x:v>0.24</x:v>
      </x:c>
      <x:c r="K477" s="26" t="n">
        <x:f>IF('Inputs'!$D$9="Ready",'Inputs'!F11,"n.a.")</x:f>
        <x:v>35</x:v>
      </x:c>
      <x:c r="L477" s="29" t="n">
        <x:f>IF('Inputs'!$D$9="Ready",'Inputs'!G11,"n.a.")</x:f>
        <x:v>0.02</x:v>
      </x:c>
      <x:c r="M477" s="22" t="n">
        <x:f>IF(COUNT(I477:L477)=4,ROUND(I477*J477/12,2),"n.a.")</x:f>
        <x:v>0</x:v>
      </x:c>
      <x:c r="N477" s="22" t="n">
        <x:f>IF(COUNT(I477:M477)=5,MIN(I477+M477,ROUND(MAX(K477,I477*L477+M477),2)),"n.a.")</x:f>
        <x:v>0</x:v>
      </x:c>
      <x:c r="O477" s="30" t="n">
        <x:f>IF(COUNT($I$477:$I$481)&lt;&gt;5,"n.a.",IF(I477=0,6,IF('Inputs'!$D$5=1,COUNTIFS($I$477:$I$481,"&gt;0",$I$477:$I$481,"&lt;"&amp;I477)+COUNTIFS($I$477:I477,I477),COUNTIFS($I$477:$I$481,"&gt;0",$J$477:$J$481,"&gt;"&amp;J477)+COUNTIFS($I$477:I477,"&gt;0",$J$477:J477,J477))))</x:f>
        <x:v>6</x:v>
      </x:c>
      <x:c r="P477" s="22" t="n">
        <x:f>IF(T477="Ready",MIN(U477,MAX(0,G477-SUMIFS($U$477:$U$481,$O$477:$O$481,"&lt;"&amp;O477))),"n.a.")</x:f>
        <x:v>0</x:v>
      </x:c>
      <x:c r="Q477" s="22" t="n">
        <x:f>IF(T477="Ready",ROUND(N477+P477,2),"n.a.")</x:f>
        <x:v>0</x:v>
      </x:c>
      <x:c r="R477" s="22" t="n">
        <x:f>IF(T477="Ready",ROUND(Q477-M477,2),"n.a.")</x:f>
        <x:v>0</x:v>
      </x:c>
      <x:c r="S477" s="22" t="n">
        <x:f>IF(T477="Ready",MAX(0,ROUND(I477+M477-Q477,2)),"n.a.")</x:f>
        <x:v>0</x:v>
      </x:c>
      <x:c r="T477" s="22" t="str">
        <x:f>IF(AND(COUNT($I$477:$I$481)=5,COUNT(E477:F477)=2),IF(E477&gt;=F477,"Ready","Budget below minima"),"Check inputs")</x:f>
        <x:v>Ready</x:v>
      </x:c>
      <x:c r="U477" s="22" t="n">
        <x:f>IF(COUNT(I477,M477,N477)=3,MAX(0,ROUND(I477+M477-N477,2)),"n.a.")</x:f>
        <x:v>0</x:v>
      </x:c>
    </x:row>
    <x:row r="478" ht="22" customHeight="1">
      <x:c r="A478" s="2"/>
      <x:c r="B478" s="2"/>
      <x:c r="C478" s="27" t="n">
        <x:f>95</x:f>
        <x:v>95</x:v>
      </x:c>
      <x:c r="D478" s="28" t="n">
        <x:f>IF(ISNUMBER('Inputs'!$D$7),EDATE('Inputs'!$D$7,94),"n.a.")</x:f>
        <x:v>49188</x:v>
      </x:c>
      <x:c r="E478" s="26" t="n">
        <x:f>IF('Inputs'!$D$9&lt;&gt;"Ready","n.a.",IF(ISNUMBER('Inputs'!E113),IF('Inputs'!E113&gt;=0,'Inputs'!E113,"n.a."),IF('Inputs'!E113="",'Inputs'!$D$6,"n.a.")))</x:f>
        <x:v>500</x:v>
      </x:c>
      <x:c r="F478" s="22" t="n">
        <x:f>IF(COUNT($N$477:$N$481)=5,SUM($N$477:$N$481),"n.a.")</x:f>
        <x:v>0</x:v>
      </x:c>
      <x:c r="G478" s="22" t="n">
        <x:f>IF(COUNT(E478:F478)=2,MAX(0,E478-F478),"n.a.")</x:f>
        <x:v>500</x:v>
      </x:c>
      <x:c r="H478" s="26" t="str">
        <x:f>'Inputs'!C12</x:f>
        <x:v>Card B</x:v>
      </x:c>
      <x:c r="I478" s="26" t="n">
        <x:f>S473</x:f>
        <x:v>0</x:v>
      </x:c>
      <x:c r="J478" s="29" t="n">
        <x:f>IF('Inputs'!$D$9="Ready",'Inputs'!E12,"n.a.")</x:f>
        <x:v>0.18</x:v>
      </x:c>
      <x:c r="K478" s="26" t="n">
        <x:f>IF('Inputs'!$D$9="Ready",'Inputs'!F12,"n.a.")</x:f>
        <x:v>60</x:v>
      </x:c>
      <x:c r="L478" s="29" t="n">
        <x:f>IF('Inputs'!$D$9="Ready",'Inputs'!G12,"n.a.")</x:f>
        <x:v>0.02</x:v>
      </x:c>
      <x:c r="M478" s="22" t="n">
        <x:f>IF(COUNT(I478:L478)=4,ROUND(I478*J478/12,2),"n.a.")</x:f>
        <x:v>0</x:v>
      </x:c>
      <x:c r="N478" s="22" t="n">
        <x:f>IF(COUNT(I478:M478)=5,MIN(I478+M478,ROUND(MAX(K478,I478*L478+M478),2)),"n.a.")</x:f>
        <x:v>0</x:v>
      </x:c>
      <x:c r="O478" s="30" t="n">
        <x:f>IF(COUNT($I$477:$I$481)&lt;&gt;5,"n.a.",IF(I478=0,6,IF('Inputs'!$D$5=1,COUNTIFS($I$477:$I$481,"&gt;0",$I$477:$I$481,"&lt;"&amp;I478)+COUNTIFS($I$477:I478,I478),COUNTIFS($I$477:$I$481,"&gt;0",$J$477:$J$481,"&gt;"&amp;J478)+COUNTIFS($I$477:I478,"&gt;0",$J$477:J478,J478))))</x:f>
        <x:v>6</x:v>
      </x:c>
      <x:c r="P478" s="22" t="n">
        <x:f>IF(T478="Ready",MIN(U478,MAX(0,G478-SUMIFS($U$477:$U$481,$O$477:$O$481,"&lt;"&amp;O478))),"n.a.")</x:f>
        <x:v>0</x:v>
      </x:c>
      <x:c r="Q478" s="22" t="n">
        <x:f>IF(T478="Ready",ROUND(N478+P478,2),"n.a.")</x:f>
        <x:v>0</x:v>
      </x:c>
      <x:c r="R478" s="22" t="n">
        <x:f>IF(T478="Ready",ROUND(Q478-M478,2),"n.a.")</x:f>
        <x:v>0</x:v>
      </x:c>
      <x:c r="S478" s="22" t="n">
        <x:f>IF(T478="Ready",MAX(0,ROUND(I478+M478-Q478,2)),"n.a.")</x:f>
        <x:v>0</x:v>
      </x:c>
      <x:c r="T478" s="22" t="str">
        <x:f>IF(AND(COUNT($I$477:$I$481)=5,COUNT(E478:F478)=2),IF(E478&gt;=F478,"Ready","Budget below minima"),"Check inputs")</x:f>
        <x:v>Ready</x:v>
      </x:c>
      <x:c r="U478" s="22" t="n">
        <x:f>IF(COUNT(I478,M478,N478)=3,MAX(0,ROUND(I478+M478-N478,2)),"n.a.")</x:f>
        <x:v>0</x:v>
      </x:c>
    </x:row>
    <x:row r="479" ht="22" customHeight="1">
      <x:c r="A479" s="2"/>
      <x:c r="B479" s="2"/>
      <x:c r="C479" s="27" t="n">
        <x:f>95</x:f>
        <x:v>95</x:v>
      </x:c>
      <x:c r="D479" s="28" t="n">
        <x:f>IF(ISNUMBER('Inputs'!$D$7),EDATE('Inputs'!$D$7,94),"n.a.")</x:f>
        <x:v>49188</x:v>
      </x:c>
      <x:c r="E479" s="26" t="n">
        <x:f>IF('Inputs'!$D$9&lt;&gt;"Ready","n.a.",IF(ISNUMBER('Inputs'!E113),IF('Inputs'!E113&gt;=0,'Inputs'!E113,"n.a."),IF('Inputs'!E113="",'Inputs'!$D$6,"n.a.")))</x:f>
        <x:v>500</x:v>
      </x:c>
      <x:c r="F479" s="22" t="n">
        <x:f>IF(COUNT($N$477:$N$481)=5,SUM($N$477:$N$481),"n.a.")</x:f>
        <x:v>0</x:v>
      </x:c>
      <x:c r="G479" s="22" t="n">
        <x:f>IF(COUNT(E479:F479)=2,MAX(0,E479-F479),"n.a.")</x:f>
        <x:v>500</x:v>
      </x:c>
      <x:c r="H479" s="26" t="str">
        <x:f>'Inputs'!C13</x:f>
        <x:v>Loan C</x:v>
      </x:c>
      <x:c r="I479" s="26" t="n">
        <x:f>S474</x:f>
        <x:v>0</x:v>
      </x:c>
      <x:c r="J479" s="29" t="n">
        <x:f>IF('Inputs'!$D$9="Ready",'Inputs'!E13,"n.a.")</x:f>
        <x:v>0.08</x:v>
      </x:c>
      <x:c r="K479" s="26" t="n">
        <x:f>IF('Inputs'!$D$9="Ready",'Inputs'!F13,"n.a.")</x:f>
        <x:v>150</x:v>
      </x:c>
      <x:c r="L479" s="29" t="n">
        <x:f>IF('Inputs'!$D$9="Ready",'Inputs'!G13,"n.a.")</x:f>
        <x:v>0</x:v>
      </x:c>
      <x:c r="M479" s="22" t="n">
        <x:f>IF(COUNT(I479:L479)=4,ROUND(I479*J479/12,2),"n.a.")</x:f>
        <x:v>0</x:v>
      </x:c>
      <x:c r="N479" s="22" t="n">
        <x:f>IF(COUNT(I479:M479)=5,MIN(I479+M479,ROUND(MAX(K479,I479*L479+M479),2)),"n.a.")</x:f>
        <x:v>0</x:v>
      </x:c>
      <x:c r="O479" s="30" t="n">
        <x:f>IF(COUNT($I$477:$I$481)&lt;&gt;5,"n.a.",IF(I479=0,6,IF('Inputs'!$D$5=1,COUNTIFS($I$477:$I$481,"&gt;0",$I$477:$I$481,"&lt;"&amp;I479)+COUNTIFS($I$477:I479,I479),COUNTIFS($I$477:$I$481,"&gt;0",$J$477:$J$481,"&gt;"&amp;J479)+COUNTIFS($I$477:I479,"&gt;0",$J$477:J479,J479))))</x:f>
        <x:v>6</x:v>
      </x:c>
      <x:c r="P479" s="22" t="n">
        <x:f>IF(T479="Ready",MIN(U479,MAX(0,G479-SUMIFS($U$477:$U$481,$O$477:$O$481,"&lt;"&amp;O479))),"n.a.")</x:f>
        <x:v>0</x:v>
      </x:c>
      <x:c r="Q479" s="22" t="n">
        <x:f>IF(T479="Ready",ROUND(N479+P479,2),"n.a.")</x:f>
        <x:v>0</x:v>
      </x:c>
      <x:c r="R479" s="22" t="n">
        <x:f>IF(T479="Ready",ROUND(Q479-M479,2),"n.a.")</x:f>
        <x:v>0</x:v>
      </x:c>
      <x:c r="S479" s="22" t="n">
        <x:f>IF(T479="Ready",MAX(0,ROUND(I479+M479-Q479,2)),"n.a.")</x:f>
        <x:v>0</x:v>
      </x:c>
      <x:c r="T479" s="22" t="str">
        <x:f>IF(AND(COUNT($I$477:$I$481)=5,COUNT(E479:F479)=2),IF(E479&gt;=F479,"Ready","Budget below minima"),"Check inputs")</x:f>
        <x:v>Ready</x:v>
      </x:c>
      <x:c r="U479" s="22" t="n">
        <x:f>IF(COUNT(I479,M479,N479)=3,MAX(0,ROUND(I479+M479-N479,2)),"n.a.")</x:f>
        <x:v>0</x:v>
      </x:c>
    </x:row>
    <x:row r="480" ht="22" customHeight="1">
      <x:c r="A480" s="2"/>
      <x:c r="B480" s="2"/>
      <x:c r="C480" s="27" t="n">
        <x:f>95</x:f>
        <x:v>95</x:v>
      </x:c>
      <x:c r="D480" s="28" t="n">
        <x:f>IF(ISNUMBER('Inputs'!$D$7),EDATE('Inputs'!$D$7,94),"n.a.")</x:f>
        <x:v>49188</x:v>
      </x:c>
      <x:c r="E480" s="26" t="n">
        <x:f>IF('Inputs'!$D$9&lt;&gt;"Ready","n.a.",IF(ISNUMBER('Inputs'!E113),IF('Inputs'!E113&gt;=0,'Inputs'!E113,"n.a."),IF('Inputs'!E113="",'Inputs'!$D$6,"n.a.")))</x:f>
        <x:v>500</x:v>
      </x:c>
      <x:c r="F480" s="22" t="n">
        <x:f>IF(COUNT($N$477:$N$481)=5,SUM($N$477:$N$481),"n.a.")</x:f>
        <x:v>0</x:v>
      </x:c>
      <x:c r="G480" s="22" t="n">
        <x:f>IF(COUNT(E480:F480)=2,MAX(0,E480-F480),"n.a.")</x:f>
        <x:v>500</x:v>
      </x:c>
      <x:c r="H480" s="26" t="str">
        <x:f>'Inputs'!C14</x:f>
        <x:v>Unused 4</x:v>
      </x:c>
      <x:c r="I480" s="26" t="n">
        <x:f>S475</x:f>
        <x:v>0</x:v>
      </x:c>
      <x:c r="J480" s="29" t="n">
        <x:f>IF('Inputs'!$D$9="Ready",'Inputs'!E14,"n.a.")</x:f>
        <x:v>0</x:v>
      </x:c>
      <x:c r="K480" s="26" t="n">
        <x:f>IF('Inputs'!$D$9="Ready",'Inputs'!F14,"n.a.")</x:f>
        <x:v>0</x:v>
      </x:c>
      <x:c r="L480" s="29" t="n">
        <x:f>IF('Inputs'!$D$9="Ready",'Inputs'!G14,"n.a.")</x:f>
        <x:v>0</x:v>
      </x:c>
      <x:c r="M480" s="22" t="n">
        <x:f>IF(COUNT(I480:L480)=4,ROUND(I480*J480/12,2),"n.a.")</x:f>
        <x:v>0</x:v>
      </x:c>
      <x:c r="N480" s="22" t="n">
        <x:f>IF(COUNT(I480:M480)=5,MIN(I480+M480,ROUND(MAX(K480,I480*L480+M480),2)),"n.a.")</x:f>
        <x:v>0</x:v>
      </x:c>
      <x:c r="O480" s="30" t="n">
        <x:f>IF(COUNT($I$477:$I$481)&lt;&gt;5,"n.a.",IF(I480=0,6,IF('Inputs'!$D$5=1,COUNTIFS($I$477:$I$481,"&gt;0",$I$477:$I$481,"&lt;"&amp;I480)+COUNTIFS($I$477:I480,I480),COUNTIFS($I$477:$I$481,"&gt;0",$J$477:$J$481,"&gt;"&amp;J480)+COUNTIFS($I$477:I480,"&gt;0",$J$477:J480,J480))))</x:f>
        <x:v>6</x:v>
      </x:c>
      <x:c r="P480" s="22" t="n">
        <x:f>IF(T480="Ready",MIN(U480,MAX(0,G480-SUMIFS($U$477:$U$481,$O$477:$O$481,"&lt;"&amp;O480))),"n.a.")</x:f>
        <x:v>0</x:v>
      </x:c>
      <x:c r="Q480" s="22" t="n">
        <x:f>IF(T480="Ready",ROUND(N480+P480,2),"n.a.")</x:f>
        <x:v>0</x:v>
      </x:c>
      <x:c r="R480" s="22" t="n">
        <x:f>IF(T480="Ready",ROUND(Q480-M480,2),"n.a.")</x:f>
        <x:v>0</x:v>
      </x:c>
      <x:c r="S480" s="22" t="n">
        <x:f>IF(T480="Ready",MAX(0,ROUND(I480+M480-Q480,2)),"n.a.")</x:f>
        <x:v>0</x:v>
      </x:c>
      <x:c r="T480" s="22" t="str">
        <x:f>IF(AND(COUNT($I$477:$I$481)=5,COUNT(E480:F480)=2),IF(E480&gt;=F480,"Ready","Budget below minima"),"Check inputs")</x:f>
        <x:v>Ready</x:v>
      </x:c>
      <x:c r="U480" s="22" t="n">
        <x:f>IF(COUNT(I480,M480,N480)=3,MAX(0,ROUND(I480+M480-N480,2)),"n.a.")</x:f>
        <x:v>0</x:v>
      </x:c>
    </x:row>
    <x:row r="481" ht="22" customHeight="1">
      <x:c r="A481" s="2"/>
      <x:c r="B481" s="2"/>
      <x:c r="C481" s="27" t="n">
        <x:f>95</x:f>
        <x:v>95</x:v>
      </x:c>
      <x:c r="D481" s="28" t="n">
        <x:f>IF(ISNUMBER('Inputs'!$D$7),EDATE('Inputs'!$D$7,94),"n.a.")</x:f>
        <x:v>49188</x:v>
      </x:c>
      <x:c r="E481" s="26" t="n">
        <x:f>IF('Inputs'!$D$9&lt;&gt;"Ready","n.a.",IF(ISNUMBER('Inputs'!E113),IF('Inputs'!E113&gt;=0,'Inputs'!E113,"n.a."),IF('Inputs'!E113="",'Inputs'!$D$6,"n.a.")))</x:f>
        <x:v>500</x:v>
      </x:c>
      <x:c r="F481" s="22" t="n">
        <x:f>IF(COUNT($N$477:$N$481)=5,SUM($N$477:$N$481),"n.a.")</x:f>
        <x:v>0</x:v>
      </x:c>
      <x:c r="G481" s="22" t="n">
        <x:f>IF(COUNT(E481:F481)=2,MAX(0,E481-F481),"n.a.")</x:f>
        <x:v>500</x:v>
      </x:c>
      <x:c r="H481" s="26" t="str">
        <x:f>'Inputs'!C15</x:f>
        <x:v>Unused 5</x:v>
      </x:c>
      <x:c r="I481" s="26" t="n">
        <x:f>S476</x:f>
        <x:v>0</x:v>
      </x:c>
      <x:c r="J481" s="29" t="n">
        <x:f>IF('Inputs'!$D$9="Ready",'Inputs'!E15,"n.a.")</x:f>
        <x:v>0</x:v>
      </x:c>
      <x:c r="K481" s="26" t="n">
        <x:f>IF('Inputs'!$D$9="Ready",'Inputs'!F15,"n.a.")</x:f>
        <x:v>0</x:v>
      </x:c>
      <x:c r="L481" s="29" t="n">
        <x:f>IF('Inputs'!$D$9="Ready",'Inputs'!G15,"n.a.")</x:f>
        <x:v>0</x:v>
      </x:c>
      <x:c r="M481" s="22" t="n">
        <x:f>IF(COUNT(I481:L481)=4,ROUND(I481*J481/12,2),"n.a.")</x:f>
        <x:v>0</x:v>
      </x:c>
      <x:c r="N481" s="22" t="n">
        <x:f>IF(COUNT(I481:M481)=5,MIN(I481+M481,ROUND(MAX(K481,I481*L481+M481),2)),"n.a.")</x:f>
        <x:v>0</x:v>
      </x:c>
      <x:c r="O481" s="30" t="n">
        <x:f>IF(COUNT($I$477:$I$481)&lt;&gt;5,"n.a.",IF(I481=0,6,IF('Inputs'!$D$5=1,COUNTIFS($I$477:$I$481,"&gt;0",$I$477:$I$481,"&lt;"&amp;I481)+COUNTIFS($I$477:I481,I481),COUNTIFS($I$477:$I$481,"&gt;0",$J$477:$J$481,"&gt;"&amp;J481)+COUNTIFS($I$477:I481,"&gt;0",$J$477:J481,J481))))</x:f>
        <x:v>6</x:v>
      </x:c>
      <x:c r="P481" s="22" t="n">
        <x:f>IF(T481="Ready",MIN(U481,MAX(0,G481-SUMIFS($U$477:$U$481,$O$477:$O$481,"&lt;"&amp;O481))),"n.a.")</x:f>
        <x:v>0</x:v>
      </x:c>
      <x:c r="Q481" s="22" t="n">
        <x:f>IF(T481="Ready",ROUND(N481+P481,2),"n.a.")</x:f>
        <x:v>0</x:v>
      </x:c>
      <x:c r="R481" s="22" t="n">
        <x:f>IF(T481="Ready",ROUND(Q481-M481,2),"n.a.")</x:f>
        <x:v>0</x:v>
      </x:c>
      <x:c r="S481" s="22" t="n">
        <x:f>IF(T481="Ready",MAX(0,ROUND(I481+M481-Q481,2)),"n.a.")</x:f>
        <x:v>0</x:v>
      </x:c>
      <x:c r="T481" s="22" t="str">
        <x:f>IF(AND(COUNT($I$477:$I$481)=5,COUNT(E481:F481)=2),IF(E481&gt;=F481,"Ready","Budget below minima"),"Check inputs")</x:f>
        <x:v>Ready</x:v>
      </x:c>
      <x:c r="U481" s="22" t="n">
        <x:f>IF(COUNT(I481,M481,N481)=3,MAX(0,ROUND(I481+M481-N481,2)),"n.a.")</x:f>
        <x:v>0</x:v>
      </x:c>
    </x:row>
    <x:row r="482" ht="22" customHeight="1">
      <x:c r="A482" s="2"/>
      <x:c r="B482" s="2"/>
      <x:c r="C482" s="27" t="n">
        <x:f>96</x:f>
        <x:v>96</x:v>
      </x:c>
      <x:c r="D482" s="28" t="n">
        <x:f>IF(ISNUMBER('Inputs'!$D$7),EDATE('Inputs'!$D$7,95),"n.a.")</x:f>
        <x:v>49218</x:v>
      </x:c>
      <x:c r="E482" s="26" t="n">
        <x:f>IF('Inputs'!$D$9&lt;&gt;"Ready","n.a.",IF(ISNUMBER('Inputs'!E114),IF('Inputs'!E114&gt;=0,'Inputs'!E114,"n.a."),IF('Inputs'!E114="",'Inputs'!$D$6,"n.a.")))</x:f>
        <x:v>500</x:v>
      </x:c>
      <x:c r="F482" s="22" t="n">
        <x:f>IF(COUNT($N$482:$N$486)=5,SUM($N$482:$N$486),"n.a.")</x:f>
        <x:v>0</x:v>
      </x:c>
      <x:c r="G482" s="22" t="n">
        <x:f>IF(COUNT(E482:F482)=2,MAX(0,E482-F482),"n.a.")</x:f>
        <x:v>500</x:v>
      </x:c>
      <x:c r="H482" s="26" t="str">
        <x:f>'Inputs'!C11</x:f>
        <x:v>Card A</x:v>
      </x:c>
      <x:c r="I482" s="26" t="n">
        <x:f>S477</x:f>
        <x:v>0</x:v>
      </x:c>
      <x:c r="J482" s="29" t="n">
        <x:f>IF('Inputs'!$D$9="Ready",'Inputs'!E11,"n.a.")</x:f>
        <x:v>0.24</x:v>
      </x:c>
      <x:c r="K482" s="26" t="n">
        <x:f>IF('Inputs'!$D$9="Ready",'Inputs'!F11,"n.a.")</x:f>
        <x:v>35</x:v>
      </x:c>
      <x:c r="L482" s="29" t="n">
        <x:f>IF('Inputs'!$D$9="Ready",'Inputs'!G11,"n.a.")</x:f>
        <x:v>0.02</x:v>
      </x:c>
      <x:c r="M482" s="22" t="n">
        <x:f>IF(COUNT(I482:L482)=4,ROUND(I482*J482/12,2),"n.a.")</x:f>
        <x:v>0</x:v>
      </x:c>
      <x:c r="N482" s="22" t="n">
        <x:f>IF(COUNT(I482:M482)=5,MIN(I482+M482,ROUND(MAX(K482,I482*L482+M482),2)),"n.a.")</x:f>
        <x:v>0</x:v>
      </x:c>
      <x:c r="O482" s="30" t="n">
        <x:f>IF(COUNT($I$482:$I$486)&lt;&gt;5,"n.a.",IF(I482=0,6,IF('Inputs'!$D$5=1,COUNTIFS($I$482:$I$486,"&gt;0",$I$482:$I$486,"&lt;"&amp;I482)+COUNTIFS($I$482:I482,I482),COUNTIFS($I$482:$I$486,"&gt;0",$J$482:$J$486,"&gt;"&amp;J482)+COUNTIFS($I$482:I482,"&gt;0",$J$482:J482,J482))))</x:f>
        <x:v>6</x:v>
      </x:c>
      <x:c r="P482" s="22" t="n">
        <x:f>IF(T482="Ready",MIN(U482,MAX(0,G482-SUMIFS($U$482:$U$486,$O$482:$O$486,"&lt;"&amp;O482))),"n.a.")</x:f>
        <x:v>0</x:v>
      </x:c>
      <x:c r="Q482" s="22" t="n">
        <x:f>IF(T482="Ready",ROUND(N482+P482,2),"n.a.")</x:f>
        <x:v>0</x:v>
      </x:c>
      <x:c r="R482" s="22" t="n">
        <x:f>IF(T482="Ready",ROUND(Q482-M482,2),"n.a.")</x:f>
        <x:v>0</x:v>
      </x:c>
      <x:c r="S482" s="22" t="n">
        <x:f>IF(T482="Ready",MAX(0,ROUND(I482+M482-Q482,2)),"n.a.")</x:f>
        <x:v>0</x:v>
      </x:c>
      <x:c r="T482" s="22" t="str">
        <x:f>IF(AND(COUNT($I$482:$I$486)=5,COUNT(E482:F482)=2),IF(E482&gt;=F482,"Ready","Budget below minima"),"Check inputs")</x:f>
        <x:v>Ready</x:v>
      </x:c>
      <x:c r="U482" s="22" t="n">
        <x:f>IF(COUNT(I482,M482,N482)=3,MAX(0,ROUND(I482+M482-N482,2)),"n.a.")</x:f>
        <x:v>0</x:v>
      </x:c>
    </x:row>
    <x:row r="483" ht="22" customHeight="1">
      <x:c r="A483" s="2"/>
      <x:c r="B483" s="2"/>
      <x:c r="C483" s="27" t="n">
        <x:f>96</x:f>
        <x:v>96</x:v>
      </x:c>
      <x:c r="D483" s="28" t="n">
        <x:f>IF(ISNUMBER('Inputs'!$D$7),EDATE('Inputs'!$D$7,95),"n.a.")</x:f>
        <x:v>49218</x:v>
      </x:c>
      <x:c r="E483" s="26" t="n">
        <x:f>IF('Inputs'!$D$9&lt;&gt;"Ready","n.a.",IF(ISNUMBER('Inputs'!E114),IF('Inputs'!E114&gt;=0,'Inputs'!E114,"n.a."),IF('Inputs'!E114="",'Inputs'!$D$6,"n.a.")))</x:f>
        <x:v>500</x:v>
      </x:c>
      <x:c r="F483" s="22" t="n">
        <x:f>IF(COUNT($N$482:$N$486)=5,SUM($N$482:$N$486),"n.a.")</x:f>
        <x:v>0</x:v>
      </x:c>
      <x:c r="G483" s="22" t="n">
        <x:f>IF(COUNT(E483:F483)=2,MAX(0,E483-F483),"n.a.")</x:f>
        <x:v>500</x:v>
      </x:c>
      <x:c r="H483" s="26" t="str">
        <x:f>'Inputs'!C12</x:f>
        <x:v>Card B</x:v>
      </x:c>
      <x:c r="I483" s="26" t="n">
        <x:f>S478</x:f>
        <x:v>0</x:v>
      </x:c>
      <x:c r="J483" s="29" t="n">
        <x:f>IF('Inputs'!$D$9="Ready",'Inputs'!E12,"n.a.")</x:f>
        <x:v>0.18</x:v>
      </x:c>
      <x:c r="K483" s="26" t="n">
        <x:f>IF('Inputs'!$D$9="Ready",'Inputs'!F12,"n.a.")</x:f>
        <x:v>60</x:v>
      </x:c>
      <x:c r="L483" s="29" t="n">
        <x:f>IF('Inputs'!$D$9="Ready",'Inputs'!G12,"n.a.")</x:f>
        <x:v>0.02</x:v>
      </x:c>
      <x:c r="M483" s="22" t="n">
        <x:f>IF(COUNT(I483:L483)=4,ROUND(I483*J483/12,2),"n.a.")</x:f>
        <x:v>0</x:v>
      </x:c>
      <x:c r="N483" s="22" t="n">
        <x:f>IF(COUNT(I483:M483)=5,MIN(I483+M483,ROUND(MAX(K483,I483*L483+M483),2)),"n.a.")</x:f>
        <x:v>0</x:v>
      </x:c>
      <x:c r="O483" s="30" t="n">
        <x:f>IF(COUNT($I$482:$I$486)&lt;&gt;5,"n.a.",IF(I483=0,6,IF('Inputs'!$D$5=1,COUNTIFS($I$482:$I$486,"&gt;0",$I$482:$I$486,"&lt;"&amp;I483)+COUNTIFS($I$482:I483,I483),COUNTIFS($I$482:$I$486,"&gt;0",$J$482:$J$486,"&gt;"&amp;J483)+COUNTIFS($I$482:I483,"&gt;0",$J$482:J483,J483))))</x:f>
        <x:v>6</x:v>
      </x:c>
      <x:c r="P483" s="22" t="n">
        <x:f>IF(T483="Ready",MIN(U483,MAX(0,G483-SUMIFS($U$482:$U$486,$O$482:$O$486,"&lt;"&amp;O483))),"n.a.")</x:f>
        <x:v>0</x:v>
      </x:c>
      <x:c r="Q483" s="22" t="n">
        <x:f>IF(T483="Ready",ROUND(N483+P483,2),"n.a.")</x:f>
        <x:v>0</x:v>
      </x:c>
      <x:c r="R483" s="22" t="n">
        <x:f>IF(T483="Ready",ROUND(Q483-M483,2),"n.a.")</x:f>
        <x:v>0</x:v>
      </x:c>
      <x:c r="S483" s="22" t="n">
        <x:f>IF(T483="Ready",MAX(0,ROUND(I483+M483-Q483,2)),"n.a.")</x:f>
        <x:v>0</x:v>
      </x:c>
      <x:c r="T483" s="22" t="str">
        <x:f>IF(AND(COUNT($I$482:$I$486)=5,COUNT(E483:F483)=2),IF(E483&gt;=F483,"Ready","Budget below minima"),"Check inputs")</x:f>
        <x:v>Ready</x:v>
      </x:c>
      <x:c r="U483" s="22" t="n">
        <x:f>IF(COUNT(I483,M483,N483)=3,MAX(0,ROUND(I483+M483-N483,2)),"n.a.")</x:f>
        <x:v>0</x:v>
      </x:c>
    </x:row>
    <x:row r="484" ht="22" customHeight="1">
      <x:c r="A484" s="2"/>
      <x:c r="B484" s="2"/>
      <x:c r="C484" s="27" t="n">
        <x:f>96</x:f>
        <x:v>96</x:v>
      </x:c>
      <x:c r="D484" s="28" t="n">
        <x:f>IF(ISNUMBER('Inputs'!$D$7),EDATE('Inputs'!$D$7,95),"n.a.")</x:f>
        <x:v>49218</x:v>
      </x:c>
      <x:c r="E484" s="26" t="n">
        <x:f>IF('Inputs'!$D$9&lt;&gt;"Ready","n.a.",IF(ISNUMBER('Inputs'!E114),IF('Inputs'!E114&gt;=0,'Inputs'!E114,"n.a."),IF('Inputs'!E114="",'Inputs'!$D$6,"n.a.")))</x:f>
        <x:v>500</x:v>
      </x:c>
      <x:c r="F484" s="22" t="n">
        <x:f>IF(COUNT($N$482:$N$486)=5,SUM($N$482:$N$486),"n.a.")</x:f>
        <x:v>0</x:v>
      </x:c>
      <x:c r="G484" s="22" t="n">
        <x:f>IF(COUNT(E484:F484)=2,MAX(0,E484-F484),"n.a.")</x:f>
        <x:v>500</x:v>
      </x:c>
      <x:c r="H484" s="26" t="str">
        <x:f>'Inputs'!C13</x:f>
        <x:v>Loan C</x:v>
      </x:c>
      <x:c r="I484" s="26" t="n">
        <x:f>S479</x:f>
        <x:v>0</x:v>
      </x:c>
      <x:c r="J484" s="29" t="n">
        <x:f>IF('Inputs'!$D$9="Ready",'Inputs'!E13,"n.a.")</x:f>
        <x:v>0.08</x:v>
      </x:c>
      <x:c r="K484" s="26" t="n">
        <x:f>IF('Inputs'!$D$9="Ready",'Inputs'!F13,"n.a.")</x:f>
        <x:v>150</x:v>
      </x:c>
      <x:c r="L484" s="29" t="n">
        <x:f>IF('Inputs'!$D$9="Ready",'Inputs'!G13,"n.a.")</x:f>
        <x:v>0</x:v>
      </x:c>
      <x:c r="M484" s="22" t="n">
        <x:f>IF(COUNT(I484:L484)=4,ROUND(I484*J484/12,2),"n.a.")</x:f>
        <x:v>0</x:v>
      </x:c>
      <x:c r="N484" s="22" t="n">
        <x:f>IF(COUNT(I484:M484)=5,MIN(I484+M484,ROUND(MAX(K484,I484*L484+M484),2)),"n.a.")</x:f>
        <x:v>0</x:v>
      </x:c>
      <x:c r="O484" s="30" t="n">
        <x:f>IF(COUNT($I$482:$I$486)&lt;&gt;5,"n.a.",IF(I484=0,6,IF('Inputs'!$D$5=1,COUNTIFS($I$482:$I$486,"&gt;0",$I$482:$I$486,"&lt;"&amp;I484)+COUNTIFS($I$482:I484,I484),COUNTIFS($I$482:$I$486,"&gt;0",$J$482:$J$486,"&gt;"&amp;J484)+COUNTIFS($I$482:I484,"&gt;0",$J$482:J484,J484))))</x:f>
        <x:v>6</x:v>
      </x:c>
      <x:c r="P484" s="22" t="n">
        <x:f>IF(T484="Ready",MIN(U484,MAX(0,G484-SUMIFS($U$482:$U$486,$O$482:$O$486,"&lt;"&amp;O484))),"n.a.")</x:f>
        <x:v>0</x:v>
      </x:c>
      <x:c r="Q484" s="22" t="n">
        <x:f>IF(T484="Ready",ROUND(N484+P484,2),"n.a.")</x:f>
        <x:v>0</x:v>
      </x:c>
      <x:c r="R484" s="22" t="n">
        <x:f>IF(T484="Ready",ROUND(Q484-M484,2),"n.a.")</x:f>
        <x:v>0</x:v>
      </x:c>
      <x:c r="S484" s="22" t="n">
        <x:f>IF(T484="Ready",MAX(0,ROUND(I484+M484-Q484,2)),"n.a.")</x:f>
        <x:v>0</x:v>
      </x:c>
      <x:c r="T484" s="22" t="str">
        <x:f>IF(AND(COUNT($I$482:$I$486)=5,COUNT(E484:F484)=2),IF(E484&gt;=F484,"Ready","Budget below minima"),"Check inputs")</x:f>
        <x:v>Ready</x:v>
      </x:c>
      <x:c r="U484" s="22" t="n">
        <x:f>IF(COUNT(I484,M484,N484)=3,MAX(0,ROUND(I484+M484-N484,2)),"n.a.")</x:f>
        <x:v>0</x:v>
      </x:c>
    </x:row>
    <x:row r="485" ht="22" customHeight="1">
      <x:c r="A485" s="2"/>
      <x:c r="B485" s="2"/>
      <x:c r="C485" s="27" t="n">
        <x:f>96</x:f>
        <x:v>96</x:v>
      </x:c>
      <x:c r="D485" s="28" t="n">
        <x:f>IF(ISNUMBER('Inputs'!$D$7),EDATE('Inputs'!$D$7,95),"n.a.")</x:f>
        <x:v>49218</x:v>
      </x:c>
      <x:c r="E485" s="26" t="n">
        <x:f>IF('Inputs'!$D$9&lt;&gt;"Ready","n.a.",IF(ISNUMBER('Inputs'!E114),IF('Inputs'!E114&gt;=0,'Inputs'!E114,"n.a."),IF('Inputs'!E114="",'Inputs'!$D$6,"n.a.")))</x:f>
        <x:v>500</x:v>
      </x:c>
      <x:c r="F485" s="22" t="n">
        <x:f>IF(COUNT($N$482:$N$486)=5,SUM($N$482:$N$486),"n.a.")</x:f>
        <x:v>0</x:v>
      </x:c>
      <x:c r="G485" s="22" t="n">
        <x:f>IF(COUNT(E485:F485)=2,MAX(0,E485-F485),"n.a.")</x:f>
        <x:v>500</x:v>
      </x:c>
      <x:c r="H485" s="26" t="str">
        <x:f>'Inputs'!C14</x:f>
        <x:v>Unused 4</x:v>
      </x:c>
      <x:c r="I485" s="26" t="n">
        <x:f>S480</x:f>
        <x:v>0</x:v>
      </x:c>
      <x:c r="J485" s="29" t="n">
        <x:f>IF('Inputs'!$D$9="Ready",'Inputs'!E14,"n.a.")</x:f>
        <x:v>0</x:v>
      </x:c>
      <x:c r="K485" s="26" t="n">
        <x:f>IF('Inputs'!$D$9="Ready",'Inputs'!F14,"n.a.")</x:f>
        <x:v>0</x:v>
      </x:c>
      <x:c r="L485" s="29" t="n">
        <x:f>IF('Inputs'!$D$9="Ready",'Inputs'!G14,"n.a.")</x:f>
        <x:v>0</x:v>
      </x:c>
      <x:c r="M485" s="22" t="n">
        <x:f>IF(COUNT(I485:L485)=4,ROUND(I485*J485/12,2),"n.a.")</x:f>
        <x:v>0</x:v>
      </x:c>
      <x:c r="N485" s="22" t="n">
        <x:f>IF(COUNT(I485:M485)=5,MIN(I485+M485,ROUND(MAX(K485,I485*L485+M485),2)),"n.a.")</x:f>
        <x:v>0</x:v>
      </x:c>
      <x:c r="O485" s="30" t="n">
        <x:f>IF(COUNT($I$482:$I$486)&lt;&gt;5,"n.a.",IF(I485=0,6,IF('Inputs'!$D$5=1,COUNTIFS($I$482:$I$486,"&gt;0",$I$482:$I$486,"&lt;"&amp;I485)+COUNTIFS($I$482:I485,I485),COUNTIFS($I$482:$I$486,"&gt;0",$J$482:$J$486,"&gt;"&amp;J485)+COUNTIFS($I$482:I485,"&gt;0",$J$482:J485,J485))))</x:f>
        <x:v>6</x:v>
      </x:c>
      <x:c r="P485" s="22" t="n">
        <x:f>IF(T485="Ready",MIN(U485,MAX(0,G485-SUMIFS($U$482:$U$486,$O$482:$O$486,"&lt;"&amp;O485))),"n.a.")</x:f>
        <x:v>0</x:v>
      </x:c>
      <x:c r="Q485" s="22" t="n">
        <x:f>IF(T485="Ready",ROUND(N485+P485,2),"n.a.")</x:f>
        <x:v>0</x:v>
      </x:c>
      <x:c r="R485" s="22" t="n">
        <x:f>IF(T485="Ready",ROUND(Q485-M485,2),"n.a.")</x:f>
        <x:v>0</x:v>
      </x:c>
      <x:c r="S485" s="22" t="n">
        <x:f>IF(T485="Ready",MAX(0,ROUND(I485+M485-Q485,2)),"n.a.")</x:f>
        <x:v>0</x:v>
      </x:c>
      <x:c r="T485" s="22" t="str">
        <x:f>IF(AND(COUNT($I$482:$I$486)=5,COUNT(E485:F485)=2),IF(E485&gt;=F485,"Ready","Budget below minima"),"Check inputs")</x:f>
        <x:v>Ready</x:v>
      </x:c>
      <x:c r="U485" s="22" t="n">
        <x:f>IF(COUNT(I485,M485,N485)=3,MAX(0,ROUND(I485+M485-N485,2)),"n.a.")</x:f>
        <x:v>0</x:v>
      </x:c>
    </x:row>
    <x:row r="486" ht="22" customHeight="1">
      <x:c r="A486" s="2"/>
      <x:c r="B486" s="2"/>
      <x:c r="C486" s="27" t="n">
        <x:f>96</x:f>
        <x:v>96</x:v>
      </x:c>
      <x:c r="D486" s="28" t="n">
        <x:f>IF(ISNUMBER('Inputs'!$D$7),EDATE('Inputs'!$D$7,95),"n.a.")</x:f>
        <x:v>49218</x:v>
      </x:c>
      <x:c r="E486" s="26" t="n">
        <x:f>IF('Inputs'!$D$9&lt;&gt;"Ready","n.a.",IF(ISNUMBER('Inputs'!E114),IF('Inputs'!E114&gt;=0,'Inputs'!E114,"n.a."),IF('Inputs'!E114="",'Inputs'!$D$6,"n.a.")))</x:f>
        <x:v>500</x:v>
      </x:c>
      <x:c r="F486" s="22" t="n">
        <x:f>IF(COUNT($N$482:$N$486)=5,SUM($N$482:$N$486),"n.a.")</x:f>
        <x:v>0</x:v>
      </x:c>
      <x:c r="G486" s="22" t="n">
        <x:f>IF(COUNT(E486:F486)=2,MAX(0,E486-F486),"n.a.")</x:f>
        <x:v>500</x:v>
      </x:c>
      <x:c r="H486" s="26" t="str">
        <x:f>'Inputs'!C15</x:f>
        <x:v>Unused 5</x:v>
      </x:c>
      <x:c r="I486" s="26" t="n">
        <x:f>S481</x:f>
        <x:v>0</x:v>
      </x:c>
      <x:c r="J486" s="29" t="n">
        <x:f>IF('Inputs'!$D$9="Ready",'Inputs'!E15,"n.a.")</x:f>
        <x:v>0</x:v>
      </x:c>
      <x:c r="K486" s="26" t="n">
        <x:f>IF('Inputs'!$D$9="Ready",'Inputs'!F15,"n.a.")</x:f>
        <x:v>0</x:v>
      </x:c>
      <x:c r="L486" s="29" t="n">
        <x:f>IF('Inputs'!$D$9="Ready",'Inputs'!G15,"n.a.")</x:f>
        <x:v>0</x:v>
      </x:c>
      <x:c r="M486" s="22" t="n">
        <x:f>IF(COUNT(I486:L486)=4,ROUND(I486*J486/12,2),"n.a.")</x:f>
        <x:v>0</x:v>
      </x:c>
      <x:c r="N486" s="22" t="n">
        <x:f>IF(COUNT(I486:M486)=5,MIN(I486+M486,ROUND(MAX(K486,I486*L486+M486),2)),"n.a.")</x:f>
        <x:v>0</x:v>
      </x:c>
      <x:c r="O486" s="30" t="n">
        <x:f>IF(COUNT($I$482:$I$486)&lt;&gt;5,"n.a.",IF(I486=0,6,IF('Inputs'!$D$5=1,COUNTIFS($I$482:$I$486,"&gt;0",$I$482:$I$486,"&lt;"&amp;I486)+COUNTIFS($I$482:I486,I486),COUNTIFS($I$482:$I$486,"&gt;0",$J$482:$J$486,"&gt;"&amp;J486)+COUNTIFS($I$482:I486,"&gt;0",$J$482:J486,J486))))</x:f>
        <x:v>6</x:v>
      </x:c>
      <x:c r="P486" s="22" t="n">
        <x:f>IF(T486="Ready",MIN(U486,MAX(0,G486-SUMIFS($U$482:$U$486,$O$482:$O$486,"&lt;"&amp;O486))),"n.a.")</x:f>
        <x:v>0</x:v>
      </x:c>
      <x:c r="Q486" s="22" t="n">
        <x:f>IF(T486="Ready",ROUND(N486+P486,2),"n.a.")</x:f>
        <x:v>0</x:v>
      </x:c>
      <x:c r="R486" s="22" t="n">
        <x:f>IF(T486="Ready",ROUND(Q486-M486,2),"n.a.")</x:f>
        <x:v>0</x:v>
      </x:c>
      <x:c r="S486" s="22" t="n">
        <x:f>IF(T486="Ready",MAX(0,ROUND(I486+M486-Q486,2)),"n.a.")</x:f>
        <x:v>0</x:v>
      </x:c>
      <x:c r="T486" s="22" t="str">
        <x:f>IF(AND(COUNT($I$482:$I$486)=5,COUNT(E486:F486)=2),IF(E486&gt;=F486,"Ready","Budget below minima"),"Check inputs")</x:f>
        <x:v>Ready</x:v>
      </x:c>
      <x:c r="U486" s="22" t="n">
        <x:f>IF(COUNT(I486,M486,N486)=3,MAX(0,ROUND(I486+M486-N486,2)),"n.a.")</x:f>
        <x:v>0</x:v>
      </x:c>
    </x:row>
    <x:row r="487" ht="22" customHeight="1">
      <x:c r="A487" s="2"/>
      <x:c r="B487" s="2"/>
      <x:c r="C487" s="27" t="n">
        <x:f>97</x:f>
        <x:v>97</x:v>
      </x:c>
      <x:c r="D487" s="28" t="n">
        <x:f>IF(ISNUMBER('Inputs'!$D$7),EDATE('Inputs'!$D$7,96),"n.a.")</x:f>
        <x:v>49249</x:v>
      </x:c>
      <x:c r="E487" s="26" t="n">
        <x:f>IF('Inputs'!$D$9&lt;&gt;"Ready","n.a.",IF(ISNUMBER('Inputs'!E115),IF('Inputs'!E115&gt;=0,'Inputs'!E115,"n.a."),IF('Inputs'!E115="",'Inputs'!$D$6,"n.a.")))</x:f>
        <x:v>500</x:v>
      </x:c>
      <x:c r="F487" s="22" t="n">
        <x:f>IF(COUNT($N$487:$N$491)=5,SUM($N$487:$N$491),"n.a.")</x:f>
        <x:v>0</x:v>
      </x:c>
      <x:c r="G487" s="22" t="n">
        <x:f>IF(COUNT(E487:F487)=2,MAX(0,E487-F487),"n.a.")</x:f>
        <x:v>500</x:v>
      </x:c>
      <x:c r="H487" s="26" t="str">
        <x:f>'Inputs'!C11</x:f>
        <x:v>Card A</x:v>
      </x:c>
      <x:c r="I487" s="26" t="n">
        <x:f>S482</x:f>
        <x:v>0</x:v>
      </x:c>
      <x:c r="J487" s="29" t="n">
        <x:f>IF('Inputs'!$D$9="Ready",'Inputs'!E11,"n.a.")</x:f>
        <x:v>0.24</x:v>
      </x:c>
      <x:c r="K487" s="26" t="n">
        <x:f>IF('Inputs'!$D$9="Ready",'Inputs'!F11,"n.a.")</x:f>
        <x:v>35</x:v>
      </x:c>
      <x:c r="L487" s="29" t="n">
        <x:f>IF('Inputs'!$D$9="Ready",'Inputs'!G11,"n.a.")</x:f>
        <x:v>0.02</x:v>
      </x:c>
      <x:c r="M487" s="22" t="n">
        <x:f>IF(COUNT(I487:L487)=4,ROUND(I487*J487/12,2),"n.a.")</x:f>
        <x:v>0</x:v>
      </x:c>
      <x:c r="N487" s="22" t="n">
        <x:f>IF(COUNT(I487:M487)=5,MIN(I487+M487,ROUND(MAX(K487,I487*L487+M487),2)),"n.a.")</x:f>
        <x:v>0</x:v>
      </x:c>
      <x:c r="O487" s="30" t="n">
        <x:f>IF(COUNT($I$487:$I$491)&lt;&gt;5,"n.a.",IF(I487=0,6,IF('Inputs'!$D$5=1,COUNTIFS($I$487:$I$491,"&gt;0",$I$487:$I$491,"&lt;"&amp;I487)+COUNTIFS($I$487:I487,I487),COUNTIFS($I$487:$I$491,"&gt;0",$J$487:$J$491,"&gt;"&amp;J487)+COUNTIFS($I$487:I487,"&gt;0",$J$487:J487,J487))))</x:f>
        <x:v>6</x:v>
      </x:c>
      <x:c r="P487" s="22" t="n">
        <x:f>IF(T487="Ready",MIN(U487,MAX(0,G487-SUMIFS($U$487:$U$491,$O$487:$O$491,"&lt;"&amp;O487))),"n.a.")</x:f>
        <x:v>0</x:v>
      </x:c>
      <x:c r="Q487" s="22" t="n">
        <x:f>IF(T487="Ready",ROUND(N487+P487,2),"n.a.")</x:f>
        <x:v>0</x:v>
      </x:c>
      <x:c r="R487" s="22" t="n">
        <x:f>IF(T487="Ready",ROUND(Q487-M487,2),"n.a.")</x:f>
        <x:v>0</x:v>
      </x:c>
      <x:c r="S487" s="22" t="n">
        <x:f>IF(T487="Ready",MAX(0,ROUND(I487+M487-Q487,2)),"n.a.")</x:f>
        <x:v>0</x:v>
      </x:c>
      <x:c r="T487" s="22" t="str">
        <x:f>IF(AND(COUNT($I$487:$I$491)=5,COUNT(E487:F487)=2),IF(E487&gt;=F487,"Ready","Budget below minima"),"Check inputs")</x:f>
        <x:v>Ready</x:v>
      </x:c>
      <x:c r="U487" s="22" t="n">
        <x:f>IF(COUNT(I487,M487,N487)=3,MAX(0,ROUND(I487+M487-N487,2)),"n.a.")</x:f>
        <x:v>0</x:v>
      </x:c>
    </x:row>
    <x:row r="488" ht="22" customHeight="1">
      <x:c r="A488" s="2"/>
      <x:c r="B488" s="2"/>
      <x:c r="C488" s="27" t="n">
        <x:f>97</x:f>
        <x:v>97</x:v>
      </x:c>
      <x:c r="D488" s="28" t="n">
        <x:f>IF(ISNUMBER('Inputs'!$D$7),EDATE('Inputs'!$D$7,96),"n.a.")</x:f>
        <x:v>49249</x:v>
      </x:c>
      <x:c r="E488" s="26" t="n">
        <x:f>IF('Inputs'!$D$9&lt;&gt;"Ready","n.a.",IF(ISNUMBER('Inputs'!E115),IF('Inputs'!E115&gt;=0,'Inputs'!E115,"n.a."),IF('Inputs'!E115="",'Inputs'!$D$6,"n.a.")))</x:f>
        <x:v>500</x:v>
      </x:c>
      <x:c r="F488" s="22" t="n">
        <x:f>IF(COUNT($N$487:$N$491)=5,SUM($N$487:$N$491),"n.a.")</x:f>
        <x:v>0</x:v>
      </x:c>
      <x:c r="G488" s="22" t="n">
        <x:f>IF(COUNT(E488:F488)=2,MAX(0,E488-F488),"n.a.")</x:f>
        <x:v>500</x:v>
      </x:c>
      <x:c r="H488" s="26" t="str">
        <x:f>'Inputs'!C12</x:f>
        <x:v>Card B</x:v>
      </x:c>
      <x:c r="I488" s="26" t="n">
        <x:f>S483</x:f>
        <x:v>0</x:v>
      </x:c>
      <x:c r="J488" s="29" t="n">
        <x:f>IF('Inputs'!$D$9="Ready",'Inputs'!E12,"n.a.")</x:f>
        <x:v>0.18</x:v>
      </x:c>
      <x:c r="K488" s="26" t="n">
        <x:f>IF('Inputs'!$D$9="Ready",'Inputs'!F12,"n.a.")</x:f>
        <x:v>60</x:v>
      </x:c>
      <x:c r="L488" s="29" t="n">
        <x:f>IF('Inputs'!$D$9="Ready",'Inputs'!G12,"n.a.")</x:f>
        <x:v>0.02</x:v>
      </x:c>
      <x:c r="M488" s="22" t="n">
        <x:f>IF(COUNT(I488:L488)=4,ROUND(I488*J488/12,2),"n.a.")</x:f>
        <x:v>0</x:v>
      </x:c>
      <x:c r="N488" s="22" t="n">
        <x:f>IF(COUNT(I488:M488)=5,MIN(I488+M488,ROUND(MAX(K488,I488*L488+M488),2)),"n.a.")</x:f>
        <x:v>0</x:v>
      </x:c>
      <x:c r="O488" s="30" t="n">
        <x:f>IF(COUNT($I$487:$I$491)&lt;&gt;5,"n.a.",IF(I488=0,6,IF('Inputs'!$D$5=1,COUNTIFS($I$487:$I$491,"&gt;0",$I$487:$I$491,"&lt;"&amp;I488)+COUNTIFS($I$487:I488,I488),COUNTIFS($I$487:$I$491,"&gt;0",$J$487:$J$491,"&gt;"&amp;J488)+COUNTIFS($I$487:I488,"&gt;0",$J$487:J488,J488))))</x:f>
        <x:v>6</x:v>
      </x:c>
      <x:c r="P488" s="22" t="n">
        <x:f>IF(T488="Ready",MIN(U488,MAX(0,G488-SUMIFS($U$487:$U$491,$O$487:$O$491,"&lt;"&amp;O488))),"n.a.")</x:f>
        <x:v>0</x:v>
      </x:c>
      <x:c r="Q488" s="22" t="n">
        <x:f>IF(T488="Ready",ROUND(N488+P488,2),"n.a.")</x:f>
        <x:v>0</x:v>
      </x:c>
      <x:c r="R488" s="22" t="n">
        <x:f>IF(T488="Ready",ROUND(Q488-M488,2),"n.a.")</x:f>
        <x:v>0</x:v>
      </x:c>
      <x:c r="S488" s="22" t="n">
        <x:f>IF(T488="Ready",MAX(0,ROUND(I488+M488-Q488,2)),"n.a.")</x:f>
        <x:v>0</x:v>
      </x:c>
      <x:c r="T488" s="22" t="str">
        <x:f>IF(AND(COUNT($I$487:$I$491)=5,COUNT(E488:F488)=2),IF(E488&gt;=F488,"Ready","Budget below minima"),"Check inputs")</x:f>
        <x:v>Ready</x:v>
      </x:c>
      <x:c r="U488" s="22" t="n">
        <x:f>IF(COUNT(I488,M488,N488)=3,MAX(0,ROUND(I488+M488-N488,2)),"n.a.")</x:f>
        <x:v>0</x:v>
      </x:c>
    </x:row>
    <x:row r="489" ht="22" customHeight="1">
      <x:c r="A489" s="2"/>
      <x:c r="B489" s="2"/>
      <x:c r="C489" s="27" t="n">
        <x:f>97</x:f>
        <x:v>97</x:v>
      </x:c>
      <x:c r="D489" s="28" t="n">
        <x:f>IF(ISNUMBER('Inputs'!$D$7),EDATE('Inputs'!$D$7,96),"n.a.")</x:f>
        <x:v>49249</x:v>
      </x:c>
      <x:c r="E489" s="26" t="n">
        <x:f>IF('Inputs'!$D$9&lt;&gt;"Ready","n.a.",IF(ISNUMBER('Inputs'!E115),IF('Inputs'!E115&gt;=0,'Inputs'!E115,"n.a."),IF('Inputs'!E115="",'Inputs'!$D$6,"n.a.")))</x:f>
        <x:v>500</x:v>
      </x:c>
      <x:c r="F489" s="22" t="n">
        <x:f>IF(COUNT($N$487:$N$491)=5,SUM($N$487:$N$491),"n.a.")</x:f>
        <x:v>0</x:v>
      </x:c>
      <x:c r="G489" s="22" t="n">
        <x:f>IF(COUNT(E489:F489)=2,MAX(0,E489-F489),"n.a.")</x:f>
        <x:v>500</x:v>
      </x:c>
      <x:c r="H489" s="26" t="str">
        <x:f>'Inputs'!C13</x:f>
        <x:v>Loan C</x:v>
      </x:c>
      <x:c r="I489" s="26" t="n">
        <x:f>S484</x:f>
        <x:v>0</x:v>
      </x:c>
      <x:c r="J489" s="29" t="n">
        <x:f>IF('Inputs'!$D$9="Ready",'Inputs'!E13,"n.a.")</x:f>
        <x:v>0.08</x:v>
      </x:c>
      <x:c r="K489" s="26" t="n">
        <x:f>IF('Inputs'!$D$9="Ready",'Inputs'!F13,"n.a.")</x:f>
        <x:v>150</x:v>
      </x:c>
      <x:c r="L489" s="29" t="n">
        <x:f>IF('Inputs'!$D$9="Ready",'Inputs'!G13,"n.a.")</x:f>
        <x:v>0</x:v>
      </x:c>
      <x:c r="M489" s="22" t="n">
        <x:f>IF(COUNT(I489:L489)=4,ROUND(I489*J489/12,2),"n.a.")</x:f>
        <x:v>0</x:v>
      </x:c>
      <x:c r="N489" s="22" t="n">
        <x:f>IF(COUNT(I489:M489)=5,MIN(I489+M489,ROUND(MAX(K489,I489*L489+M489),2)),"n.a.")</x:f>
        <x:v>0</x:v>
      </x:c>
      <x:c r="O489" s="30" t="n">
        <x:f>IF(COUNT($I$487:$I$491)&lt;&gt;5,"n.a.",IF(I489=0,6,IF('Inputs'!$D$5=1,COUNTIFS($I$487:$I$491,"&gt;0",$I$487:$I$491,"&lt;"&amp;I489)+COUNTIFS($I$487:I489,I489),COUNTIFS($I$487:$I$491,"&gt;0",$J$487:$J$491,"&gt;"&amp;J489)+COUNTIFS($I$487:I489,"&gt;0",$J$487:J489,J489))))</x:f>
        <x:v>6</x:v>
      </x:c>
      <x:c r="P489" s="22" t="n">
        <x:f>IF(T489="Ready",MIN(U489,MAX(0,G489-SUMIFS($U$487:$U$491,$O$487:$O$491,"&lt;"&amp;O489))),"n.a.")</x:f>
        <x:v>0</x:v>
      </x:c>
      <x:c r="Q489" s="22" t="n">
        <x:f>IF(T489="Ready",ROUND(N489+P489,2),"n.a.")</x:f>
        <x:v>0</x:v>
      </x:c>
      <x:c r="R489" s="22" t="n">
        <x:f>IF(T489="Ready",ROUND(Q489-M489,2),"n.a.")</x:f>
        <x:v>0</x:v>
      </x:c>
      <x:c r="S489" s="22" t="n">
        <x:f>IF(T489="Ready",MAX(0,ROUND(I489+M489-Q489,2)),"n.a.")</x:f>
        <x:v>0</x:v>
      </x:c>
      <x:c r="T489" s="22" t="str">
        <x:f>IF(AND(COUNT($I$487:$I$491)=5,COUNT(E489:F489)=2),IF(E489&gt;=F489,"Ready","Budget below minima"),"Check inputs")</x:f>
        <x:v>Ready</x:v>
      </x:c>
      <x:c r="U489" s="22" t="n">
        <x:f>IF(COUNT(I489,M489,N489)=3,MAX(0,ROUND(I489+M489-N489,2)),"n.a.")</x:f>
        <x:v>0</x:v>
      </x:c>
    </x:row>
    <x:row r="490" ht="22" customHeight="1">
      <x:c r="A490" s="2"/>
      <x:c r="B490" s="2"/>
      <x:c r="C490" s="27" t="n">
        <x:f>97</x:f>
        <x:v>97</x:v>
      </x:c>
      <x:c r="D490" s="28" t="n">
        <x:f>IF(ISNUMBER('Inputs'!$D$7),EDATE('Inputs'!$D$7,96),"n.a.")</x:f>
        <x:v>49249</x:v>
      </x:c>
      <x:c r="E490" s="26" t="n">
        <x:f>IF('Inputs'!$D$9&lt;&gt;"Ready","n.a.",IF(ISNUMBER('Inputs'!E115),IF('Inputs'!E115&gt;=0,'Inputs'!E115,"n.a."),IF('Inputs'!E115="",'Inputs'!$D$6,"n.a.")))</x:f>
        <x:v>500</x:v>
      </x:c>
      <x:c r="F490" s="22" t="n">
        <x:f>IF(COUNT($N$487:$N$491)=5,SUM($N$487:$N$491),"n.a.")</x:f>
        <x:v>0</x:v>
      </x:c>
      <x:c r="G490" s="22" t="n">
        <x:f>IF(COUNT(E490:F490)=2,MAX(0,E490-F490),"n.a.")</x:f>
        <x:v>500</x:v>
      </x:c>
      <x:c r="H490" s="26" t="str">
        <x:f>'Inputs'!C14</x:f>
        <x:v>Unused 4</x:v>
      </x:c>
      <x:c r="I490" s="26" t="n">
        <x:f>S485</x:f>
        <x:v>0</x:v>
      </x:c>
      <x:c r="J490" s="29" t="n">
        <x:f>IF('Inputs'!$D$9="Ready",'Inputs'!E14,"n.a.")</x:f>
        <x:v>0</x:v>
      </x:c>
      <x:c r="K490" s="26" t="n">
        <x:f>IF('Inputs'!$D$9="Ready",'Inputs'!F14,"n.a.")</x:f>
        <x:v>0</x:v>
      </x:c>
      <x:c r="L490" s="29" t="n">
        <x:f>IF('Inputs'!$D$9="Ready",'Inputs'!G14,"n.a.")</x:f>
        <x:v>0</x:v>
      </x:c>
      <x:c r="M490" s="22" t="n">
        <x:f>IF(COUNT(I490:L490)=4,ROUND(I490*J490/12,2),"n.a.")</x:f>
        <x:v>0</x:v>
      </x:c>
      <x:c r="N490" s="22" t="n">
        <x:f>IF(COUNT(I490:M490)=5,MIN(I490+M490,ROUND(MAX(K490,I490*L490+M490),2)),"n.a.")</x:f>
        <x:v>0</x:v>
      </x:c>
      <x:c r="O490" s="30" t="n">
        <x:f>IF(COUNT($I$487:$I$491)&lt;&gt;5,"n.a.",IF(I490=0,6,IF('Inputs'!$D$5=1,COUNTIFS($I$487:$I$491,"&gt;0",$I$487:$I$491,"&lt;"&amp;I490)+COUNTIFS($I$487:I490,I490),COUNTIFS($I$487:$I$491,"&gt;0",$J$487:$J$491,"&gt;"&amp;J490)+COUNTIFS($I$487:I490,"&gt;0",$J$487:J490,J490))))</x:f>
        <x:v>6</x:v>
      </x:c>
      <x:c r="P490" s="22" t="n">
        <x:f>IF(T490="Ready",MIN(U490,MAX(0,G490-SUMIFS($U$487:$U$491,$O$487:$O$491,"&lt;"&amp;O490))),"n.a.")</x:f>
        <x:v>0</x:v>
      </x:c>
      <x:c r="Q490" s="22" t="n">
        <x:f>IF(T490="Ready",ROUND(N490+P490,2),"n.a.")</x:f>
        <x:v>0</x:v>
      </x:c>
      <x:c r="R490" s="22" t="n">
        <x:f>IF(T490="Ready",ROUND(Q490-M490,2),"n.a.")</x:f>
        <x:v>0</x:v>
      </x:c>
      <x:c r="S490" s="22" t="n">
        <x:f>IF(T490="Ready",MAX(0,ROUND(I490+M490-Q490,2)),"n.a.")</x:f>
        <x:v>0</x:v>
      </x:c>
      <x:c r="T490" s="22" t="str">
        <x:f>IF(AND(COUNT($I$487:$I$491)=5,COUNT(E490:F490)=2),IF(E490&gt;=F490,"Ready","Budget below minima"),"Check inputs")</x:f>
        <x:v>Ready</x:v>
      </x:c>
      <x:c r="U490" s="22" t="n">
        <x:f>IF(COUNT(I490,M490,N490)=3,MAX(0,ROUND(I490+M490-N490,2)),"n.a.")</x:f>
        <x:v>0</x:v>
      </x:c>
    </x:row>
    <x:row r="491" ht="22" customHeight="1">
      <x:c r="A491" s="2"/>
      <x:c r="B491" s="2"/>
      <x:c r="C491" s="27" t="n">
        <x:f>97</x:f>
        <x:v>97</x:v>
      </x:c>
      <x:c r="D491" s="28" t="n">
        <x:f>IF(ISNUMBER('Inputs'!$D$7),EDATE('Inputs'!$D$7,96),"n.a.")</x:f>
        <x:v>49249</x:v>
      </x:c>
      <x:c r="E491" s="26" t="n">
        <x:f>IF('Inputs'!$D$9&lt;&gt;"Ready","n.a.",IF(ISNUMBER('Inputs'!E115),IF('Inputs'!E115&gt;=0,'Inputs'!E115,"n.a."),IF('Inputs'!E115="",'Inputs'!$D$6,"n.a.")))</x:f>
        <x:v>500</x:v>
      </x:c>
      <x:c r="F491" s="22" t="n">
        <x:f>IF(COUNT($N$487:$N$491)=5,SUM($N$487:$N$491),"n.a.")</x:f>
        <x:v>0</x:v>
      </x:c>
      <x:c r="G491" s="22" t="n">
        <x:f>IF(COUNT(E491:F491)=2,MAX(0,E491-F491),"n.a.")</x:f>
        <x:v>500</x:v>
      </x:c>
      <x:c r="H491" s="26" t="str">
        <x:f>'Inputs'!C15</x:f>
        <x:v>Unused 5</x:v>
      </x:c>
      <x:c r="I491" s="26" t="n">
        <x:f>S486</x:f>
        <x:v>0</x:v>
      </x:c>
      <x:c r="J491" s="29" t="n">
        <x:f>IF('Inputs'!$D$9="Ready",'Inputs'!E15,"n.a.")</x:f>
        <x:v>0</x:v>
      </x:c>
      <x:c r="K491" s="26" t="n">
        <x:f>IF('Inputs'!$D$9="Ready",'Inputs'!F15,"n.a.")</x:f>
        <x:v>0</x:v>
      </x:c>
      <x:c r="L491" s="29" t="n">
        <x:f>IF('Inputs'!$D$9="Ready",'Inputs'!G15,"n.a.")</x:f>
        <x:v>0</x:v>
      </x:c>
      <x:c r="M491" s="22" t="n">
        <x:f>IF(COUNT(I491:L491)=4,ROUND(I491*J491/12,2),"n.a.")</x:f>
        <x:v>0</x:v>
      </x:c>
      <x:c r="N491" s="22" t="n">
        <x:f>IF(COUNT(I491:M491)=5,MIN(I491+M491,ROUND(MAX(K491,I491*L491+M491),2)),"n.a.")</x:f>
        <x:v>0</x:v>
      </x:c>
      <x:c r="O491" s="30" t="n">
        <x:f>IF(COUNT($I$487:$I$491)&lt;&gt;5,"n.a.",IF(I491=0,6,IF('Inputs'!$D$5=1,COUNTIFS($I$487:$I$491,"&gt;0",$I$487:$I$491,"&lt;"&amp;I491)+COUNTIFS($I$487:I491,I491),COUNTIFS($I$487:$I$491,"&gt;0",$J$487:$J$491,"&gt;"&amp;J491)+COUNTIFS($I$487:I491,"&gt;0",$J$487:J491,J491))))</x:f>
        <x:v>6</x:v>
      </x:c>
      <x:c r="P491" s="22" t="n">
        <x:f>IF(T491="Ready",MIN(U491,MAX(0,G491-SUMIFS($U$487:$U$491,$O$487:$O$491,"&lt;"&amp;O491))),"n.a.")</x:f>
        <x:v>0</x:v>
      </x:c>
      <x:c r="Q491" s="22" t="n">
        <x:f>IF(T491="Ready",ROUND(N491+P491,2),"n.a.")</x:f>
        <x:v>0</x:v>
      </x:c>
      <x:c r="R491" s="22" t="n">
        <x:f>IF(T491="Ready",ROUND(Q491-M491,2),"n.a.")</x:f>
        <x:v>0</x:v>
      </x:c>
      <x:c r="S491" s="22" t="n">
        <x:f>IF(T491="Ready",MAX(0,ROUND(I491+M491-Q491,2)),"n.a.")</x:f>
        <x:v>0</x:v>
      </x:c>
      <x:c r="T491" s="22" t="str">
        <x:f>IF(AND(COUNT($I$487:$I$491)=5,COUNT(E491:F491)=2),IF(E491&gt;=F491,"Ready","Budget below minima"),"Check inputs")</x:f>
        <x:v>Ready</x:v>
      </x:c>
      <x:c r="U491" s="22" t="n">
        <x:f>IF(COUNT(I491,M491,N491)=3,MAX(0,ROUND(I491+M491-N491,2)),"n.a.")</x:f>
        <x:v>0</x:v>
      </x:c>
    </x:row>
    <x:row r="492" ht="22" customHeight="1">
      <x:c r="A492" s="2"/>
      <x:c r="B492" s="2"/>
      <x:c r="C492" s="27" t="n">
        <x:f>98</x:f>
        <x:v>98</x:v>
      </x:c>
      <x:c r="D492" s="28" t="n">
        <x:f>IF(ISNUMBER('Inputs'!$D$7),EDATE('Inputs'!$D$7,97),"n.a.")</x:f>
        <x:v>49279</x:v>
      </x:c>
      <x:c r="E492" s="26" t="n">
        <x:f>IF('Inputs'!$D$9&lt;&gt;"Ready","n.a.",IF(ISNUMBER('Inputs'!E116),IF('Inputs'!E116&gt;=0,'Inputs'!E116,"n.a."),IF('Inputs'!E116="",'Inputs'!$D$6,"n.a.")))</x:f>
        <x:v>500</x:v>
      </x:c>
      <x:c r="F492" s="22" t="n">
        <x:f>IF(COUNT($N$492:$N$496)=5,SUM($N$492:$N$496),"n.a.")</x:f>
        <x:v>0</x:v>
      </x:c>
      <x:c r="G492" s="22" t="n">
        <x:f>IF(COUNT(E492:F492)=2,MAX(0,E492-F492),"n.a.")</x:f>
        <x:v>500</x:v>
      </x:c>
      <x:c r="H492" s="26" t="str">
        <x:f>'Inputs'!C11</x:f>
        <x:v>Card A</x:v>
      </x:c>
      <x:c r="I492" s="26" t="n">
        <x:f>S487</x:f>
        <x:v>0</x:v>
      </x:c>
      <x:c r="J492" s="29" t="n">
        <x:f>IF('Inputs'!$D$9="Ready",'Inputs'!E11,"n.a.")</x:f>
        <x:v>0.24</x:v>
      </x:c>
      <x:c r="K492" s="26" t="n">
        <x:f>IF('Inputs'!$D$9="Ready",'Inputs'!F11,"n.a.")</x:f>
        <x:v>35</x:v>
      </x:c>
      <x:c r="L492" s="29" t="n">
        <x:f>IF('Inputs'!$D$9="Ready",'Inputs'!G11,"n.a.")</x:f>
        <x:v>0.02</x:v>
      </x:c>
      <x:c r="M492" s="22" t="n">
        <x:f>IF(COUNT(I492:L492)=4,ROUND(I492*J492/12,2),"n.a.")</x:f>
        <x:v>0</x:v>
      </x:c>
      <x:c r="N492" s="22" t="n">
        <x:f>IF(COUNT(I492:M492)=5,MIN(I492+M492,ROUND(MAX(K492,I492*L492+M492),2)),"n.a.")</x:f>
        <x:v>0</x:v>
      </x:c>
      <x:c r="O492" s="30" t="n">
        <x:f>IF(COUNT($I$492:$I$496)&lt;&gt;5,"n.a.",IF(I492=0,6,IF('Inputs'!$D$5=1,COUNTIFS($I$492:$I$496,"&gt;0",$I$492:$I$496,"&lt;"&amp;I492)+COUNTIFS($I$492:I492,I492),COUNTIFS($I$492:$I$496,"&gt;0",$J$492:$J$496,"&gt;"&amp;J492)+COUNTIFS($I$492:I492,"&gt;0",$J$492:J492,J492))))</x:f>
        <x:v>6</x:v>
      </x:c>
      <x:c r="P492" s="22" t="n">
        <x:f>IF(T492="Ready",MIN(U492,MAX(0,G492-SUMIFS($U$492:$U$496,$O$492:$O$496,"&lt;"&amp;O492))),"n.a.")</x:f>
        <x:v>0</x:v>
      </x:c>
      <x:c r="Q492" s="22" t="n">
        <x:f>IF(T492="Ready",ROUND(N492+P492,2),"n.a.")</x:f>
        <x:v>0</x:v>
      </x:c>
      <x:c r="R492" s="22" t="n">
        <x:f>IF(T492="Ready",ROUND(Q492-M492,2),"n.a.")</x:f>
        <x:v>0</x:v>
      </x:c>
      <x:c r="S492" s="22" t="n">
        <x:f>IF(T492="Ready",MAX(0,ROUND(I492+M492-Q492,2)),"n.a.")</x:f>
        <x:v>0</x:v>
      </x:c>
      <x:c r="T492" s="22" t="str">
        <x:f>IF(AND(COUNT($I$492:$I$496)=5,COUNT(E492:F492)=2),IF(E492&gt;=F492,"Ready","Budget below minima"),"Check inputs")</x:f>
        <x:v>Ready</x:v>
      </x:c>
      <x:c r="U492" s="22" t="n">
        <x:f>IF(COUNT(I492,M492,N492)=3,MAX(0,ROUND(I492+M492-N492,2)),"n.a.")</x:f>
        <x:v>0</x:v>
      </x:c>
    </x:row>
    <x:row r="493" ht="22" customHeight="1">
      <x:c r="A493" s="2"/>
      <x:c r="B493" s="2"/>
      <x:c r="C493" s="27" t="n">
        <x:f>98</x:f>
        <x:v>98</x:v>
      </x:c>
      <x:c r="D493" s="28" t="n">
        <x:f>IF(ISNUMBER('Inputs'!$D$7),EDATE('Inputs'!$D$7,97),"n.a.")</x:f>
        <x:v>49279</x:v>
      </x:c>
      <x:c r="E493" s="26" t="n">
        <x:f>IF('Inputs'!$D$9&lt;&gt;"Ready","n.a.",IF(ISNUMBER('Inputs'!E116),IF('Inputs'!E116&gt;=0,'Inputs'!E116,"n.a."),IF('Inputs'!E116="",'Inputs'!$D$6,"n.a.")))</x:f>
        <x:v>500</x:v>
      </x:c>
      <x:c r="F493" s="22" t="n">
        <x:f>IF(COUNT($N$492:$N$496)=5,SUM($N$492:$N$496),"n.a.")</x:f>
        <x:v>0</x:v>
      </x:c>
      <x:c r="G493" s="22" t="n">
        <x:f>IF(COUNT(E493:F493)=2,MAX(0,E493-F493),"n.a.")</x:f>
        <x:v>500</x:v>
      </x:c>
      <x:c r="H493" s="26" t="str">
        <x:f>'Inputs'!C12</x:f>
        <x:v>Card B</x:v>
      </x:c>
      <x:c r="I493" s="26" t="n">
        <x:f>S488</x:f>
        <x:v>0</x:v>
      </x:c>
      <x:c r="J493" s="29" t="n">
        <x:f>IF('Inputs'!$D$9="Ready",'Inputs'!E12,"n.a.")</x:f>
        <x:v>0.18</x:v>
      </x:c>
      <x:c r="K493" s="26" t="n">
        <x:f>IF('Inputs'!$D$9="Ready",'Inputs'!F12,"n.a.")</x:f>
        <x:v>60</x:v>
      </x:c>
      <x:c r="L493" s="29" t="n">
        <x:f>IF('Inputs'!$D$9="Ready",'Inputs'!G12,"n.a.")</x:f>
        <x:v>0.02</x:v>
      </x:c>
      <x:c r="M493" s="22" t="n">
        <x:f>IF(COUNT(I493:L493)=4,ROUND(I493*J493/12,2),"n.a.")</x:f>
        <x:v>0</x:v>
      </x:c>
      <x:c r="N493" s="22" t="n">
        <x:f>IF(COUNT(I493:M493)=5,MIN(I493+M493,ROUND(MAX(K493,I493*L493+M493),2)),"n.a.")</x:f>
        <x:v>0</x:v>
      </x:c>
      <x:c r="O493" s="30" t="n">
        <x:f>IF(COUNT($I$492:$I$496)&lt;&gt;5,"n.a.",IF(I493=0,6,IF('Inputs'!$D$5=1,COUNTIFS($I$492:$I$496,"&gt;0",$I$492:$I$496,"&lt;"&amp;I493)+COUNTIFS($I$492:I493,I493),COUNTIFS($I$492:$I$496,"&gt;0",$J$492:$J$496,"&gt;"&amp;J493)+COUNTIFS($I$492:I493,"&gt;0",$J$492:J493,J493))))</x:f>
        <x:v>6</x:v>
      </x:c>
      <x:c r="P493" s="22" t="n">
        <x:f>IF(T493="Ready",MIN(U493,MAX(0,G493-SUMIFS($U$492:$U$496,$O$492:$O$496,"&lt;"&amp;O493))),"n.a.")</x:f>
        <x:v>0</x:v>
      </x:c>
      <x:c r="Q493" s="22" t="n">
        <x:f>IF(T493="Ready",ROUND(N493+P493,2),"n.a.")</x:f>
        <x:v>0</x:v>
      </x:c>
      <x:c r="R493" s="22" t="n">
        <x:f>IF(T493="Ready",ROUND(Q493-M493,2),"n.a.")</x:f>
        <x:v>0</x:v>
      </x:c>
      <x:c r="S493" s="22" t="n">
        <x:f>IF(T493="Ready",MAX(0,ROUND(I493+M493-Q493,2)),"n.a.")</x:f>
        <x:v>0</x:v>
      </x:c>
      <x:c r="T493" s="22" t="str">
        <x:f>IF(AND(COUNT($I$492:$I$496)=5,COUNT(E493:F493)=2),IF(E493&gt;=F493,"Ready","Budget below minima"),"Check inputs")</x:f>
        <x:v>Ready</x:v>
      </x:c>
      <x:c r="U493" s="22" t="n">
        <x:f>IF(COUNT(I493,M493,N493)=3,MAX(0,ROUND(I493+M493-N493,2)),"n.a.")</x:f>
        <x:v>0</x:v>
      </x:c>
    </x:row>
    <x:row r="494" ht="22" customHeight="1">
      <x:c r="A494" s="2"/>
      <x:c r="B494" s="2"/>
      <x:c r="C494" s="27" t="n">
        <x:f>98</x:f>
        <x:v>98</x:v>
      </x:c>
      <x:c r="D494" s="28" t="n">
        <x:f>IF(ISNUMBER('Inputs'!$D$7),EDATE('Inputs'!$D$7,97),"n.a.")</x:f>
        <x:v>49279</x:v>
      </x:c>
      <x:c r="E494" s="26" t="n">
        <x:f>IF('Inputs'!$D$9&lt;&gt;"Ready","n.a.",IF(ISNUMBER('Inputs'!E116),IF('Inputs'!E116&gt;=0,'Inputs'!E116,"n.a."),IF('Inputs'!E116="",'Inputs'!$D$6,"n.a.")))</x:f>
        <x:v>500</x:v>
      </x:c>
      <x:c r="F494" s="22" t="n">
        <x:f>IF(COUNT($N$492:$N$496)=5,SUM($N$492:$N$496),"n.a.")</x:f>
        <x:v>0</x:v>
      </x:c>
      <x:c r="G494" s="22" t="n">
        <x:f>IF(COUNT(E494:F494)=2,MAX(0,E494-F494),"n.a.")</x:f>
        <x:v>500</x:v>
      </x:c>
      <x:c r="H494" s="26" t="str">
        <x:f>'Inputs'!C13</x:f>
        <x:v>Loan C</x:v>
      </x:c>
      <x:c r="I494" s="26" t="n">
        <x:f>S489</x:f>
        <x:v>0</x:v>
      </x:c>
      <x:c r="J494" s="29" t="n">
        <x:f>IF('Inputs'!$D$9="Ready",'Inputs'!E13,"n.a.")</x:f>
        <x:v>0.08</x:v>
      </x:c>
      <x:c r="K494" s="26" t="n">
        <x:f>IF('Inputs'!$D$9="Ready",'Inputs'!F13,"n.a.")</x:f>
        <x:v>150</x:v>
      </x:c>
      <x:c r="L494" s="29" t="n">
        <x:f>IF('Inputs'!$D$9="Ready",'Inputs'!G13,"n.a.")</x:f>
        <x:v>0</x:v>
      </x:c>
      <x:c r="M494" s="22" t="n">
        <x:f>IF(COUNT(I494:L494)=4,ROUND(I494*J494/12,2),"n.a.")</x:f>
        <x:v>0</x:v>
      </x:c>
      <x:c r="N494" s="22" t="n">
        <x:f>IF(COUNT(I494:M494)=5,MIN(I494+M494,ROUND(MAX(K494,I494*L494+M494),2)),"n.a.")</x:f>
        <x:v>0</x:v>
      </x:c>
      <x:c r="O494" s="30" t="n">
        <x:f>IF(COUNT($I$492:$I$496)&lt;&gt;5,"n.a.",IF(I494=0,6,IF('Inputs'!$D$5=1,COUNTIFS($I$492:$I$496,"&gt;0",$I$492:$I$496,"&lt;"&amp;I494)+COUNTIFS($I$492:I494,I494),COUNTIFS($I$492:$I$496,"&gt;0",$J$492:$J$496,"&gt;"&amp;J494)+COUNTIFS($I$492:I494,"&gt;0",$J$492:J494,J494))))</x:f>
        <x:v>6</x:v>
      </x:c>
      <x:c r="P494" s="22" t="n">
        <x:f>IF(T494="Ready",MIN(U494,MAX(0,G494-SUMIFS($U$492:$U$496,$O$492:$O$496,"&lt;"&amp;O494))),"n.a.")</x:f>
        <x:v>0</x:v>
      </x:c>
      <x:c r="Q494" s="22" t="n">
        <x:f>IF(T494="Ready",ROUND(N494+P494,2),"n.a.")</x:f>
        <x:v>0</x:v>
      </x:c>
      <x:c r="R494" s="22" t="n">
        <x:f>IF(T494="Ready",ROUND(Q494-M494,2),"n.a.")</x:f>
        <x:v>0</x:v>
      </x:c>
      <x:c r="S494" s="22" t="n">
        <x:f>IF(T494="Ready",MAX(0,ROUND(I494+M494-Q494,2)),"n.a.")</x:f>
        <x:v>0</x:v>
      </x:c>
      <x:c r="T494" s="22" t="str">
        <x:f>IF(AND(COUNT($I$492:$I$496)=5,COUNT(E494:F494)=2),IF(E494&gt;=F494,"Ready","Budget below minima"),"Check inputs")</x:f>
        <x:v>Ready</x:v>
      </x:c>
      <x:c r="U494" s="22" t="n">
        <x:f>IF(COUNT(I494,M494,N494)=3,MAX(0,ROUND(I494+M494-N494,2)),"n.a.")</x:f>
        <x:v>0</x:v>
      </x:c>
    </x:row>
    <x:row r="495" ht="22" customHeight="1">
      <x:c r="A495" s="2"/>
      <x:c r="B495" s="2"/>
      <x:c r="C495" s="27" t="n">
        <x:f>98</x:f>
        <x:v>98</x:v>
      </x:c>
      <x:c r="D495" s="28" t="n">
        <x:f>IF(ISNUMBER('Inputs'!$D$7),EDATE('Inputs'!$D$7,97),"n.a.")</x:f>
        <x:v>49279</x:v>
      </x:c>
      <x:c r="E495" s="26" t="n">
        <x:f>IF('Inputs'!$D$9&lt;&gt;"Ready","n.a.",IF(ISNUMBER('Inputs'!E116),IF('Inputs'!E116&gt;=0,'Inputs'!E116,"n.a."),IF('Inputs'!E116="",'Inputs'!$D$6,"n.a.")))</x:f>
        <x:v>500</x:v>
      </x:c>
      <x:c r="F495" s="22" t="n">
        <x:f>IF(COUNT($N$492:$N$496)=5,SUM($N$492:$N$496),"n.a.")</x:f>
        <x:v>0</x:v>
      </x:c>
      <x:c r="G495" s="22" t="n">
        <x:f>IF(COUNT(E495:F495)=2,MAX(0,E495-F495),"n.a.")</x:f>
        <x:v>500</x:v>
      </x:c>
      <x:c r="H495" s="26" t="str">
        <x:f>'Inputs'!C14</x:f>
        <x:v>Unused 4</x:v>
      </x:c>
      <x:c r="I495" s="26" t="n">
        <x:f>S490</x:f>
        <x:v>0</x:v>
      </x:c>
      <x:c r="J495" s="29" t="n">
        <x:f>IF('Inputs'!$D$9="Ready",'Inputs'!E14,"n.a.")</x:f>
        <x:v>0</x:v>
      </x:c>
      <x:c r="K495" s="26" t="n">
        <x:f>IF('Inputs'!$D$9="Ready",'Inputs'!F14,"n.a.")</x:f>
        <x:v>0</x:v>
      </x:c>
      <x:c r="L495" s="29" t="n">
        <x:f>IF('Inputs'!$D$9="Ready",'Inputs'!G14,"n.a.")</x:f>
        <x:v>0</x:v>
      </x:c>
      <x:c r="M495" s="22" t="n">
        <x:f>IF(COUNT(I495:L495)=4,ROUND(I495*J495/12,2),"n.a.")</x:f>
        <x:v>0</x:v>
      </x:c>
      <x:c r="N495" s="22" t="n">
        <x:f>IF(COUNT(I495:M495)=5,MIN(I495+M495,ROUND(MAX(K495,I495*L495+M495),2)),"n.a.")</x:f>
        <x:v>0</x:v>
      </x:c>
      <x:c r="O495" s="30" t="n">
        <x:f>IF(COUNT($I$492:$I$496)&lt;&gt;5,"n.a.",IF(I495=0,6,IF('Inputs'!$D$5=1,COUNTIFS($I$492:$I$496,"&gt;0",$I$492:$I$496,"&lt;"&amp;I495)+COUNTIFS($I$492:I495,I495),COUNTIFS($I$492:$I$496,"&gt;0",$J$492:$J$496,"&gt;"&amp;J495)+COUNTIFS($I$492:I495,"&gt;0",$J$492:J495,J495))))</x:f>
        <x:v>6</x:v>
      </x:c>
      <x:c r="P495" s="22" t="n">
        <x:f>IF(T495="Ready",MIN(U495,MAX(0,G495-SUMIFS($U$492:$U$496,$O$492:$O$496,"&lt;"&amp;O495))),"n.a.")</x:f>
        <x:v>0</x:v>
      </x:c>
      <x:c r="Q495" s="22" t="n">
        <x:f>IF(T495="Ready",ROUND(N495+P495,2),"n.a.")</x:f>
        <x:v>0</x:v>
      </x:c>
      <x:c r="R495" s="22" t="n">
        <x:f>IF(T495="Ready",ROUND(Q495-M495,2),"n.a.")</x:f>
        <x:v>0</x:v>
      </x:c>
      <x:c r="S495" s="22" t="n">
        <x:f>IF(T495="Ready",MAX(0,ROUND(I495+M495-Q495,2)),"n.a.")</x:f>
        <x:v>0</x:v>
      </x:c>
      <x:c r="T495" s="22" t="str">
        <x:f>IF(AND(COUNT($I$492:$I$496)=5,COUNT(E495:F495)=2),IF(E495&gt;=F495,"Ready","Budget below minima"),"Check inputs")</x:f>
        <x:v>Ready</x:v>
      </x:c>
      <x:c r="U495" s="22" t="n">
        <x:f>IF(COUNT(I495,M495,N495)=3,MAX(0,ROUND(I495+M495-N495,2)),"n.a.")</x:f>
        <x:v>0</x:v>
      </x:c>
    </x:row>
    <x:row r="496" ht="22" customHeight="1">
      <x:c r="A496" s="2"/>
      <x:c r="B496" s="2"/>
      <x:c r="C496" s="27" t="n">
        <x:f>98</x:f>
        <x:v>98</x:v>
      </x:c>
      <x:c r="D496" s="28" t="n">
        <x:f>IF(ISNUMBER('Inputs'!$D$7),EDATE('Inputs'!$D$7,97),"n.a.")</x:f>
        <x:v>49279</x:v>
      </x:c>
      <x:c r="E496" s="26" t="n">
        <x:f>IF('Inputs'!$D$9&lt;&gt;"Ready","n.a.",IF(ISNUMBER('Inputs'!E116),IF('Inputs'!E116&gt;=0,'Inputs'!E116,"n.a."),IF('Inputs'!E116="",'Inputs'!$D$6,"n.a.")))</x:f>
        <x:v>500</x:v>
      </x:c>
      <x:c r="F496" s="22" t="n">
        <x:f>IF(COUNT($N$492:$N$496)=5,SUM($N$492:$N$496),"n.a.")</x:f>
        <x:v>0</x:v>
      </x:c>
      <x:c r="G496" s="22" t="n">
        <x:f>IF(COUNT(E496:F496)=2,MAX(0,E496-F496),"n.a.")</x:f>
        <x:v>500</x:v>
      </x:c>
      <x:c r="H496" s="26" t="str">
        <x:f>'Inputs'!C15</x:f>
        <x:v>Unused 5</x:v>
      </x:c>
      <x:c r="I496" s="26" t="n">
        <x:f>S491</x:f>
        <x:v>0</x:v>
      </x:c>
      <x:c r="J496" s="29" t="n">
        <x:f>IF('Inputs'!$D$9="Ready",'Inputs'!E15,"n.a.")</x:f>
        <x:v>0</x:v>
      </x:c>
      <x:c r="K496" s="26" t="n">
        <x:f>IF('Inputs'!$D$9="Ready",'Inputs'!F15,"n.a.")</x:f>
        <x:v>0</x:v>
      </x:c>
      <x:c r="L496" s="29" t="n">
        <x:f>IF('Inputs'!$D$9="Ready",'Inputs'!G15,"n.a.")</x:f>
        <x:v>0</x:v>
      </x:c>
      <x:c r="M496" s="22" t="n">
        <x:f>IF(COUNT(I496:L496)=4,ROUND(I496*J496/12,2),"n.a.")</x:f>
        <x:v>0</x:v>
      </x:c>
      <x:c r="N496" s="22" t="n">
        <x:f>IF(COUNT(I496:M496)=5,MIN(I496+M496,ROUND(MAX(K496,I496*L496+M496),2)),"n.a.")</x:f>
        <x:v>0</x:v>
      </x:c>
      <x:c r="O496" s="30" t="n">
        <x:f>IF(COUNT($I$492:$I$496)&lt;&gt;5,"n.a.",IF(I496=0,6,IF('Inputs'!$D$5=1,COUNTIFS($I$492:$I$496,"&gt;0",$I$492:$I$496,"&lt;"&amp;I496)+COUNTIFS($I$492:I496,I496),COUNTIFS($I$492:$I$496,"&gt;0",$J$492:$J$496,"&gt;"&amp;J496)+COUNTIFS($I$492:I496,"&gt;0",$J$492:J496,J496))))</x:f>
        <x:v>6</x:v>
      </x:c>
      <x:c r="P496" s="22" t="n">
        <x:f>IF(T496="Ready",MIN(U496,MAX(0,G496-SUMIFS($U$492:$U$496,$O$492:$O$496,"&lt;"&amp;O496))),"n.a.")</x:f>
        <x:v>0</x:v>
      </x:c>
      <x:c r="Q496" s="22" t="n">
        <x:f>IF(T496="Ready",ROUND(N496+P496,2),"n.a.")</x:f>
        <x:v>0</x:v>
      </x:c>
      <x:c r="R496" s="22" t="n">
        <x:f>IF(T496="Ready",ROUND(Q496-M496,2),"n.a.")</x:f>
        <x:v>0</x:v>
      </x:c>
      <x:c r="S496" s="22" t="n">
        <x:f>IF(T496="Ready",MAX(0,ROUND(I496+M496-Q496,2)),"n.a.")</x:f>
        <x:v>0</x:v>
      </x:c>
      <x:c r="T496" s="22" t="str">
        <x:f>IF(AND(COUNT($I$492:$I$496)=5,COUNT(E496:F496)=2),IF(E496&gt;=F496,"Ready","Budget below minima"),"Check inputs")</x:f>
        <x:v>Ready</x:v>
      </x:c>
      <x:c r="U496" s="22" t="n">
        <x:f>IF(COUNT(I496,M496,N496)=3,MAX(0,ROUND(I496+M496-N496,2)),"n.a.")</x:f>
        <x:v>0</x:v>
      </x:c>
    </x:row>
    <x:row r="497" ht="22" customHeight="1">
      <x:c r="A497" s="2"/>
      <x:c r="B497" s="2"/>
      <x:c r="C497" s="27" t="n">
        <x:f>99</x:f>
        <x:v>99</x:v>
      </x:c>
      <x:c r="D497" s="28" t="n">
        <x:f>IF(ISNUMBER('Inputs'!$D$7),EDATE('Inputs'!$D$7,98),"n.a.")</x:f>
        <x:v>49310</x:v>
      </x:c>
      <x:c r="E497" s="26" t="n">
        <x:f>IF('Inputs'!$D$9&lt;&gt;"Ready","n.a.",IF(ISNUMBER('Inputs'!E117),IF('Inputs'!E117&gt;=0,'Inputs'!E117,"n.a."),IF('Inputs'!E117="",'Inputs'!$D$6,"n.a.")))</x:f>
        <x:v>500</x:v>
      </x:c>
      <x:c r="F497" s="22" t="n">
        <x:f>IF(COUNT($N$497:$N$501)=5,SUM($N$497:$N$501),"n.a.")</x:f>
        <x:v>0</x:v>
      </x:c>
      <x:c r="G497" s="22" t="n">
        <x:f>IF(COUNT(E497:F497)=2,MAX(0,E497-F497),"n.a.")</x:f>
        <x:v>500</x:v>
      </x:c>
      <x:c r="H497" s="26" t="str">
        <x:f>'Inputs'!C11</x:f>
        <x:v>Card A</x:v>
      </x:c>
      <x:c r="I497" s="26" t="n">
        <x:f>S492</x:f>
        <x:v>0</x:v>
      </x:c>
      <x:c r="J497" s="29" t="n">
        <x:f>IF('Inputs'!$D$9="Ready",'Inputs'!E11,"n.a.")</x:f>
        <x:v>0.24</x:v>
      </x:c>
      <x:c r="K497" s="26" t="n">
        <x:f>IF('Inputs'!$D$9="Ready",'Inputs'!F11,"n.a.")</x:f>
        <x:v>35</x:v>
      </x:c>
      <x:c r="L497" s="29" t="n">
        <x:f>IF('Inputs'!$D$9="Ready",'Inputs'!G11,"n.a.")</x:f>
        <x:v>0.02</x:v>
      </x:c>
      <x:c r="M497" s="22" t="n">
        <x:f>IF(COUNT(I497:L497)=4,ROUND(I497*J497/12,2),"n.a.")</x:f>
        <x:v>0</x:v>
      </x:c>
      <x:c r="N497" s="22" t="n">
        <x:f>IF(COUNT(I497:M497)=5,MIN(I497+M497,ROUND(MAX(K497,I497*L497+M497),2)),"n.a.")</x:f>
        <x:v>0</x:v>
      </x:c>
      <x:c r="O497" s="30" t="n">
        <x:f>IF(COUNT($I$497:$I$501)&lt;&gt;5,"n.a.",IF(I497=0,6,IF('Inputs'!$D$5=1,COUNTIFS($I$497:$I$501,"&gt;0",$I$497:$I$501,"&lt;"&amp;I497)+COUNTIFS($I$497:I497,I497),COUNTIFS($I$497:$I$501,"&gt;0",$J$497:$J$501,"&gt;"&amp;J497)+COUNTIFS($I$497:I497,"&gt;0",$J$497:J497,J497))))</x:f>
        <x:v>6</x:v>
      </x:c>
      <x:c r="P497" s="22" t="n">
        <x:f>IF(T497="Ready",MIN(U497,MAX(0,G497-SUMIFS($U$497:$U$501,$O$497:$O$501,"&lt;"&amp;O497))),"n.a.")</x:f>
        <x:v>0</x:v>
      </x:c>
      <x:c r="Q497" s="22" t="n">
        <x:f>IF(T497="Ready",ROUND(N497+P497,2),"n.a.")</x:f>
        <x:v>0</x:v>
      </x:c>
      <x:c r="R497" s="22" t="n">
        <x:f>IF(T497="Ready",ROUND(Q497-M497,2),"n.a.")</x:f>
        <x:v>0</x:v>
      </x:c>
      <x:c r="S497" s="22" t="n">
        <x:f>IF(T497="Ready",MAX(0,ROUND(I497+M497-Q497,2)),"n.a.")</x:f>
        <x:v>0</x:v>
      </x:c>
      <x:c r="T497" s="22" t="str">
        <x:f>IF(AND(COUNT($I$497:$I$501)=5,COUNT(E497:F497)=2),IF(E497&gt;=F497,"Ready","Budget below minima"),"Check inputs")</x:f>
        <x:v>Ready</x:v>
      </x:c>
      <x:c r="U497" s="22" t="n">
        <x:f>IF(COUNT(I497,M497,N497)=3,MAX(0,ROUND(I497+M497-N497,2)),"n.a.")</x:f>
        <x:v>0</x:v>
      </x:c>
    </x:row>
    <x:row r="498" ht="22" customHeight="1">
      <x:c r="A498" s="2"/>
      <x:c r="B498" s="2"/>
      <x:c r="C498" s="27" t="n">
        <x:f>99</x:f>
        <x:v>99</x:v>
      </x:c>
      <x:c r="D498" s="28" t="n">
        <x:f>IF(ISNUMBER('Inputs'!$D$7),EDATE('Inputs'!$D$7,98),"n.a.")</x:f>
        <x:v>49310</x:v>
      </x:c>
      <x:c r="E498" s="26" t="n">
        <x:f>IF('Inputs'!$D$9&lt;&gt;"Ready","n.a.",IF(ISNUMBER('Inputs'!E117),IF('Inputs'!E117&gt;=0,'Inputs'!E117,"n.a."),IF('Inputs'!E117="",'Inputs'!$D$6,"n.a.")))</x:f>
        <x:v>500</x:v>
      </x:c>
      <x:c r="F498" s="22" t="n">
        <x:f>IF(COUNT($N$497:$N$501)=5,SUM($N$497:$N$501),"n.a.")</x:f>
        <x:v>0</x:v>
      </x:c>
      <x:c r="G498" s="22" t="n">
        <x:f>IF(COUNT(E498:F498)=2,MAX(0,E498-F498),"n.a.")</x:f>
        <x:v>500</x:v>
      </x:c>
      <x:c r="H498" s="26" t="str">
        <x:f>'Inputs'!C12</x:f>
        <x:v>Card B</x:v>
      </x:c>
      <x:c r="I498" s="26" t="n">
        <x:f>S493</x:f>
        <x:v>0</x:v>
      </x:c>
      <x:c r="J498" s="29" t="n">
        <x:f>IF('Inputs'!$D$9="Ready",'Inputs'!E12,"n.a.")</x:f>
        <x:v>0.18</x:v>
      </x:c>
      <x:c r="K498" s="26" t="n">
        <x:f>IF('Inputs'!$D$9="Ready",'Inputs'!F12,"n.a.")</x:f>
        <x:v>60</x:v>
      </x:c>
      <x:c r="L498" s="29" t="n">
        <x:f>IF('Inputs'!$D$9="Ready",'Inputs'!G12,"n.a.")</x:f>
        <x:v>0.02</x:v>
      </x:c>
      <x:c r="M498" s="22" t="n">
        <x:f>IF(COUNT(I498:L498)=4,ROUND(I498*J498/12,2),"n.a.")</x:f>
        <x:v>0</x:v>
      </x:c>
      <x:c r="N498" s="22" t="n">
        <x:f>IF(COUNT(I498:M498)=5,MIN(I498+M498,ROUND(MAX(K498,I498*L498+M498),2)),"n.a.")</x:f>
        <x:v>0</x:v>
      </x:c>
      <x:c r="O498" s="30" t="n">
        <x:f>IF(COUNT($I$497:$I$501)&lt;&gt;5,"n.a.",IF(I498=0,6,IF('Inputs'!$D$5=1,COUNTIFS($I$497:$I$501,"&gt;0",$I$497:$I$501,"&lt;"&amp;I498)+COUNTIFS($I$497:I498,I498),COUNTIFS($I$497:$I$501,"&gt;0",$J$497:$J$501,"&gt;"&amp;J498)+COUNTIFS($I$497:I498,"&gt;0",$J$497:J498,J498))))</x:f>
        <x:v>6</x:v>
      </x:c>
      <x:c r="P498" s="22" t="n">
        <x:f>IF(T498="Ready",MIN(U498,MAX(0,G498-SUMIFS($U$497:$U$501,$O$497:$O$501,"&lt;"&amp;O498))),"n.a.")</x:f>
        <x:v>0</x:v>
      </x:c>
      <x:c r="Q498" s="22" t="n">
        <x:f>IF(T498="Ready",ROUND(N498+P498,2),"n.a.")</x:f>
        <x:v>0</x:v>
      </x:c>
      <x:c r="R498" s="22" t="n">
        <x:f>IF(T498="Ready",ROUND(Q498-M498,2),"n.a.")</x:f>
        <x:v>0</x:v>
      </x:c>
      <x:c r="S498" s="22" t="n">
        <x:f>IF(T498="Ready",MAX(0,ROUND(I498+M498-Q498,2)),"n.a.")</x:f>
        <x:v>0</x:v>
      </x:c>
      <x:c r="T498" s="22" t="str">
        <x:f>IF(AND(COUNT($I$497:$I$501)=5,COUNT(E498:F498)=2),IF(E498&gt;=F498,"Ready","Budget below minima"),"Check inputs")</x:f>
        <x:v>Ready</x:v>
      </x:c>
      <x:c r="U498" s="22" t="n">
        <x:f>IF(COUNT(I498,M498,N498)=3,MAX(0,ROUND(I498+M498-N498,2)),"n.a.")</x:f>
        <x:v>0</x:v>
      </x:c>
    </x:row>
    <x:row r="499" ht="22" customHeight="1">
      <x:c r="A499" s="2"/>
      <x:c r="B499" s="2"/>
      <x:c r="C499" s="27" t="n">
        <x:f>99</x:f>
        <x:v>99</x:v>
      </x:c>
      <x:c r="D499" s="28" t="n">
        <x:f>IF(ISNUMBER('Inputs'!$D$7),EDATE('Inputs'!$D$7,98),"n.a.")</x:f>
        <x:v>49310</x:v>
      </x:c>
      <x:c r="E499" s="26" t="n">
        <x:f>IF('Inputs'!$D$9&lt;&gt;"Ready","n.a.",IF(ISNUMBER('Inputs'!E117),IF('Inputs'!E117&gt;=0,'Inputs'!E117,"n.a."),IF('Inputs'!E117="",'Inputs'!$D$6,"n.a.")))</x:f>
        <x:v>500</x:v>
      </x:c>
      <x:c r="F499" s="22" t="n">
        <x:f>IF(COUNT($N$497:$N$501)=5,SUM($N$497:$N$501),"n.a.")</x:f>
        <x:v>0</x:v>
      </x:c>
      <x:c r="G499" s="22" t="n">
        <x:f>IF(COUNT(E499:F499)=2,MAX(0,E499-F499),"n.a.")</x:f>
        <x:v>500</x:v>
      </x:c>
      <x:c r="H499" s="26" t="str">
        <x:f>'Inputs'!C13</x:f>
        <x:v>Loan C</x:v>
      </x:c>
      <x:c r="I499" s="26" t="n">
        <x:f>S494</x:f>
        <x:v>0</x:v>
      </x:c>
      <x:c r="J499" s="29" t="n">
        <x:f>IF('Inputs'!$D$9="Ready",'Inputs'!E13,"n.a.")</x:f>
        <x:v>0.08</x:v>
      </x:c>
      <x:c r="K499" s="26" t="n">
        <x:f>IF('Inputs'!$D$9="Ready",'Inputs'!F13,"n.a.")</x:f>
        <x:v>150</x:v>
      </x:c>
      <x:c r="L499" s="29" t="n">
        <x:f>IF('Inputs'!$D$9="Ready",'Inputs'!G13,"n.a.")</x:f>
        <x:v>0</x:v>
      </x:c>
      <x:c r="M499" s="22" t="n">
        <x:f>IF(COUNT(I499:L499)=4,ROUND(I499*J499/12,2),"n.a.")</x:f>
        <x:v>0</x:v>
      </x:c>
      <x:c r="N499" s="22" t="n">
        <x:f>IF(COUNT(I499:M499)=5,MIN(I499+M499,ROUND(MAX(K499,I499*L499+M499),2)),"n.a.")</x:f>
        <x:v>0</x:v>
      </x:c>
      <x:c r="O499" s="30" t="n">
        <x:f>IF(COUNT($I$497:$I$501)&lt;&gt;5,"n.a.",IF(I499=0,6,IF('Inputs'!$D$5=1,COUNTIFS($I$497:$I$501,"&gt;0",$I$497:$I$501,"&lt;"&amp;I499)+COUNTIFS($I$497:I499,I499),COUNTIFS($I$497:$I$501,"&gt;0",$J$497:$J$501,"&gt;"&amp;J499)+COUNTIFS($I$497:I499,"&gt;0",$J$497:J499,J499))))</x:f>
        <x:v>6</x:v>
      </x:c>
      <x:c r="P499" s="22" t="n">
        <x:f>IF(T499="Ready",MIN(U499,MAX(0,G499-SUMIFS($U$497:$U$501,$O$497:$O$501,"&lt;"&amp;O499))),"n.a.")</x:f>
        <x:v>0</x:v>
      </x:c>
      <x:c r="Q499" s="22" t="n">
        <x:f>IF(T499="Ready",ROUND(N499+P499,2),"n.a.")</x:f>
        <x:v>0</x:v>
      </x:c>
      <x:c r="R499" s="22" t="n">
        <x:f>IF(T499="Ready",ROUND(Q499-M499,2),"n.a.")</x:f>
        <x:v>0</x:v>
      </x:c>
      <x:c r="S499" s="22" t="n">
        <x:f>IF(T499="Ready",MAX(0,ROUND(I499+M499-Q499,2)),"n.a.")</x:f>
        <x:v>0</x:v>
      </x:c>
      <x:c r="T499" s="22" t="str">
        <x:f>IF(AND(COUNT($I$497:$I$501)=5,COUNT(E499:F499)=2),IF(E499&gt;=F499,"Ready","Budget below minima"),"Check inputs")</x:f>
        <x:v>Ready</x:v>
      </x:c>
      <x:c r="U499" s="22" t="n">
        <x:f>IF(COUNT(I499,M499,N499)=3,MAX(0,ROUND(I499+M499-N499,2)),"n.a.")</x:f>
        <x:v>0</x:v>
      </x:c>
    </x:row>
    <x:row r="500" ht="22" customHeight="1">
      <x:c r="A500" s="2"/>
      <x:c r="B500" s="2"/>
      <x:c r="C500" s="27" t="n">
        <x:f>99</x:f>
        <x:v>99</x:v>
      </x:c>
      <x:c r="D500" s="28" t="n">
        <x:f>IF(ISNUMBER('Inputs'!$D$7),EDATE('Inputs'!$D$7,98),"n.a.")</x:f>
        <x:v>49310</x:v>
      </x:c>
      <x:c r="E500" s="26" t="n">
        <x:f>IF('Inputs'!$D$9&lt;&gt;"Ready","n.a.",IF(ISNUMBER('Inputs'!E117),IF('Inputs'!E117&gt;=0,'Inputs'!E117,"n.a."),IF('Inputs'!E117="",'Inputs'!$D$6,"n.a.")))</x:f>
        <x:v>500</x:v>
      </x:c>
      <x:c r="F500" s="22" t="n">
        <x:f>IF(COUNT($N$497:$N$501)=5,SUM($N$497:$N$501),"n.a.")</x:f>
        <x:v>0</x:v>
      </x:c>
      <x:c r="G500" s="22" t="n">
        <x:f>IF(COUNT(E500:F500)=2,MAX(0,E500-F500),"n.a.")</x:f>
        <x:v>500</x:v>
      </x:c>
      <x:c r="H500" s="26" t="str">
        <x:f>'Inputs'!C14</x:f>
        <x:v>Unused 4</x:v>
      </x:c>
      <x:c r="I500" s="26" t="n">
        <x:f>S495</x:f>
        <x:v>0</x:v>
      </x:c>
      <x:c r="J500" s="29" t="n">
        <x:f>IF('Inputs'!$D$9="Ready",'Inputs'!E14,"n.a.")</x:f>
        <x:v>0</x:v>
      </x:c>
      <x:c r="K500" s="26" t="n">
        <x:f>IF('Inputs'!$D$9="Ready",'Inputs'!F14,"n.a.")</x:f>
        <x:v>0</x:v>
      </x:c>
      <x:c r="L500" s="29" t="n">
        <x:f>IF('Inputs'!$D$9="Ready",'Inputs'!G14,"n.a.")</x:f>
        <x:v>0</x:v>
      </x:c>
      <x:c r="M500" s="22" t="n">
        <x:f>IF(COUNT(I500:L500)=4,ROUND(I500*J500/12,2),"n.a.")</x:f>
        <x:v>0</x:v>
      </x:c>
      <x:c r="N500" s="22" t="n">
        <x:f>IF(COUNT(I500:M500)=5,MIN(I500+M500,ROUND(MAX(K500,I500*L500+M500),2)),"n.a.")</x:f>
        <x:v>0</x:v>
      </x:c>
      <x:c r="O500" s="30" t="n">
        <x:f>IF(COUNT($I$497:$I$501)&lt;&gt;5,"n.a.",IF(I500=0,6,IF('Inputs'!$D$5=1,COUNTIFS($I$497:$I$501,"&gt;0",$I$497:$I$501,"&lt;"&amp;I500)+COUNTIFS($I$497:I500,I500),COUNTIFS($I$497:$I$501,"&gt;0",$J$497:$J$501,"&gt;"&amp;J500)+COUNTIFS($I$497:I500,"&gt;0",$J$497:J500,J500))))</x:f>
        <x:v>6</x:v>
      </x:c>
      <x:c r="P500" s="22" t="n">
        <x:f>IF(T500="Ready",MIN(U500,MAX(0,G500-SUMIFS($U$497:$U$501,$O$497:$O$501,"&lt;"&amp;O500))),"n.a.")</x:f>
        <x:v>0</x:v>
      </x:c>
      <x:c r="Q500" s="22" t="n">
        <x:f>IF(T500="Ready",ROUND(N500+P500,2),"n.a.")</x:f>
        <x:v>0</x:v>
      </x:c>
      <x:c r="R500" s="22" t="n">
        <x:f>IF(T500="Ready",ROUND(Q500-M500,2),"n.a.")</x:f>
        <x:v>0</x:v>
      </x:c>
      <x:c r="S500" s="22" t="n">
        <x:f>IF(T500="Ready",MAX(0,ROUND(I500+M500-Q500,2)),"n.a.")</x:f>
        <x:v>0</x:v>
      </x:c>
      <x:c r="T500" s="22" t="str">
        <x:f>IF(AND(COUNT($I$497:$I$501)=5,COUNT(E500:F500)=2),IF(E500&gt;=F500,"Ready","Budget below minima"),"Check inputs")</x:f>
        <x:v>Ready</x:v>
      </x:c>
      <x:c r="U500" s="22" t="n">
        <x:f>IF(COUNT(I500,M500,N500)=3,MAX(0,ROUND(I500+M500-N500,2)),"n.a.")</x:f>
        <x:v>0</x:v>
      </x:c>
    </x:row>
    <x:row r="501" ht="22" customHeight="1">
      <x:c r="A501" s="2"/>
      <x:c r="B501" s="2"/>
      <x:c r="C501" s="27" t="n">
        <x:f>99</x:f>
        <x:v>99</x:v>
      </x:c>
      <x:c r="D501" s="28" t="n">
        <x:f>IF(ISNUMBER('Inputs'!$D$7),EDATE('Inputs'!$D$7,98),"n.a.")</x:f>
        <x:v>49310</x:v>
      </x:c>
      <x:c r="E501" s="26" t="n">
        <x:f>IF('Inputs'!$D$9&lt;&gt;"Ready","n.a.",IF(ISNUMBER('Inputs'!E117),IF('Inputs'!E117&gt;=0,'Inputs'!E117,"n.a."),IF('Inputs'!E117="",'Inputs'!$D$6,"n.a.")))</x:f>
        <x:v>500</x:v>
      </x:c>
      <x:c r="F501" s="22" t="n">
        <x:f>IF(COUNT($N$497:$N$501)=5,SUM($N$497:$N$501),"n.a.")</x:f>
        <x:v>0</x:v>
      </x:c>
      <x:c r="G501" s="22" t="n">
        <x:f>IF(COUNT(E501:F501)=2,MAX(0,E501-F501),"n.a.")</x:f>
        <x:v>500</x:v>
      </x:c>
      <x:c r="H501" s="26" t="str">
        <x:f>'Inputs'!C15</x:f>
        <x:v>Unused 5</x:v>
      </x:c>
      <x:c r="I501" s="26" t="n">
        <x:f>S496</x:f>
        <x:v>0</x:v>
      </x:c>
      <x:c r="J501" s="29" t="n">
        <x:f>IF('Inputs'!$D$9="Ready",'Inputs'!E15,"n.a.")</x:f>
        <x:v>0</x:v>
      </x:c>
      <x:c r="K501" s="26" t="n">
        <x:f>IF('Inputs'!$D$9="Ready",'Inputs'!F15,"n.a.")</x:f>
        <x:v>0</x:v>
      </x:c>
      <x:c r="L501" s="29" t="n">
        <x:f>IF('Inputs'!$D$9="Ready",'Inputs'!G15,"n.a.")</x:f>
        <x:v>0</x:v>
      </x:c>
      <x:c r="M501" s="22" t="n">
        <x:f>IF(COUNT(I501:L501)=4,ROUND(I501*J501/12,2),"n.a.")</x:f>
        <x:v>0</x:v>
      </x:c>
      <x:c r="N501" s="22" t="n">
        <x:f>IF(COUNT(I501:M501)=5,MIN(I501+M501,ROUND(MAX(K501,I501*L501+M501),2)),"n.a.")</x:f>
        <x:v>0</x:v>
      </x:c>
      <x:c r="O501" s="30" t="n">
        <x:f>IF(COUNT($I$497:$I$501)&lt;&gt;5,"n.a.",IF(I501=0,6,IF('Inputs'!$D$5=1,COUNTIFS($I$497:$I$501,"&gt;0",$I$497:$I$501,"&lt;"&amp;I501)+COUNTIFS($I$497:I501,I501),COUNTIFS($I$497:$I$501,"&gt;0",$J$497:$J$501,"&gt;"&amp;J501)+COUNTIFS($I$497:I501,"&gt;0",$J$497:J501,J501))))</x:f>
        <x:v>6</x:v>
      </x:c>
      <x:c r="P501" s="22" t="n">
        <x:f>IF(T501="Ready",MIN(U501,MAX(0,G501-SUMIFS($U$497:$U$501,$O$497:$O$501,"&lt;"&amp;O501))),"n.a.")</x:f>
        <x:v>0</x:v>
      </x:c>
      <x:c r="Q501" s="22" t="n">
        <x:f>IF(T501="Ready",ROUND(N501+P501,2),"n.a.")</x:f>
        <x:v>0</x:v>
      </x:c>
      <x:c r="R501" s="22" t="n">
        <x:f>IF(T501="Ready",ROUND(Q501-M501,2),"n.a.")</x:f>
        <x:v>0</x:v>
      </x:c>
      <x:c r="S501" s="22" t="n">
        <x:f>IF(T501="Ready",MAX(0,ROUND(I501+M501-Q501,2)),"n.a.")</x:f>
        <x:v>0</x:v>
      </x:c>
      <x:c r="T501" s="22" t="str">
        <x:f>IF(AND(COUNT($I$497:$I$501)=5,COUNT(E501:F501)=2),IF(E501&gt;=F501,"Ready","Budget below minima"),"Check inputs")</x:f>
        <x:v>Ready</x:v>
      </x:c>
      <x:c r="U501" s="22" t="n">
        <x:f>IF(COUNT(I501,M501,N501)=3,MAX(0,ROUND(I501+M501-N501,2)),"n.a.")</x:f>
        <x:v>0</x:v>
      </x:c>
    </x:row>
    <x:row r="502" ht="22" customHeight="1">
      <x:c r="A502" s="2"/>
      <x:c r="B502" s="2"/>
      <x:c r="C502" s="27" t="n">
        <x:f>100</x:f>
        <x:v>100</x:v>
      </x:c>
      <x:c r="D502" s="28" t="n">
        <x:f>IF(ISNUMBER('Inputs'!$D$7),EDATE('Inputs'!$D$7,99),"n.a.")</x:f>
        <x:v>49341</x:v>
      </x:c>
      <x:c r="E502" s="26" t="n">
        <x:f>IF('Inputs'!$D$9&lt;&gt;"Ready","n.a.",IF(ISNUMBER('Inputs'!E118),IF('Inputs'!E118&gt;=0,'Inputs'!E118,"n.a."),IF('Inputs'!E118="",'Inputs'!$D$6,"n.a.")))</x:f>
        <x:v>500</x:v>
      </x:c>
      <x:c r="F502" s="22" t="n">
        <x:f>IF(COUNT($N$502:$N$506)=5,SUM($N$502:$N$506),"n.a.")</x:f>
        <x:v>0</x:v>
      </x:c>
      <x:c r="G502" s="22" t="n">
        <x:f>IF(COUNT(E502:F502)=2,MAX(0,E502-F502),"n.a.")</x:f>
        <x:v>500</x:v>
      </x:c>
      <x:c r="H502" s="26" t="str">
        <x:f>'Inputs'!C11</x:f>
        <x:v>Card A</x:v>
      </x:c>
      <x:c r="I502" s="26" t="n">
        <x:f>S497</x:f>
        <x:v>0</x:v>
      </x:c>
      <x:c r="J502" s="29" t="n">
        <x:f>IF('Inputs'!$D$9="Ready",'Inputs'!E11,"n.a.")</x:f>
        <x:v>0.24</x:v>
      </x:c>
      <x:c r="K502" s="26" t="n">
        <x:f>IF('Inputs'!$D$9="Ready",'Inputs'!F11,"n.a.")</x:f>
        <x:v>35</x:v>
      </x:c>
      <x:c r="L502" s="29" t="n">
        <x:f>IF('Inputs'!$D$9="Ready",'Inputs'!G11,"n.a.")</x:f>
        <x:v>0.02</x:v>
      </x:c>
      <x:c r="M502" s="22" t="n">
        <x:f>IF(COUNT(I502:L502)=4,ROUND(I502*J502/12,2),"n.a.")</x:f>
        <x:v>0</x:v>
      </x:c>
      <x:c r="N502" s="22" t="n">
        <x:f>IF(COUNT(I502:M502)=5,MIN(I502+M502,ROUND(MAX(K502,I502*L502+M502),2)),"n.a.")</x:f>
        <x:v>0</x:v>
      </x:c>
      <x:c r="O502" s="30" t="n">
        <x:f>IF(COUNT($I$502:$I$506)&lt;&gt;5,"n.a.",IF(I502=0,6,IF('Inputs'!$D$5=1,COUNTIFS($I$502:$I$506,"&gt;0",$I$502:$I$506,"&lt;"&amp;I502)+COUNTIFS($I$502:I502,I502),COUNTIFS($I$502:$I$506,"&gt;0",$J$502:$J$506,"&gt;"&amp;J502)+COUNTIFS($I$502:I502,"&gt;0",$J$502:J502,J502))))</x:f>
        <x:v>6</x:v>
      </x:c>
      <x:c r="P502" s="22" t="n">
        <x:f>IF(T502="Ready",MIN(U502,MAX(0,G502-SUMIFS($U$502:$U$506,$O$502:$O$506,"&lt;"&amp;O502))),"n.a.")</x:f>
        <x:v>0</x:v>
      </x:c>
      <x:c r="Q502" s="22" t="n">
        <x:f>IF(T502="Ready",ROUND(N502+P502,2),"n.a.")</x:f>
        <x:v>0</x:v>
      </x:c>
      <x:c r="R502" s="22" t="n">
        <x:f>IF(T502="Ready",ROUND(Q502-M502,2),"n.a.")</x:f>
        <x:v>0</x:v>
      </x:c>
      <x:c r="S502" s="22" t="n">
        <x:f>IF(T502="Ready",MAX(0,ROUND(I502+M502-Q502,2)),"n.a.")</x:f>
        <x:v>0</x:v>
      </x:c>
      <x:c r="T502" s="22" t="str">
        <x:f>IF(AND(COUNT($I$502:$I$506)=5,COUNT(E502:F502)=2),IF(E502&gt;=F502,"Ready","Budget below minima"),"Check inputs")</x:f>
        <x:v>Ready</x:v>
      </x:c>
      <x:c r="U502" s="22" t="n">
        <x:f>IF(COUNT(I502,M502,N502)=3,MAX(0,ROUND(I502+M502-N502,2)),"n.a.")</x:f>
        <x:v>0</x:v>
      </x:c>
    </x:row>
    <x:row r="503" ht="22" customHeight="1">
      <x:c r="A503" s="2"/>
      <x:c r="B503" s="2"/>
      <x:c r="C503" s="27" t="n">
        <x:f>100</x:f>
        <x:v>100</x:v>
      </x:c>
      <x:c r="D503" s="28" t="n">
        <x:f>IF(ISNUMBER('Inputs'!$D$7),EDATE('Inputs'!$D$7,99),"n.a.")</x:f>
        <x:v>49341</x:v>
      </x:c>
      <x:c r="E503" s="26" t="n">
        <x:f>IF('Inputs'!$D$9&lt;&gt;"Ready","n.a.",IF(ISNUMBER('Inputs'!E118),IF('Inputs'!E118&gt;=0,'Inputs'!E118,"n.a."),IF('Inputs'!E118="",'Inputs'!$D$6,"n.a.")))</x:f>
        <x:v>500</x:v>
      </x:c>
      <x:c r="F503" s="22" t="n">
        <x:f>IF(COUNT($N$502:$N$506)=5,SUM($N$502:$N$506),"n.a.")</x:f>
        <x:v>0</x:v>
      </x:c>
      <x:c r="G503" s="22" t="n">
        <x:f>IF(COUNT(E503:F503)=2,MAX(0,E503-F503),"n.a.")</x:f>
        <x:v>500</x:v>
      </x:c>
      <x:c r="H503" s="26" t="str">
        <x:f>'Inputs'!C12</x:f>
        <x:v>Card B</x:v>
      </x:c>
      <x:c r="I503" s="26" t="n">
        <x:f>S498</x:f>
        <x:v>0</x:v>
      </x:c>
      <x:c r="J503" s="29" t="n">
        <x:f>IF('Inputs'!$D$9="Ready",'Inputs'!E12,"n.a.")</x:f>
        <x:v>0.18</x:v>
      </x:c>
      <x:c r="K503" s="26" t="n">
        <x:f>IF('Inputs'!$D$9="Ready",'Inputs'!F12,"n.a.")</x:f>
        <x:v>60</x:v>
      </x:c>
      <x:c r="L503" s="29" t="n">
        <x:f>IF('Inputs'!$D$9="Ready",'Inputs'!G12,"n.a.")</x:f>
        <x:v>0.02</x:v>
      </x:c>
      <x:c r="M503" s="22" t="n">
        <x:f>IF(COUNT(I503:L503)=4,ROUND(I503*J503/12,2),"n.a.")</x:f>
        <x:v>0</x:v>
      </x:c>
      <x:c r="N503" s="22" t="n">
        <x:f>IF(COUNT(I503:M503)=5,MIN(I503+M503,ROUND(MAX(K503,I503*L503+M503),2)),"n.a.")</x:f>
        <x:v>0</x:v>
      </x:c>
      <x:c r="O503" s="30" t="n">
        <x:f>IF(COUNT($I$502:$I$506)&lt;&gt;5,"n.a.",IF(I503=0,6,IF('Inputs'!$D$5=1,COUNTIFS($I$502:$I$506,"&gt;0",$I$502:$I$506,"&lt;"&amp;I503)+COUNTIFS($I$502:I503,I503),COUNTIFS($I$502:$I$506,"&gt;0",$J$502:$J$506,"&gt;"&amp;J503)+COUNTIFS($I$502:I503,"&gt;0",$J$502:J503,J503))))</x:f>
        <x:v>6</x:v>
      </x:c>
      <x:c r="P503" s="22" t="n">
        <x:f>IF(T503="Ready",MIN(U503,MAX(0,G503-SUMIFS($U$502:$U$506,$O$502:$O$506,"&lt;"&amp;O503))),"n.a.")</x:f>
        <x:v>0</x:v>
      </x:c>
      <x:c r="Q503" s="22" t="n">
        <x:f>IF(T503="Ready",ROUND(N503+P503,2),"n.a.")</x:f>
        <x:v>0</x:v>
      </x:c>
      <x:c r="R503" s="22" t="n">
        <x:f>IF(T503="Ready",ROUND(Q503-M503,2),"n.a.")</x:f>
        <x:v>0</x:v>
      </x:c>
      <x:c r="S503" s="22" t="n">
        <x:f>IF(T503="Ready",MAX(0,ROUND(I503+M503-Q503,2)),"n.a.")</x:f>
        <x:v>0</x:v>
      </x:c>
      <x:c r="T503" s="22" t="str">
        <x:f>IF(AND(COUNT($I$502:$I$506)=5,COUNT(E503:F503)=2),IF(E503&gt;=F503,"Ready","Budget below minima"),"Check inputs")</x:f>
        <x:v>Ready</x:v>
      </x:c>
      <x:c r="U503" s="22" t="n">
        <x:f>IF(COUNT(I503,M503,N503)=3,MAX(0,ROUND(I503+M503-N503,2)),"n.a.")</x:f>
        <x:v>0</x:v>
      </x:c>
    </x:row>
    <x:row r="504" ht="22" customHeight="1">
      <x:c r="A504" s="2"/>
      <x:c r="B504" s="2"/>
      <x:c r="C504" s="27" t="n">
        <x:f>100</x:f>
        <x:v>100</x:v>
      </x:c>
      <x:c r="D504" s="28" t="n">
        <x:f>IF(ISNUMBER('Inputs'!$D$7),EDATE('Inputs'!$D$7,99),"n.a.")</x:f>
        <x:v>49341</x:v>
      </x:c>
      <x:c r="E504" s="26" t="n">
        <x:f>IF('Inputs'!$D$9&lt;&gt;"Ready","n.a.",IF(ISNUMBER('Inputs'!E118),IF('Inputs'!E118&gt;=0,'Inputs'!E118,"n.a."),IF('Inputs'!E118="",'Inputs'!$D$6,"n.a.")))</x:f>
        <x:v>500</x:v>
      </x:c>
      <x:c r="F504" s="22" t="n">
        <x:f>IF(COUNT($N$502:$N$506)=5,SUM($N$502:$N$506),"n.a.")</x:f>
        <x:v>0</x:v>
      </x:c>
      <x:c r="G504" s="22" t="n">
        <x:f>IF(COUNT(E504:F504)=2,MAX(0,E504-F504),"n.a.")</x:f>
        <x:v>500</x:v>
      </x:c>
      <x:c r="H504" s="26" t="str">
        <x:f>'Inputs'!C13</x:f>
        <x:v>Loan C</x:v>
      </x:c>
      <x:c r="I504" s="26" t="n">
        <x:f>S499</x:f>
        <x:v>0</x:v>
      </x:c>
      <x:c r="J504" s="29" t="n">
        <x:f>IF('Inputs'!$D$9="Ready",'Inputs'!E13,"n.a.")</x:f>
        <x:v>0.08</x:v>
      </x:c>
      <x:c r="K504" s="26" t="n">
        <x:f>IF('Inputs'!$D$9="Ready",'Inputs'!F13,"n.a.")</x:f>
        <x:v>150</x:v>
      </x:c>
      <x:c r="L504" s="29" t="n">
        <x:f>IF('Inputs'!$D$9="Ready",'Inputs'!G13,"n.a.")</x:f>
        <x:v>0</x:v>
      </x:c>
      <x:c r="M504" s="22" t="n">
        <x:f>IF(COUNT(I504:L504)=4,ROUND(I504*J504/12,2),"n.a.")</x:f>
        <x:v>0</x:v>
      </x:c>
      <x:c r="N504" s="22" t="n">
        <x:f>IF(COUNT(I504:M504)=5,MIN(I504+M504,ROUND(MAX(K504,I504*L504+M504),2)),"n.a.")</x:f>
        <x:v>0</x:v>
      </x:c>
      <x:c r="O504" s="30" t="n">
        <x:f>IF(COUNT($I$502:$I$506)&lt;&gt;5,"n.a.",IF(I504=0,6,IF('Inputs'!$D$5=1,COUNTIFS($I$502:$I$506,"&gt;0",$I$502:$I$506,"&lt;"&amp;I504)+COUNTIFS($I$502:I504,I504),COUNTIFS($I$502:$I$506,"&gt;0",$J$502:$J$506,"&gt;"&amp;J504)+COUNTIFS($I$502:I504,"&gt;0",$J$502:J504,J504))))</x:f>
        <x:v>6</x:v>
      </x:c>
      <x:c r="P504" s="22" t="n">
        <x:f>IF(T504="Ready",MIN(U504,MAX(0,G504-SUMIFS($U$502:$U$506,$O$502:$O$506,"&lt;"&amp;O504))),"n.a.")</x:f>
        <x:v>0</x:v>
      </x:c>
      <x:c r="Q504" s="22" t="n">
        <x:f>IF(T504="Ready",ROUND(N504+P504,2),"n.a.")</x:f>
        <x:v>0</x:v>
      </x:c>
      <x:c r="R504" s="22" t="n">
        <x:f>IF(T504="Ready",ROUND(Q504-M504,2),"n.a.")</x:f>
        <x:v>0</x:v>
      </x:c>
      <x:c r="S504" s="22" t="n">
        <x:f>IF(T504="Ready",MAX(0,ROUND(I504+M504-Q504,2)),"n.a.")</x:f>
        <x:v>0</x:v>
      </x:c>
      <x:c r="T504" s="22" t="str">
        <x:f>IF(AND(COUNT($I$502:$I$506)=5,COUNT(E504:F504)=2),IF(E504&gt;=F504,"Ready","Budget below minima"),"Check inputs")</x:f>
        <x:v>Ready</x:v>
      </x:c>
      <x:c r="U504" s="22" t="n">
        <x:f>IF(COUNT(I504,M504,N504)=3,MAX(0,ROUND(I504+M504-N504,2)),"n.a.")</x:f>
        <x:v>0</x:v>
      </x:c>
    </x:row>
    <x:row r="505" ht="22" customHeight="1">
      <x:c r="A505" s="2"/>
      <x:c r="B505" s="2"/>
      <x:c r="C505" s="27" t="n">
        <x:f>100</x:f>
        <x:v>100</x:v>
      </x:c>
      <x:c r="D505" s="28" t="n">
        <x:f>IF(ISNUMBER('Inputs'!$D$7),EDATE('Inputs'!$D$7,99),"n.a.")</x:f>
        <x:v>49341</x:v>
      </x:c>
      <x:c r="E505" s="26" t="n">
        <x:f>IF('Inputs'!$D$9&lt;&gt;"Ready","n.a.",IF(ISNUMBER('Inputs'!E118),IF('Inputs'!E118&gt;=0,'Inputs'!E118,"n.a."),IF('Inputs'!E118="",'Inputs'!$D$6,"n.a.")))</x:f>
        <x:v>500</x:v>
      </x:c>
      <x:c r="F505" s="22" t="n">
        <x:f>IF(COUNT($N$502:$N$506)=5,SUM($N$502:$N$506),"n.a.")</x:f>
        <x:v>0</x:v>
      </x:c>
      <x:c r="G505" s="22" t="n">
        <x:f>IF(COUNT(E505:F505)=2,MAX(0,E505-F505),"n.a.")</x:f>
        <x:v>500</x:v>
      </x:c>
      <x:c r="H505" s="26" t="str">
        <x:f>'Inputs'!C14</x:f>
        <x:v>Unused 4</x:v>
      </x:c>
      <x:c r="I505" s="26" t="n">
        <x:f>S500</x:f>
        <x:v>0</x:v>
      </x:c>
      <x:c r="J505" s="29" t="n">
        <x:f>IF('Inputs'!$D$9="Ready",'Inputs'!E14,"n.a.")</x:f>
        <x:v>0</x:v>
      </x:c>
      <x:c r="K505" s="26" t="n">
        <x:f>IF('Inputs'!$D$9="Ready",'Inputs'!F14,"n.a.")</x:f>
        <x:v>0</x:v>
      </x:c>
      <x:c r="L505" s="29" t="n">
        <x:f>IF('Inputs'!$D$9="Ready",'Inputs'!G14,"n.a.")</x:f>
        <x:v>0</x:v>
      </x:c>
      <x:c r="M505" s="22" t="n">
        <x:f>IF(COUNT(I505:L505)=4,ROUND(I505*J505/12,2),"n.a.")</x:f>
        <x:v>0</x:v>
      </x:c>
      <x:c r="N505" s="22" t="n">
        <x:f>IF(COUNT(I505:M505)=5,MIN(I505+M505,ROUND(MAX(K505,I505*L505+M505),2)),"n.a.")</x:f>
        <x:v>0</x:v>
      </x:c>
      <x:c r="O505" s="30" t="n">
        <x:f>IF(COUNT($I$502:$I$506)&lt;&gt;5,"n.a.",IF(I505=0,6,IF('Inputs'!$D$5=1,COUNTIFS($I$502:$I$506,"&gt;0",$I$502:$I$506,"&lt;"&amp;I505)+COUNTIFS($I$502:I505,I505),COUNTIFS($I$502:$I$506,"&gt;0",$J$502:$J$506,"&gt;"&amp;J505)+COUNTIFS($I$502:I505,"&gt;0",$J$502:J505,J505))))</x:f>
        <x:v>6</x:v>
      </x:c>
      <x:c r="P505" s="22" t="n">
        <x:f>IF(T505="Ready",MIN(U505,MAX(0,G505-SUMIFS($U$502:$U$506,$O$502:$O$506,"&lt;"&amp;O505))),"n.a.")</x:f>
        <x:v>0</x:v>
      </x:c>
      <x:c r="Q505" s="22" t="n">
        <x:f>IF(T505="Ready",ROUND(N505+P505,2),"n.a.")</x:f>
        <x:v>0</x:v>
      </x:c>
      <x:c r="R505" s="22" t="n">
        <x:f>IF(T505="Ready",ROUND(Q505-M505,2),"n.a.")</x:f>
        <x:v>0</x:v>
      </x:c>
      <x:c r="S505" s="22" t="n">
        <x:f>IF(T505="Ready",MAX(0,ROUND(I505+M505-Q505,2)),"n.a.")</x:f>
        <x:v>0</x:v>
      </x:c>
      <x:c r="T505" s="22" t="str">
        <x:f>IF(AND(COUNT($I$502:$I$506)=5,COUNT(E505:F505)=2),IF(E505&gt;=F505,"Ready","Budget below minima"),"Check inputs")</x:f>
        <x:v>Ready</x:v>
      </x:c>
      <x:c r="U505" s="22" t="n">
        <x:f>IF(COUNT(I505,M505,N505)=3,MAX(0,ROUND(I505+M505-N505,2)),"n.a.")</x:f>
        <x:v>0</x:v>
      </x:c>
    </x:row>
    <x:row r="506" ht="22" customHeight="1">
      <x:c r="A506" s="2"/>
      <x:c r="B506" s="2"/>
      <x:c r="C506" s="27" t="n">
        <x:f>100</x:f>
        <x:v>100</x:v>
      </x:c>
      <x:c r="D506" s="28" t="n">
        <x:f>IF(ISNUMBER('Inputs'!$D$7),EDATE('Inputs'!$D$7,99),"n.a.")</x:f>
        <x:v>49341</x:v>
      </x:c>
      <x:c r="E506" s="26" t="n">
        <x:f>IF('Inputs'!$D$9&lt;&gt;"Ready","n.a.",IF(ISNUMBER('Inputs'!E118),IF('Inputs'!E118&gt;=0,'Inputs'!E118,"n.a."),IF('Inputs'!E118="",'Inputs'!$D$6,"n.a.")))</x:f>
        <x:v>500</x:v>
      </x:c>
      <x:c r="F506" s="22" t="n">
        <x:f>IF(COUNT($N$502:$N$506)=5,SUM($N$502:$N$506),"n.a.")</x:f>
        <x:v>0</x:v>
      </x:c>
      <x:c r="G506" s="22" t="n">
        <x:f>IF(COUNT(E506:F506)=2,MAX(0,E506-F506),"n.a.")</x:f>
        <x:v>500</x:v>
      </x:c>
      <x:c r="H506" s="26" t="str">
        <x:f>'Inputs'!C15</x:f>
        <x:v>Unused 5</x:v>
      </x:c>
      <x:c r="I506" s="26" t="n">
        <x:f>S501</x:f>
        <x:v>0</x:v>
      </x:c>
      <x:c r="J506" s="29" t="n">
        <x:f>IF('Inputs'!$D$9="Ready",'Inputs'!E15,"n.a.")</x:f>
        <x:v>0</x:v>
      </x:c>
      <x:c r="K506" s="26" t="n">
        <x:f>IF('Inputs'!$D$9="Ready",'Inputs'!F15,"n.a.")</x:f>
        <x:v>0</x:v>
      </x:c>
      <x:c r="L506" s="29" t="n">
        <x:f>IF('Inputs'!$D$9="Ready",'Inputs'!G15,"n.a.")</x:f>
        <x:v>0</x:v>
      </x:c>
      <x:c r="M506" s="22" t="n">
        <x:f>IF(COUNT(I506:L506)=4,ROUND(I506*J506/12,2),"n.a.")</x:f>
        <x:v>0</x:v>
      </x:c>
      <x:c r="N506" s="22" t="n">
        <x:f>IF(COUNT(I506:M506)=5,MIN(I506+M506,ROUND(MAX(K506,I506*L506+M506),2)),"n.a.")</x:f>
        <x:v>0</x:v>
      </x:c>
      <x:c r="O506" s="30" t="n">
        <x:f>IF(COUNT($I$502:$I$506)&lt;&gt;5,"n.a.",IF(I506=0,6,IF('Inputs'!$D$5=1,COUNTIFS($I$502:$I$506,"&gt;0",$I$502:$I$506,"&lt;"&amp;I506)+COUNTIFS($I$502:I506,I506),COUNTIFS($I$502:$I$506,"&gt;0",$J$502:$J$506,"&gt;"&amp;J506)+COUNTIFS($I$502:I506,"&gt;0",$J$502:J506,J506))))</x:f>
        <x:v>6</x:v>
      </x:c>
      <x:c r="P506" s="22" t="n">
        <x:f>IF(T506="Ready",MIN(U506,MAX(0,G506-SUMIFS($U$502:$U$506,$O$502:$O$506,"&lt;"&amp;O506))),"n.a.")</x:f>
        <x:v>0</x:v>
      </x:c>
      <x:c r="Q506" s="22" t="n">
        <x:f>IF(T506="Ready",ROUND(N506+P506,2),"n.a.")</x:f>
        <x:v>0</x:v>
      </x:c>
      <x:c r="R506" s="22" t="n">
        <x:f>IF(T506="Ready",ROUND(Q506-M506,2),"n.a.")</x:f>
        <x:v>0</x:v>
      </x:c>
      <x:c r="S506" s="22" t="n">
        <x:f>IF(T506="Ready",MAX(0,ROUND(I506+M506-Q506,2)),"n.a.")</x:f>
        <x:v>0</x:v>
      </x:c>
      <x:c r="T506" s="22" t="str">
        <x:f>IF(AND(COUNT($I$502:$I$506)=5,COUNT(E506:F506)=2),IF(E506&gt;=F506,"Ready","Budget below minima"),"Check inputs")</x:f>
        <x:v>Ready</x:v>
      </x:c>
      <x:c r="U506" s="22" t="n">
        <x:f>IF(COUNT(I506,M506,N506)=3,MAX(0,ROUND(I506+M506-N506,2)),"n.a.")</x:f>
        <x:v>0</x:v>
      </x:c>
    </x:row>
    <x:row r="507" ht="22" customHeight="1">
      <x:c r="A507" s="2"/>
      <x:c r="B507" s="2"/>
      <x:c r="C507" s="27" t="n">
        <x:f>101</x:f>
        <x:v>101</x:v>
      </x:c>
      <x:c r="D507" s="28" t="n">
        <x:f>IF(ISNUMBER('Inputs'!$D$7),EDATE('Inputs'!$D$7,100),"n.a.")</x:f>
        <x:v>49369</x:v>
      </x:c>
      <x:c r="E507" s="26" t="n">
        <x:f>IF('Inputs'!$D$9&lt;&gt;"Ready","n.a.",IF(ISNUMBER('Inputs'!E119),IF('Inputs'!E119&gt;=0,'Inputs'!E119,"n.a."),IF('Inputs'!E119="",'Inputs'!$D$6,"n.a.")))</x:f>
        <x:v>500</x:v>
      </x:c>
      <x:c r="F507" s="22" t="n">
        <x:f>IF(COUNT($N$507:$N$511)=5,SUM($N$507:$N$511),"n.a.")</x:f>
        <x:v>0</x:v>
      </x:c>
      <x:c r="G507" s="22" t="n">
        <x:f>IF(COUNT(E507:F507)=2,MAX(0,E507-F507),"n.a.")</x:f>
        <x:v>500</x:v>
      </x:c>
      <x:c r="H507" s="26" t="str">
        <x:f>'Inputs'!C11</x:f>
        <x:v>Card A</x:v>
      </x:c>
      <x:c r="I507" s="26" t="n">
        <x:f>S502</x:f>
        <x:v>0</x:v>
      </x:c>
      <x:c r="J507" s="29" t="n">
        <x:f>IF('Inputs'!$D$9="Ready",'Inputs'!E11,"n.a.")</x:f>
        <x:v>0.24</x:v>
      </x:c>
      <x:c r="K507" s="26" t="n">
        <x:f>IF('Inputs'!$D$9="Ready",'Inputs'!F11,"n.a.")</x:f>
        <x:v>35</x:v>
      </x:c>
      <x:c r="L507" s="29" t="n">
        <x:f>IF('Inputs'!$D$9="Ready",'Inputs'!G11,"n.a.")</x:f>
        <x:v>0.02</x:v>
      </x:c>
      <x:c r="M507" s="22" t="n">
        <x:f>IF(COUNT(I507:L507)=4,ROUND(I507*J507/12,2),"n.a.")</x:f>
        <x:v>0</x:v>
      </x:c>
      <x:c r="N507" s="22" t="n">
        <x:f>IF(COUNT(I507:M507)=5,MIN(I507+M507,ROUND(MAX(K507,I507*L507+M507),2)),"n.a.")</x:f>
        <x:v>0</x:v>
      </x:c>
      <x:c r="O507" s="30" t="n">
        <x:f>IF(COUNT($I$507:$I$511)&lt;&gt;5,"n.a.",IF(I507=0,6,IF('Inputs'!$D$5=1,COUNTIFS($I$507:$I$511,"&gt;0",$I$507:$I$511,"&lt;"&amp;I507)+COUNTIFS($I$507:I507,I507),COUNTIFS($I$507:$I$511,"&gt;0",$J$507:$J$511,"&gt;"&amp;J507)+COUNTIFS($I$507:I507,"&gt;0",$J$507:J507,J507))))</x:f>
        <x:v>6</x:v>
      </x:c>
      <x:c r="P507" s="22" t="n">
        <x:f>IF(T507="Ready",MIN(U507,MAX(0,G507-SUMIFS($U$507:$U$511,$O$507:$O$511,"&lt;"&amp;O507))),"n.a.")</x:f>
        <x:v>0</x:v>
      </x:c>
      <x:c r="Q507" s="22" t="n">
        <x:f>IF(T507="Ready",ROUND(N507+P507,2),"n.a.")</x:f>
        <x:v>0</x:v>
      </x:c>
      <x:c r="R507" s="22" t="n">
        <x:f>IF(T507="Ready",ROUND(Q507-M507,2),"n.a.")</x:f>
        <x:v>0</x:v>
      </x:c>
      <x:c r="S507" s="22" t="n">
        <x:f>IF(T507="Ready",MAX(0,ROUND(I507+M507-Q507,2)),"n.a.")</x:f>
        <x:v>0</x:v>
      </x:c>
      <x:c r="T507" s="22" t="str">
        <x:f>IF(AND(COUNT($I$507:$I$511)=5,COUNT(E507:F507)=2),IF(E507&gt;=F507,"Ready","Budget below minima"),"Check inputs")</x:f>
        <x:v>Ready</x:v>
      </x:c>
      <x:c r="U507" s="22" t="n">
        <x:f>IF(COUNT(I507,M507,N507)=3,MAX(0,ROUND(I507+M507-N507,2)),"n.a.")</x:f>
        <x:v>0</x:v>
      </x:c>
    </x:row>
    <x:row r="508" ht="22" customHeight="1">
      <x:c r="A508" s="2"/>
      <x:c r="B508" s="2"/>
      <x:c r="C508" s="27" t="n">
        <x:f>101</x:f>
        <x:v>101</x:v>
      </x:c>
      <x:c r="D508" s="28" t="n">
        <x:f>IF(ISNUMBER('Inputs'!$D$7),EDATE('Inputs'!$D$7,100),"n.a.")</x:f>
        <x:v>49369</x:v>
      </x:c>
      <x:c r="E508" s="26" t="n">
        <x:f>IF('Inputs'!$D$9&lt;&gt;"Ready","n.a.",IF(ISNUMBER('Inputs'!E119),IF('Inputs'!E119&gt;=0,'Inputs'!E119,"n.a."),IF('Inputs'!E119="",'Inputs'!$D$6,"n.a.")))</x:f>
        <x:v>500</x:v>
      </x:c>
      <x:c r="F508" s="22" t="n">
        <x:f>IF(COUNT($N$507:$N$511)=5,SUM($N$507:$N$511),"n.a.")</x:f>
        <x:v>0</x:v>
      </x:c>
      <x:c r="G508" s="22" t="n">
        <x:f>IF(COUNT(E508:F508)=2,MAX(0,E508-F508),"n.a.")</x:f>
        <x:v>500</x:v>
      </x:c>
      <x:c r="H508" s="26" t="str">
        <x:f>'Inputs'!C12</x:f>
        <x:v>Card B</x:v>
      </x:c>
      <x:c r="I508" s="26" t="n">
        <x:f>S503</x:f>
        <x:v>0</x:v>
      </x:c>
      <x:c r="J508" s="29" t="n">
        <x:f>IF('Inputs'!$D$9="Ready",'Inputs'!E12,"n.a.")</x:f>
        <x:v>0.18</x:v>
      </x:c>
      <x:c r="K508" s="26" t="n">
        <x:f>IF('Inputs'!$D$9="Ready",'Inputs'!F12,"n.a.")</x:f>
        <x:v>60</x:v>
      </x:c>
      <x:c r="L508" s="29" t="n">
        <x:f>IF('Inputs'!$D$9="Ready",'Inputs'!G12,"n.a.")</x:f>
        <x:v>0.02</x:v>
      </x:c>
      <x:c r="M508" s="22" t="n">
        <x:f>IF(COUNT(I508:L508)=4,ROUND(I508*J508/12,2),"n.a.")</x:f>
        <x:v>0</x:v>
      </x:c>
      <x:c r="N508" s="22" t="n">
        <x:f>IF(COUNT(I508:M508)=5,MIN(I508+M508,ROUND(MAX(K508,I508*L508+M508),2)),"n.a.")</x:f>
        <x:v>0</x:v>
      </x:c>
      <x:c r="O508" s="30" t="n">
        <x:f>IF(COUNT($I$507:$I$511)&lt;&gt;5,"n.a.",IF(I508=0,6,IF('Inputs'!$D$5=1,COUNTIFS($I$507:$I$511,"&gt;0",$I$507:$I$511,"&lt;"&amp;I508)+COUNTIFS($I$507:I508,I508),COUNTIFS($I$507:$I$511,"&gt;0",$J$507:$J$511,"&gt;"&amp;J508)+COUNTIFS($I$507:I508,"&gt;0",$J$507:J508,J508))))</x:f>
        <x:v>6</x:v>
      </x:c>
      <x:c r="P508" s="22" t="n">
        <x:f>IF(T508="Ready",MIN(U508,MAX(0,G508-SUMIFS($U$507:$U$511,$O$507:$O$511,"&lt;"&amp;O508))),"n.a.")</x:f>
        <x:v>0</x:v>
      </x:c>
      <x:c r="Q508" s="22" t="n">
        <x:f>IF(T508="Ready",ROUND(N508+P508,2),"n.a.")</x:f>
        <x:v>0</x:v>
      </x:c>
      <x:c r="R508" s="22" t="n">
        <x:f>IF(T508="Ready",ROUND(Q508-M508,2),"n.a.")</x:f>
        <x:v>0</x:v>
      </x:c>
      <x:c r="S508" s="22" t="n">
        <x:f>IF(T508="Ready",MAX(0,ROUND(I508+M508-Q508,2)),"n.a.")</x:f>
        <x:v>0</x:v>
      </x:c>
      <x:c r="T508" s="22" t="str">
        <x:f>IF(AND(COUNT($I$507:$I$511)=5,COUNT(E508:F508)=2),IF(E508&gt;=F508,"Ready","Budget below minima"),"Check inputs")</x:f>
        <x:v>Ready</x:v>
      </x:c>
      <x:c r="U508" s="22" t="n">
        <x:f>IF(COUNT(I508,M508,N508)=3,MAX(0,ROUND(I508+M508-N508,2)),"n.a.")</x:f>
        <x:v>0</x:v>
      </x:c>
    </x:row>
    <x:row r="509" ht="22" customHeight="1">
      <x:c r="A509" s="2"/>
      <x:c r="B509" s="2"/>
      <x:c r="C509" s="27" t="n">
        <x:f>101</x:f>
        <x:v>101</x:v>
      </x:c>
      <x:c r="D509" s="28" t="n">
        <x:f>IF(ISNUMBER('Inputs'!$D$7),EDATE('Inputs'!$D$7,100),"n.a.")</x:f>
        <x:v>49369</x:v>
      </x:c>
      <x:c r="E509" s="26" t="n">
        <x:f>IF('Inputs'!$D$9&lt;&gt;"Ready","n.a.",IF(ISNUMBER('Inputs'!E119),IF('Inputs'!E119&gt;=0,'Inputs'!E119,"n.a."),IF('Inputs'!E119="",'Inputs'!$D$6,"n.a.")))</x:f>
        <x:v>500</x:v>
      </x:c>
      <x:c r="F509" s="22" t="n">
        <x:f>IF(COUNT($N$507:$N$511)=5,SUM($N$507:$N$511),"n.a.")</x:f>
        <x:v>0</x:v>
      </x:c>
      <x:c r="G509" s="22" t="n">
        <x:f>IF(COUNT(E509:F509)=2,MAX(0,E509-F509),"n.a.")</x:f>
        <x:v>500</x:v>
      </x:c>
      <x:c r="H509" s="26" t="str">
        <x:f>'Inputs'!C13</x:f>
        <x:v>Loan C</x:v>
      </x:c>
      <x:c r="I509" s="26" t="n">
        <x:f>S504</x:f>
        <x:v>0</x:v>
      </x:c>
      <x:c r="J509" s="29" t="n">
        <x:f>IF('Inputs'!$D$9="Ready",'Inputs'!E13,"n.a.")</x:f>
        <x:v>0.08</x:v>
      </x:c>
      <x:c r="K509" s="26" t="n">
        <x:f>IF('Inputs'!$D$9="Ready",'Inputs'!F13,"n.a.")</x:f>
        <x:v>150</x:v>
      </x:c>
      <x:c r="L509" s="29" t="n">
        <x:f>IF('Inputs'!$D$9="Ready",'Inputs'!G13,"n.a.")</x:f>
        <x:v>0</x:v>
      </x:c>
      <x:c r="M509" s="22" t="n">
        <x:f>IF(COUNT(I509:L509)=4,ROUND(I509*J509/12,2),"n.a.")</x:f>
        <x:v>0</x:v>
      </x:c>
      <x:c r="N509" s="22" t="n">
        <x:f>IF(COUNT(I509:M509)=5,MIN(I509+M509,ROUND(MAX(K509,I509*L509+M509),2)),"n.a.")</x:f>
        <x:v>0</x:v>
      </x:c>
      <x:c r="O509" s="30" t="n">
        <x:f>IF(COUNT($I$507:$I$511)&lt;&gt;5,"n.a.",IF(I509=0,6,IF('Inputs'!$D$5=1,COUNTIFS($I$507:$I$511,"&gt;0",$I$507:$I$511,"&lt;"&amp;I509)+COUNTIFS($I$507:I509,I509),COUNTIFS($I$507:$I$511,"&gt;0",$J$507:$J$511,"&gt;"&amp;J509)+COUNTIFS($I$507:I509,"&gt;0",$J$507:J509,J509))))</x:f>
        <x:v>6</x:v>
      </x:c>
      <x:c r="P509" s="22" t="n">
        <x:f>IF(T509="Ready",MIN(U509,MAX(0,G509-SUMIFS($U$507:$U$511,$O$507:$O$511,"&lt;"&amp;O509))),"n.a.")</x:f>
        <x:v>0</x:v>
      </x:c>
      <x:c r="Q509" s="22" t="n">
        <x:f>IF(T509="Ready",ROUND(N509+P509,2),"n.a.")</x:f>
        <x:v>0</x:v>
      </x:c>
      <x:c r="R509" s="22" t="n">
        <x:f>IF(T509="Ready",ROUND(Q509-M509,2),"n.a.")</x:f>
        <x:v>0</x:v>
      </x:c>
      <x:c r="S509" s="22" t="n">
        <x:f>IF(T509="Ready",MAX(0,ROUND(I509+M509-Q509,2)),"n.a.")</x:f>
        <x:v>0</x:v>
      </x:c>
      <x:c r="T509" s="22" t="str">
        <x:f>IF(AND(COUNT($I$507:$I$511)=5,COUNT(E509:F509)=2),IF(E509&gt;=F509,"Ready","Budget below minima"),"Check inputs")</x:f>
        <x:v>Ready</x:v>
      </x:c>
      <x:c r="U509" s="22" t="n">
        <x:f>IF(COUNT(I509,M509,N509)=3,MAX(0,ROUND(I509+M509-N509,2)),"n.a.")</x:f>
        <x:v>0</x:v>
      </x:c>
    </x:row>
    <x:row r="510" ht="22" customHeight="1">
      <x:c r="A510" s="2"/>
      <x:c r="B510" s="2"/>
      <x:c r="C510" s="27" t="n">
        <x:f>101</x:f>
        <x:v>101</x:v>
      </x:c>
      <x:c r="D510" s="28" t="n">
        <x:f>IF(ISNUMBER('Inputs'!$D$7),EDATE('Inputs'!$D$7,100),"n.a.")</x:f>
        <x:v>49369</x:v>
      </x:c>
      <x:c r="E510" s="26" t="n">
        <x:f>IF('Inputs'!$D$9&lt;&gt;"Ready","n.a.",IF(ISNUMBER('Inputs'!E119),IF('Inputs'!E119&gt;=0,'Inputs'!E119,"n.a."),IF('Inputs'!E119="",'Inputs'!$D$6,"n.a.")))</x:f>
        <x:v>500</x:v>
      </x:c>
      <x:c r="F510" s="22" t="n">
        <x:f>IF(COUNT($N$507:$N$511)=5,SUM($N$507:$N$511),"n.a.")</x:f>
        <x:v>0</x:v>
      </x:c>
      <x:c r="G510" s="22" t="n">
        <x:f>IF(COUNT(E510:F510)=2,MAX(0,E510-F510),"n.a.")</x:f>
        <x:v>500</x:v>
      </x:c>
      <x:c r="H510" s="26" t="str">
        <x:f>'Inputs'!C14</x:f>
        <x:v>Unused 4</x:v>
      </x:c>
      <x:c r="I510" s="26" t="n">
        <x:f>S505</x:f>
        <x:v>0</x:v>
      </x:c>
      <x:c r="J510" s="29" t="n">
        <x:f>IF('Inputs'!$D$9="Ready",'Inputs'!E14,"n.a.")</x:f>
        <x:v>0</x:v>
      </x:c>
      <x:c r="K510" s="26" t="n">
        <x:f>IF('Inputs'!$D$9="Ready",'Inputs'!F14,"n.a.")</x:f>
        <x:v>0</x:v>
      </x:c>
      <x:c r="L510" s="29" t="n">
        <x:f>IF('Inputs'!$D$9="Ready",'Inputs'!G14,"n.a.")</x:f>
        <x:v>0</x:v>
      </x:c>
      <x:c r="M510" s="22" t="n">
        <x:f>IF(COUNT(I510:L510)=4,ROUND(I510*J510/12,2),"n.a.")</x:f>
        <x:v>0</x:v>
      </x:c>
      <x:c r="N510" s="22" t="n">
        <x:f>IF(COUNT(I510:M510)=5,MIN(I510+M510,ROUND(MAX(K510,I510*L510+M510),2)),"n.a.")</x:f>
        <x:v>0</x:v>
      </x:c>
      <x:c r="O510" s="30" t="n">
        <x:f>IF(COUNT($I$507:$I$511)&lt;&gt;5,"n.a.",IF(I510=0,6,IF('Inputs'!$D$5=1,COUNTIFS($I$507:$I$511,"&gt;0",$I$507:$I$511,"&lt;"&amp;I510)+COUNTIFS($I$507:I510,I510),COUNTIFS($I$507:$I$511,"&gt;0",$J$507:$J$511,"&gt;"&amp;J510)+COUNTIFS($I$507:I510,"&gt;0",$J$507:J510,J510))))</x:f>
        <x:v>6</x:v>
      </x:c>
      <x:c r="P510" s="22" t="n">
        <x:f>IF(T510="Ready",MIN(U510,MAX(0,G510-SUMIFS($U$507:$U$511,$O$507:$O$511,"&lt;"&amp;O510))),"n.a.")</x:f>
        <x:v>0</x:v>
      </x:c>
      <x:c r="Q510" s="22" t="n">
        <x:f>IF(T510="Ready",ROUND(N510+P510,2),"n.a.")</x:f>
        <x:v>0</x:v>
      </x:c>
      <x:c r="R510" s="22" t="n">
        <x:f>IF(T510="Ready",ROUND(Q510-M510,2),"n.a.")</x:f>
        <x:v>0</x:v>
      </x:c>
      <x:c r="S510" s="22" t="n">
        <x:f>IF(T510="Ready",MAX(0,ROUND(I510+M510-Q510,2)),"n.a.")</x:f>
        <x:v>0</x:v>
      </x:c>
      <x:c r="T510" s="22" t="str">
        <x:f>IF(AND(COUNT($I$507:$I$511)=5,COUNT(E510:F510)=2),IF(E510&gt;=F510,"Ready","Budget below minima"),"Check inputs")</x:f>
        <x:v>Ready</x:v>
      </x:c>
      <x:c r="U510" s="22" t="n">
        <x:f>IF(COUNT(I510,M510,N510)=3,MAX(0,ROUND(I510+M510-N510,2)),"n.a.")</x:f>
        <x:v>0</x:v>
      </x:c>
    </x:row>
    <x:row r="511" ht="22" customHeight="1">
      <x:c r="A511" s="2"/>
      <x:c r="B511" s="2"/>
      <x:c r="C511" s="27" t="n">
        <x:f>101</x:f>
        <x:v>101</x:v>
      </x:c>
      <x:c r="D511" s="28" t="n">
        <x:f>IF(ISNUMBER('Inputs'!$D$7),EDATE('Inputs'!$D$7,100),"n.a.")</x:f>
        <x:v>49369</x:v>
      </x:c>
      <x:c r="E511" s="26" t="n">
        <x:f>IF('Inputs'!$D$9&lt;&gt;"Ready","n.a.",IF(ISNUMBER('Inputs'!E119),IF('Inputs'!E119&gt;=0,'Inputs'!E119,"n.a."),IF('Inputs'!E119="",'Inputs'!$D$6,"n.a.")))</x:f>
        <x:v>500</x:v>
      </x:c>
      <x:c r="F511" s="22" t="n">
        <x:f>IF(COUNT($N$507:$N$511)=5,SUM($N$507:$N$511),"n.a.")</x:f>
        <x:v>0</x:v>
      </x:c>
      <x:c r="G511" s="22" t="n">
        <x:f>IF(COUNT(E511:F511)=2,MAX(0,E511-F511),"n.a.")</x:f>
        <x:v>500</x:v>
      </x:c>
      <x:c r="H511" s="26" t="str">
        <x:f>'Inputs'!C15</x:f>
        <x:v>Unused 5</x:v>
      </x:c>
      <x:c r="I511" s="26" t="n">
        <x:f>S506</x:f>
        <x:v>0</x:v>
      </x:c>
      <x:c r="J511" s="29" t="n">
        <x:f>IF('Inputs'!$D$9="Ready",'Inputs'!E15,"n.a.")</x:f>
        <x:v>0</x:v>
      </x:c>
      <x:c r="K511" s="26" t="n">
        <x:f>IF('Inputs'!$D$9="Ready",'Inputs'!F15,"n.a.")</x:f>
        <x:v>0</x:v>
      </x:c>
      <x:c r="L511" s="29" t="n">
        <x:f>IF('Inputs'!$D$9="Ready",'Inputs'!G15,"n.a.")</x:f>
        <x:v>0</x:v>
      </x:c>
      <x:c r="M511" s="22" t="n">
        <x:f>IF(COUNT(I511:L511)=4,ROUND(I511*J511/12,2),"n.a.")</x:f>
        <x:v>0</x:v>
      </x:c>
      <x:c r="N511" s="22" t="n">
        <x:f>IF(COUNT(I511:M511)=5,MIN(I511+M511,ROUND(MAX(K511,I511*L511+M511),2)),"n.a.")</x:f>
        <x:v>0</x:v>
      </x:c>
      <x:c r="O511" s="30" t="n">
        <x:f>IF(COUNT($I$507:$I$511)&lt;&gt;5,"n.a.",IF(I511=0,6,IF('Inputs'!$D$5=1,COUNTIFS($I$507:$I$511,"&gt;0",$I$507:$I$511,"&lt;"&amp;I511)+COUNTIFS($I$507:I511,I511),COUNTIFS($I$507:$I$511,"&gt;0",$J$507:$J$511,"&gt;"&amp;J511)+COUNTIFS($I$507:I511,"&gt;0",$J$507:J511,J511))))</x:f>
        <x:v>6</x:v>
      </x:c>
      <x:c r="P511" s="22" t="n">
        <x:f>IF(T511="Ready",MIN(U511,MAX(0,G511-SUMIFS($U$507:$U$511,$O$507:$O$511,"&lt;"&amp;O511))),"n.a.")</x:f>
        <x:v>0</x:v>
      </x:c>
      <x:c r="Q511" s="22" t="n">
        <x:f>IF(T511="Ready",ROUND(N511+P511,2),"n.a.")</x:f>
        <x:v>0</x:v>
      </x:c>
      <x:c r="R511" s="22" t="n">
        <x:f>IF(T511="Ready",ROUND(Q511-M511,2),"n.a.")</x:f>
        <x:v>0</x:v>
      </x:c>
      <x:c r="S511" s="22" t="n">
        <x:f>IF(T511="Ready",MAX(0,ROUND(I511+M511-Q511,2)),"n.a.")</x:f>
        <x:v>0</x:v>
      </x:c>
      <x:c r="T511" s="22" t="str">
        <x:f>IF(AND(COUNT($I$507:$I$511)=5,COUNT(E511:F511)=2),IF(E511&gt;=F511,"Ready","Budget below minima"),"Check inputs")</x:f>
        <x:v>Ready</x:v>
      </x:c>
      <x:c r="U511" s="22" t="n">
        <x:f>IF(COUNT(I511,M511,N511)=3,MAX(0,ROUND(I511+M511-N511,2)),"n.a.")</x:f>
        <x:v>0</x:v>
      </x:c>
    </x:row>
    <x:row r="512" ht="22" customHeight="1">
      <x:c r="A512" s="2"/>
      <x:c r="B512" s="2"/>
      <x:c r="C512" s="27" t="n">
        <x:f>102</x:f>
        <x:v>102</x:v>
      </x:c>
      <x:c r="D512" s="28" t="n">
        <x:f>IF(ISNUMBER('Inputs'!$D$7),EDATE('Inputs'!$D$7,101),"n.a.")</x:f>
        <x:v>49400</x:v>
      </x:c>
      <x:c r="E512" s="26" t="n">
        <x:f>IF('Inputs'!$D$9&lt;&gt;"Ready","n.a.",IF(ISNUMBER('Inputs'!E120),IF('Inputs'!E120&gt;=0,'Inputs'!E120,"n.a."),IF('Inputs'!E120="",'Inputs'!$D$6,"n.a.")))</x:f>
        <x:v>500</x:v>
      </x:c>
      <x:c r="F512" s="22" t="n">
        <x:f>IF(COUNT($N$512:$N$516)=5,SUM($N$512:$N$516),"n.a.")</x:f>
        <x:v>0</x:v>
      </x:c>
      <x:c r="G512" s="22" t="n">
        <x:f>IF(COUNT(E512:F512)=2,MAX(0,E512-F512),"n.a.")</x:f>
        <x:v>500</x:v>
      </x:c>
      <x:c r="H512" s="26" t="str">
        <x:f>'Inputs'!C11</x:f>
        <x:v>Card A</x:v>
      </x:c>
      <x:c r="I512" s="26" t="n">
        <x:f>S507</x:f>
        <x:v>0</x:v>
      </x:c>
      <x:c r="J512" s="29" t="n">
        <x:f>IF('Inputs'!$D$9="Ready",'Inputs'!E11,"n.a.")</x:f>
        <x:v>0.24</x:v>
      </x:c>
      <x:c r="K512" s="26" t="n">
        <x:f>IF('Inputs'!$D$9="Ready",'Inputs'!F11,"n.a.")</x:f>
        <x:v>35</x:v>
      </x:c>
      <x:c r="L512" s="29" t="n">
        <x:f>IF('Inputs'!$D$9="Ready",'Inputs'!G11,"n.a.")</x:f>
        <x:v>0.02</x:v>
      </x:c>
      <x:c r="M512" s="22" t="n">
        <x:f>IF(COUNT(I512:L512)=4,ROUND(I512*J512/12,2),"n.a.")</x:f>
        <x:v>0</x:v>
      </x:c>
      <x:c r="N512" s="22" t="n">
        <x:f>IF(COUNT(I512:M512)=5,MIN(I512+M512,ROUND(MAX(K512,I512*L512+M512),2)),"n.a.")</x:f>
        <x:v>0</x:v>
      </x:c>
      <x:c r="O512" s="30" t="n">
        <x:f>IF(COUNT($I$512:$I$516)&lt;&gt;5,"n.a.",IF(I512=0,6,IF('Inputs'!$D$5=1,COUNTIFS($I$512:$I$516,"&gt;0",$I$512:$I$516,"&lt;"&amp;I512)+COUNTIFS($I$512:I512,I512),COUNTIFS($I$512:$I$516,"&gt;0",$J$512:$J$516,"&gt;"&amp;J512)+COUNTIFS($I$512:I512,"&gt;0",$J$512:J512,J512))))</x:f>
        <x:v>6</x:v>
      </x:c>
      <x:c r="P512" s="22" t="n">
        <x:f>IF(T512="Ready",MIN(U512,MAX(0,G512-SUMIFS($U$512:$U$516,$O$512:$O$516,"&lt;"&amp;O512))),"n.a.")</x:f>
        <x:v>0</x:v>
      </x:c>
      <x:c r="Q512" s="22" t="n">
        <x:f>IF(T512="Ready",ROUND(N512+P512,2),"n.a.")</x:f>
        <x:v>0</x:v>
      </x:c>
      <x:c r="R512" s="22" t="n">
        <x:f>IF(T512="Ready",ROUND(Q512-M512,2),"n.a.")</x:f>
        <x:v>0</x:v>
      </x:c>
      <x:c r="S512" s="22" t="n">
        <x:f>IF(T512="Ready",MAX(0,ROUND(I512+M512-Q512,2)),"n.a.")</x:f>
        <x:v>0</x:v>
      </x:c>
      <x:c r="T512" s="22" t="str">
        <x:f>IF(AND(COUNT($I$512:$I$516)=5,COUNT(E512:F512)=2),IF(E512&gt;=F512,"Ready","Budget below minima"),"Check inputs")</x:f>
        <x:v>Ready</x:v>
      </x:c>
      <x:c r="U512" s="22" t="n">
        <x:f>IF(COUNT(I512,M512,N512)=3,MAX(0,ROUND(I512+M512-N512,2)),"n.a.")</x:f>
        <x:v>0</x:v>
      </x:c>
    </x:row>
    <x:row r="513" ht="22" customHeight="1">
      <x:c r="A513" s="2"/>
      <x:c r="B513" s="2"/>
      <x:c r="C513" s="27" t="n">
        <x:f>102</x:f>
        <x:v>102</x:v>
      </x:c>
      <x:c r="D513" s="28" t="n">
        <x:f>IF(ISNUMBER('Inputs'!$D$7),EDATE('Inputs'!$D$7,101),"n.a.")</x:f>
        <x:v>49400</x:v>
      </x:c>
      <x:c r="E513" s="26" t="n">
        <x:f>IF('Inputs'!$D$9&lt;&gt;"Ready","n.a.",IF(ISNUMBER('Inputs'!E120),IF('Inputs'!E120&gt;=0,'Inputs'!E120,"n.a."),IF('Inputs'!E120="",'Inputs'!$D$6,"n.a.")))</x:f>
        <x:v>500</x:v>
      </x:c>
      <x:c r="F513" s="22" t="n">
        <x:f>IF(COUNT($N$512:$N$516)=5,SUM($N$512:$N$516),"n.a.")</x:f>
        <x:v>0</x:v>
      </x:c>
      <x:c r="G513" s="22" t="n">
        <x:f>IF(COUNT(E513:F513)=2,MAX(0,E513-F513),"n.a.")</x:f>
        <x:v>500</x:v>
      </x:c>
      <x:c r="H513" s="26" t="str">
        <x:f>'Inputs'!C12</x:f>
        <x:v>Card B</x:v>
      </x:c>
      <x:c r="I513" s="26" t="n">
        <x:f>S508</x:f>
        <x:v>0</x:v>
      </x:c>
      <x:c r="J513" s="29" t="n">
        <x:f>IF('Inputs'!$D$9="Ready",'Inputs'!E12,"n.a.")</x:f>
        <x:v>0.18</x:v>
      </x:c>
      <x:c r="K513" s="26" t="n">
        <x:f>IF('Inputs'!$D$9="Ready",'Inputs'!F12,"n.a.")</x:f>
        <x:v>60</x:v>
      </x:c>
      <x:c r="L513" s="29" t="n">
        <x:f>IF('Inputs'!$D$9="Ready",'Inputs'!G12,"n.a.")</x:f>
        <x:v>0.02</x:v>
      </x:c>
      <x:c r="M513" s="22" t="n">
        <x:f>IF(COUNT(I513:L513)=4,ROUND(I513*J513/12,2),"n.a.")</x:f>
        <x:v>0</x:v>
      </x:c>
      <x:c r="N513" s="22" t="n">
        <x:f>IF(COUNT(I513:M513)=5,MIN(I513+M513,ROUND(MAX(K513,I513*L513+M513),2)),"n.a.")</x:f>
        <x:v>0</x:v>
      </x:c>
      <x:c r="O513" s="30" t="n">
        <x:f>IF(COUNT($I$512:$I$516)&lt;&gt;5,"n.a.",IF(I513=0,6,IF('Inputs'!$D$5=1,COUNTIFS($I$512:$I$516,"&gt;0",$I$512:$I$516,"&lt;"&amp;I513)+COUNTIFS($I$512:I513,I513),COUNTIFS($I$512:$I$516,"&gt;0",$J$512:$J$516,"&gt;"&amp;J513)+COUNTIFS($I$512:I513,"&gt;0",$J$512:J513,J513))))</x:f>
        <x:v>6</x:v>
      </x:c>
      <x:c r="P513" s="22" t="n">
        <x:f>IF(T513="Ready",MIN(U513,MAX(0,G513-SUMIFS($U$512:$U$516,$O$512:$O$516,"&lt;"&amp;O513))),"n.a.")</x:f>
        <x:v>0</x:v>
      </x:c>
      <x:c r="Q513" s="22" t="n">
        <x:f>IF(T513="Ready",ROUND(N513+P513,2),"n.a.")</x:f>
        <x:v>0</x:v>
      </x:c>
      <x:c r="R513" s="22" t="n">
        <x:f>IF(T513="Ready",ROUND(Q513-M513,2),"n.a.")</x:f>
        <x:v>0</x:v>
      </x:c>
      <x:c r="S513" s="22" t="n">
        <x:f>IF(T513="Ready",MAX(0,ROUND(I513+M513-Q513,2)),"n.a.")</x:f>
        <x:v>0</x:v>
      </x:c>
      <x:c r="T513" s="22" t="str">
        <x:f>IF(AND(COUNT($I$512:$I$516)=5,COUNT(E513:F513)=2),IF(E513&gt;=F513,"Ready","Budget below minima"),"Check inputs")</x:f>
        <x:v>Ready</x:v>
      </x:c>
      <x:c r="U513" s="22" t="n">
        <x:f>IF(COUNT(I513,M513,N513)=3,MAX(0,ROUND(I513+M513-N513,2)),"n.a.")</x:f>
        <x:v>0</x:v>
      </x:c>
    </x:row>
    <x:row r="514" ht="22" customHeight="1">
      <x:c r="A514" s="2"/>
      <x:c r="B514" s="2"/>
      <x:c r="C514" s="27" t="n">
        <x:f>102</x:f>
        <x:v>102</x:v>
      </x:c>
      <x:c r="D514" s="28" t="n">
        <x:f>IF(ISNUMBER('Inputs'!$D$7),EDATE('Inputs'!$D$7,101),"n.a.")</x:f>
        <x:v>49400</x:v>
      </x:c>
      <x:c r="E514" s="26" t="n">
        <x:f>IF('Inputs'!$D$9&lt;&gt;"Ready","n.a.",IF(ISNUMBER('Inputs'!E120),IF('Inputs'!E120&gt;=0,'Inputs'!E120,"n.a."),IF('Inputs'!E120="",'Inputs'!$D$6,"n.a.")))</x:f>
        <x:v>500</x:v>
      </x:c>
      <x:c r="F514" s="22" t="n">
        <x:f>IF(COUNT($N$512:$N$516)=5,SUM($N$512:$N$516),"n.a.")</x:f>
        <x:v>0</x:v>
      </x:c>
      <x:c r="G514" s="22" t="n">
        <x:f>IF(COUNT(E514:F514)=2,MAX(0,E514-F514),"n.a.")</x:f>
        <x:v>500</x:v>
      </x:c>
      <x:c r="H514" s="26" t="str">
        <x:f>'Inputs'!C13</x:f>
        <x:v>Loan C</x:v>
      </x:c>
      <x:c r="I514" s="26" t="n">
        <x:f>S509</x:f>
        <x:v>0</x:v>
      </x:c>
      <x:c r="J514" s="29" t="n">
        <x:f>IF('Inputs'!$D$9="Ready",'Inputs'!E13,"n.a.")</x:f>
        <x:v>0.08</x:v>
      </x:c>
      <x:c r="K514" s="26" t="n">
        <x:f>IF('Inputs'!$D$9="Ready",'Inputs'!F13,"n.a.")</x:f>
        <x:v>150</x:v>
      </x:c>
      <x:c r="L514" s="29" t="n">
        <x:f>IF('Inputs'!$D$9="Ready",'Inputs'!G13,"n.a.")</x:f>
        <x:v>0</x:v>
      </x:c>
      <x:c r="M514" s="22" t="n">
        <x:f>IF(COUNT(I514:L514)=4,ROUND(I514*J514/12,2),"n.a.")</x:f>
        <x:v>0</x:v>
      </x:c>
      <x:c r="N514" s="22" t="n">
        <x:f>IF(COUNT(I514:M514)=5,MIN(I514+M514,ROUND(MAX(K514,I514*L514+M514),2)),"n.a.")</x:f>
        <x:v>0</x:v>
      </x:c>
      <x:c r="O514" s="30" t="n">
        <x:f>IF(COUNT($I$512:$I$516)&lt;&gt;5,"n.a.",IF(I514=0,6,IF('Inputs'!$D$5=1,COUNTIFS($I$512:$I$516,"&gt;0",$I$512:$I$516,"&lt;"&amp;I514)+COUNTIFS($I$512:I514,I514),COUNTIFS($I$512:$I$516,"&gt;0",$J$512:$J$516,"&gt;"&amp;J514)+COUNTIFS($I$512:I514,"&gt;0",$J$512:J514,J514))))</x:f>
        <x:v>6</x:v>
      </x:c>
      <x:c r="P514" s="22" t="n">
        <x:f>IF(T514="Ready",MIN(U514,MAX(0,G514-SUMIFS($U$512:$U$516,$O$512:$O$516,"&lt;"&amp;O514))),"n.a.")</x:f>
        <x:v>0</x:v>
      </x:c>
      <x:c r="Q514" s="22" t="n">
        <x:f>IF(T514="Ready",ROUND(N514+P514,2),"n.a.")</x:f>
        <x:v>0</x:v>
      </x:c>
      <x:c r="R514" s="22" t="n">
        <x:f>IF(T514="Ready",ROUND(Q514-M514,2),"n.a.")</x:f>
        <x:v>0</x:v>
      </x:c>
      <x:c r="S514" s="22" t="n">
        <x:f>IF(T514="Ready",MAX(0,ROUND(I514+M514-Q514,2)),"n.a.")</x:f>
        <x:v>0</x:v>
      </x:c>
      <x:c r="T514" s="22" t="str">
        <x:f>IF(AND(COUNT($I$512:$I$516)=5,COUNT(E514:F514)=2),IF(E514&gt;=F514,"Ready","Budget below minima"),"Check inputs")</x:f>
        <x:v>Ready</x:v>
      </x:c>
      <x:c r="U514" s="22" t="n">
        <x:f>IF(COUNT(I514,M514,N514)=3,MAX(0,ROUND(I514+M514-N514,2)),"n.a.")</x:f>
        <x:v>0</x:v>
      </x:c>
    </x:row>
    <x:row r="515" ht="22" customHeight="1">
      <x:c r="A515" s="2"/>
      <x:c r="B515" s="2"/>
      <x:c r="C515" s="27" t="n">
        <x:f>102</x:f>
        <x:v>102</x:v>
      </x:c>
      <x:c r="D515" s="28" t="n">
        <x:f>IF(ISNUMBER('Inputs'!$D$7),EDATE('Inputs'!$D$7,101),"n.a.")</x:f>
        <x:v>49400</x:v>
      </x:c>
      <x:c r="E515" s="26" t="n">
        <x:f>IF('Inputs'!$D$9&lt;&gt;"Ready","n.a.",IF(ISNUMBER('Inputs'!E120),IF('Inputs'!E120&gt;=0,'Inputs'!E120,"n.a."),IF('Inputs'!E120="",'Inputs'!$D$6,"n.a.")))</x:f>
        <x:v>500</x:v>
      </x:c>
      <x:c r="F515" s="22" t="n">
        <x:f>IF(COUNT($N$512:$N$516)=5,SUM($N$512:$N$516),"n.a.")</x:f>
        <x:v>0</x:v>
      </x:c>
      <x:c r="G515" s="22" t="n">
        <x:f>IF(COUNT(E515:F515)=2,MAX(0,E515-F515),"n.a.")</x:f>
        <x:v>500</x:v>
      </x:c>
      <x:c r="H515" s="26" t="str">
        <x:f>'Inputs'!C14</x:f>
        <x:v>Unused 4</x:v>
      </x:c>
      <x:c r="I515" s="26" t="n">
        <x:f>S510</x:f>
        <x:v>0</x:v>
      </x:c>
      <x:c r="J515" s="29" t="n">
        <x:f>IF('Inputs'!$D$9="Ready",'Inputs'!E14,"n.a.")</x:f>
        <x:v>0</x:v>
      </x:c>
      <x:c r="K515" s="26" t="n">
        <x:f>IF('Inputs'!$D$9="Ready",'Inputs'!F14,"n.a.")</x:f>
        <x:v>0</x:v>
      </x:c>
      <x:c r="L515" s="29" t="n">
        <x:f>IF('Inputs'!$D$9="Ready",'Inputs'!G14,"n.a.")</x:f>
        <x:v>0</x:v>
      </x:c>
      <x:c r="M515" s="22" t="n">
        <x:f>IF(COUNT(I515:L515)=4,ROUND(I515*J515/12,2),"n.a.")</x:f>
        <x:v>0</x:v>
      </x:c>
      <x:c r="N515" s="22" t="n">
        <x:f>IF(COUNT(I515:M515)=5,MIN(I515+M515,ROUND(MAX(K515,I515*L515+M515),2)),"n.a.")</x:f>
        <x:v>0</x:v>
      </x:c>
      <x:c r="O515" s="30" t="n">
        <x:f>IF(COUNT($I$512:$I$516)&lt;&gt;5,"n.a.",IF(I515=0,6,IF('Inputs'!$D$5=1,COUNTIFS($I$512:$I$516,"&gt;0",$I$512:$I$516,"&lt;"&amp;I515)+COUNTIFS($I$512:I515,I515),COUNTIFS($I$512:$I$516,"&gt;0",$J$512:$J$516,"&gt;"&amp;J515)+COUNTIFS($I$512:I515,"&gt;0",$J$512:J515,J515))))</x:f>
        <x:v>6</x:v>
      </x:c>
      <x:c r="P515" s="22" t="n">
        <x:f>IF(T515="Ready",MIN(U515,MAX(0,G515-SUMIFS($U$512:$U$516,$O$512:$O$516,"&lt;"&amp;O515))),"n.a.")</x:f>
        <x:v>0</x:v>
      </x:c>
      <x:c r="Q515" s="22" t="n">
        <x:f>IF(T515="Ready",ROUND(N515+P515,2),"n.a.")</x:f>
        <x:v>0</x:v>
      </x:c>
      <x:c r="R515" s="22" t="n">
        <x:f>IF(T515="Ready",ROUND(Q515-M515,2),"n.a.")</x:f>
        <x:v>0</x:v>
      </x:c>
      <x:c r="S515" s="22" t="n">
        <x:f>IF(T515="Ready",MAX(0,ROUND(I515+M515-Q515,2)),"n.a.")</x:f>
        <x:v>0</x:v>
      </x:c>
      <x:c r="T515" s="22" t="str">
        <x:f>IF(AND(COUNT($I$512:$I$516)=5,COUNT(E515:F515)=2),IF(E515&gt;=F515,"Ready","Budget below minima"),"Check inputs")</x:f>
        <x:v>Ready</x:v>
      </x:c>
      <x:c r="U515" s="22" t="n">
        <x:f>IF(COUNT(I515,M515,N515)=3,MAX(0,ROUND(I515+M515-N515,2)),"n.a.")</x:f>
        <x:v>0</x:v>
      </x:c>
    </x:row>
    <x:row r="516" ht="22" customHeight="1">
      <x:c r="A516" s="2"/>
      <x:c r="B516" s="2"/>
      <x:c r="C516" s="27" t="n">
        <x:f>102</x:f>
        <x:v>102</x:v>
      </x:c>
      <x:c r="D516" s="28" t="n">
        <x:f>IF(ISNUMBER('Inputs'!$D$7),EDATE('Inputs'!$D$7,101),"n.a.")</x:f>
        <x:v>49400</x:v>
      </x:c>
      <x:c r="E516" s="26" t="n">
        <x:f>IF('Inputs'!$D$9&lt;&gt;"Ready","n.a.",IF(ISNUMBER('Inputs'!E120),IF('Inputs'!E120&gt;=0,'Inputs'!E120,"n.a."),IF('Inputs'!E120="",'Inputs'!$D$6,"n.a.")))</x:f>
        <x:v>500</x:v>
      </x:c>
      <x:c r="F516" s="22" t="n">
        <x:f>IF(COUNT($N$512:$N$516)=5,SUM($N$512:$N$516),"n.a.")</x:f>
        <x:v>0</x:v>
      </x:c>
      <x:c r="G516" s="22" t="n">
        <x:f>IF(COUNT(E516:F516)=2,MAX(0,E516-F516),"n.a.")</x:f>
        <x:v>500</x:v>
      </x:c>
      <x:c r="H516" s="26" t="str">
        <x:f>'Inputs'!C15</x:f>
        <x:v>Unused 5</x:v>
      </x:c>
      <x:c r="I516" s="26" t="n">
        <x:f>S511</x:f>
        <x:v>0</x:v>
      </x:c>
      <x:c r="J516" s="29" t="n">
        <x:f>IF('Inputs'!$D$9="Ready",'Inputs'!E15,"n.a.")</x:f>
        <x:v>0</x:v>
      </x:c>
      <x:c r="K516" s="26" t="n">
        <x:f>IF('Inputs'!$D$9="Ready",'Inputs'!F15,"n.a.")</x:f>
        <x:v>0</x:v>
      </x:c>
      <x:c r="L516" s="29" t="n">
        <x:f>IF('Inputs'!$D$9="Ready",'Inputs'!G15,"n.a.")</x:f>
        <x:v>0</x:v>
      </x:c>
      <x:c r="M516" s="22" t="n">
        <x:f>IF(COUNT(I516:L516)=4,ROUND(I516*J516/12,2),"n.a.")</x:f>
        <x:v>0</x:v>
      </x:c>
      <x:c r="N516" s="22" t="n">
        <x:f>IF(COUNT(I516:M516)=5,MIN(I516+M516,ROUND(MAX(K516,I516*L516+M516),2)),"n.a.")</x:f>
        <x:v>0</x:v>
      </x:c>
      <x:c r="O516" s="30" t="n">
        <x:f>IF(COUNT($I$512:$I$516)&lt;&gt;5,"n.a.",IF(I516=0,6,IF('Inputs'!$D$5=1,COUNTIFS($I$512:$I$516,"&gt;0",$I$512:$I$516,"&lt;"&amp;I516)+COUNTIFS($I$512:I516,I516),COUNTIFS($I$512:$I$516,"&gt;0",$J$512:$J$516,"&gt;"&amp;J516)+COUNTIFS($I$512:I516,"&gt;0",$J$512:J516,J516))))</x:f>
        <x:v>6</x:v>
      </x:c>
      <x:c r="P516" s="22" t="n">
        <x:f>IF(T516="Ready",MIN(U516,MAX(0,G516-SUMIFS($U$512:$U$516,$O$512:$O$516,"&lt;"&amp;O516))),"n.a.")</x:f>
        <x:v>0</x:v>
      </x:c>
      <x:c r="Q516" s="22" t="n">
        <x:f>IF(T516="Ready",ROUND(N516+P516,2),"n.a.")</x:f>
        <x:v>0</x:v>
      </x:c>
      <x:c r="R516" s="22" t="n">
        <x:f>IF(T516="Ready",ROUND(Q516-M516,2),"n.a.")</x:f>
        <x:v>0</x:v>
      </x:c>
      <x:c r="S516" s="22" t="n">
        <x:f>IF(T516="Ready",MAX(0,ROUND(I516+M516-Q516,2)),"n.a.")</x:f>
        <x:v>0</x:v>
      </x:c>
      <x:c r="T516" s="22" t="str">
        <x:f>IF(AND(COUNT($I$512:$I$516)=5,COUNT(E516:F516)=2),IF(E516&gt;=F516,"Ready","Budget below minima"),"Check inputs")</x:f>
        <x:v>Ready</x:v>
      </x:c>
      <x:c r="U516" s="22" t="n">
        <x:f>IF(COUNT(I516,M516,N516)=3,MAX(0,ROUND(I516+M516-N516,2)),"n.a.")</x:f>
        <x:v>0</x:v>
      </x:c>
    </x:row>
    <x:row r="517" ht="22" customHeight="1">
      <x:c r="A517" s="2"/>
      <x:c r="B517" s="2"/>
      <x:c r="C517" s="27" t="n">
        <x:f>103</x:f>
        <x:v>103</x:v>
      </x:c>
      <x:c r="D517" s="28" t="n">
        <x:f>IF(ISNUMBER('Inputs'!$D$7),EDATE('Inputs'!$D$7,102),"n.a.")</x:f>
        <x:v>49430</x:v>
      </x:c>
      <x:c r="E517" s="26" t="n">
        <x:f>IF('Inputs'!$D$9&lt;&gt;"Ready","n.a.",IF(ISNUMBER('Inputs'!E121),IF('Inputs'!E121&gt;=0,'Inputs'!E121,"n.a."),IF('Inputs'!E121="",'Inputs'!$D$6,"n.a.")))</x:f>
        <x:v>500</x:v>
      </x:c>
      <x:c r="F517" s="22" t="n">
        <x:f>IF(COUNT($N$517:$N$521)=5,SUM($N$517:$N$521),"n.a.")</x:f>
        <x:v>0</x:v>
      </x:c>
      <x:c r="G517" s="22" t="n">
        <x:f>IF(COUNT(E517:F517)=2,MAX(0,E517-F517),"n.a.")</x:f>
        <x:v>500</x:v>
      </x:c>
      <x:c r="H517" s="26" t="str">
        <x:f>'Inputs'!C11</x:f>
        <x:v>Card A</x:v>
      </x:c>
      <x:c r="I517" s="26" t="n">
        <x:f>S512</x:f>
        <x:v>0</x:v>
      </x:c>
      <x:c r="J517" s="29" t="n">
        <x:f>IF('Inputs'!$D$9="Ready",'Inputs'!E11,"n.a.")</x:f>
        <x:v>0.24</x:v>
      </x:c>
      <x:c r="K517" s="26" t="n">
        <x:f>IF('Inputs'!$D$9="Ready",'Inputs'!F11,"n.a.")</x:f>
        <x:v>35</x:v>
      </x:c>
      <x:c r="L517" s="29" t="n">
        <x:f>IF('Inputs'!$D$9="Ready",'Inputs'!G11,"n.a.")</x:f>
        <x:v>0.02</x:v>
      </x:c>
      <x:c r="M517" s="22" t="n">
        <x:f>IF(COUNT(I517:L517)=4,ROUND(I517*J517/12,2),"n.a.")</x:f>
        <x:v>0</x:v>
      </x:c>
      <x:c r="N517" s="22" t="n">
        <x:f>IF(COUNT(I517:M517)=5,MIN(I517+M517,ROUND(MAX(K517,I517*L517+M517),2)),"n.a.")</x:f>
        <x:v>0</x:v>
      </x:c>
      <x:c r="O517" s="30" t="n">
        <x:f>IF(COUNT($I$517:$I$521)&lt;&gt;5,"n.a.",IF(I517=0,6,IF('Inputs'!$D$5=1,COUNTIFS($I$517:$I$521,"&gt;0",$I$517:$I$521,"&lt;"&amp;I517)+COUNTIFS($I$517:I517,I517),COUNTIFS($I$517:$I$521,"&gt;0",$J$517:$J$521,"&gt;"&amp;J517)+COUNTIFS($I$517:I517,"&gt;0",$J$517:J517,J517))))</x:f>
        <x:v>6</x:v>
      </x:c>
      <x:c r="P517" s="22" t="n">
        <x:f>IF(T517="Ready",MIN(U517,MAX(0,G517-SUMIFS($U$517:$U$521,$O$517:$O$521,"&lt;"&amp;O517))),"n.a.")</x:f>
        <x:v>0</x:v>
      </x:c>
      <x:c r="Q517" s="22" t="n">
        <x:f>IF(T517="Ready",ROUND(N517+P517,2),"n.a.")</x:f>
        <x:v>0</x:v>
      </x:c>
      <x:c r="R517" s="22" t="n">
        <x:f>IF(T517="Ready",ROUND(Q517-M517,2),"n.a.")</x:f>
        <x:v>0</x:v>
      </x:c>
      <x:c r="S517" s="22" t="n">
        <x:f>IF(T517="Ready",MAX(0,ROUND(I517+M517-Q517,2)),"n.a.")</x:f>
        <x:v>0</x:v>
      </x:c>
      <x:c r="T517" s="22" t="str">
        <x:f>IF(AND(COUNT($I$517:$I$521)=5,COUNT(E517:F517)=2),IF(E517&gt;=F517,"Ready","Budget below minima"),"Check inputs")</x:f>
        <x:v>Ready</x:v>
      </x:c>
      <x:c r="U517" s="22" t="n">
        <x:f>IF(COUNT(I517,M517,N517)=3,MAX(0,ROUND(I517+M517-N517,2)),"n.a.")</x:f>
        <x:v>0</x:v>
      </x:c>
    </x:row>
    <x:row r="518" ht="22" customHeight="1">
      <x:c r="A518" s="2"/>
      <x:c r="B518" s="2"/>
      <x:c r="C518" s="27" t="n">
        <x:f>103</x:f>
        <x:v>103</x:v>
      </x:c>
      <x:c r="D518" s="28" t="n">
        <x:f>IF(ISNUMBER('Inputs'!$D$7),EDATE('Inputs'!$D$7,102),"n.a.")</x:f>
        <x:v>49430</x:v>
      </x:c>
      <x:c r="E518" s="26" t="n">
        <x:f>IF('Inputs'!$D$9&lt;&gt;"Ready","n.a.",IF(ISNUMBER('Inputs'!E121),IF('Inputs'!E121&gt;=0,'Inputs'!E121,"n.a."),IF('Inputs'!E121="",'Inputs'!$D$6,"n.a.")))</x:f>
        <x:v>500</x:v>
      </x:c>
      <x:c r="F518" s="22" t="n">
        <x:f>IF(COUNT($N$517:$N$521)=5,SUM($N$517:$N$521),"n.a.")</x:f>
        <x:v>0</x:v>
      </x:c>
      <x:c r="G518" s="22" t="n">
        <x:f>IF(COUNT(E518:F518)=2,MAX(0,E518-F518),"n.a.")</x:f>
        <x:v>500</x:v>
      </x:c>
      <x:c r="H518" s="26" t="str">
        <x:f>'Inputs'!C12</x:f>
        <x:v>Card B</x:v>
      </x:c>
      <x:c r="I518" s="26" t="n">
        <x:f>S513</x:f>
        <x:v>0</x:v>
      </x:c>
      <x:c r="J518" s="29" t="n">
        <x:f>IF('Inputs'!$D$9="Ready",'Inputs'!E12,"n.a.")</x:f>
        <x:v>0.18</x:v>
      </x:c>
      <x:c r="K518" s="26" t="n">
        <x:f>IF('Inputs'!$D$9="Ready",'Inputs'!F12,"n.a.")</x:f>
        <x:v>60</x:v>
      </x:c>
      <x:c r="L518" s="29" t="n">
        <x:f>IF('Inputs'!$D$9="Ready",'Inputs'!G12,"n.a.")</x:f>
        <x:v>0.02</x:v>
      </x:c>
      <x:c r="M518" s="22" t="n">
        <x:f>IF(COUNT(I518:L518)=4,ROUND(I518*J518/12,2),"n.a.")</x:f>
        <x:v>0</x:v>
      </x:c>
      <x:c r="N518" s="22" t="n">
        <x:f>IF(COUNT(I518:M518)=5,MIN(I518+M518,ROUND(MAX(K518,I518*L518+M518),2)),"n.a.")</x:f>
        <x:v>0</x:v>
      </x:c>
      <x:c r="O518" s="30" t="n">
        <x:f>IF(COUNT($I$517:$I$521)&lt;&gt;5,"n.a.",IF(I518=0,6,IF('Inputs'!$D$5=1,COUNTIFS($I$517:$I$521,"&gt;0",$I$517:$I$521,"&lt;"&amp;I518)+COUNTIFS($I$517:I518,I518),COUNTIFS($I$517:$I$521,"&gt;0",$J$517:$J$521,"&gt;"&amp;J518)+COUNTIFS($I$517:I518,"&gt;0",$J$517:J518,J518))))</x:f>
        <x:v>6</x:v>
      </x:c>
      <x:c r="P518" s="22" t="n">
        <x:f>IF(T518="Ready",MIN(U518,MAX(0,G518-SUMIFS($U$517:$U$521,$O$517:$O$521,"&lt;"&amp;O518))),"n.a.")</x:f>
        <x:v>0</x:v>
      </x:c>
      <x:c r="Q518" s="22" t="n">
        <x:f>IF(T518="Ready",ROUND(N518+P518,2),"n.a.")</x:f>
        <x:v>0</x:v>
      </x:c>
      <x:c r="R518" s="22" t="n">
        <x:f>IF(T518="Ready",ROUND(Q518-M518,2),"n.a.")</x:f>
        <x:v>0</x:v>
      </x:c>
      <x:c r="S518" s="22" t="n">
        <x:f>IF(T518="Ready",MAX(0,ROUND(I518+M518-Q518,2)),"n.a.")</x:f>
        <x:v>0</x:v>
      </x:c>
      <x:c r="T518" s="22" t="str">
        <x:f>IF(AND(COUNT($I$517:$I$521)=5,COUNT(E518:F518)=2),IF(E518&gt;=F518,"Ready","Budget below minima"),"Check inputs")</x:f>
        <x:v>Ready</x:v>
      </x:c>
      <x:c r="U518" s="22" t="n">
        <x:f>IF(COUNT(I518,M518,N518)=3,MAX(0,ROUND(I518+M518-N518,2)),"n.a.")</x:f>
        <x:v>0</x:v>
      </x:c>
    </x:row>
    <x:row r="519" ht="22" customHeight="1">
      <x:c r="A519" s="2"/>
      <x:c r="B519" s="2"/>
      <x:c r="C519" s="27" t="n">
        <x:f>103</x:f>
        <x:v>103</x:v>
      </x:c>
      <x:c r="D519" s="28" t="n">
        <x:f>IF(ISNUMBER('Inputs'!$D$7),EDATE('Inputs'!$D$7,102),"n.a.")</x:f>
        <x:v>49430</x:v>
      </x:c>
      <x:c r="E519" s="26" t="n">
        <x:f>IF('Inputs'!$D$9&lt;&gt;"Ready","n.a.",IF(ISNUMBER('Inputs'!E121),IF('Inputs'!E121&gt;=0,'Inputs'!E121,"n.a."),IF('Inputs'!E121="",'Inputs'!$D$6,"n.a.")))</x:f>
        <x:v>500</x:v>
      </x:c>
      <x:c r="F519" s="22" t="n">
        <x:f>IF(COUNT($N$517:$N$521)=5,SUM($N$517:$N$521),"n.a.")</x:f>
        <x:v>0</x:v>
      </x:c>
      <x:c r="G519" s="22" t="n">
        <x:f>IF(COUNT(E519:F519)=2,MAX(0,E519-F519),"n.a.")</x:f>
        <x:v>500</x:v>
      </x:c>
      <x:c r="H519" s="26" t="str">
        <x:f>'Inputs'!C13</x:f>
        <x:v>Loan C</x:v>
      </x:c>
      <x:c r="I519" s="26" t="n">
        <x:f>S514</x:f>
        <x:v>0</x:v>
      </x:c>
      <x:c r="J519" s="29" t="n">
        <x:f>IF('Inputs'!$D$9="Ready",'Inputs'!E13,"n.a.")</x:f>
        <x:v>0.08</x:v>
      </x:c>
      <x:c r="K519" s="26" t="n">
        <x:f>IF('Inputs'!$D$9="Ready",'Inputs'!F13,"n.a.")</x:f>
        <x:v>150</x:v>
      </x:c>
      <x:c r="L519" s="29" t="n">
        <x:f>IF('Inputs'!$D$9="Ready",'Inputs'!G13,"n.a.")</x:f>
        <x:v>0</x:v>
      </x:c>
      <x:c r="M519" s="22" t="n">
        <x:f>IF(COUNT(I519:L519)=4,ROUND(I519*J519/12,2),"n.a.")</x:f>
        <x:v>0</x:v>
      </x:c>
      <x:c r="N519" s="22" t="n">
        <x:f>IF(COUNT(I519:M519)=5,MIN(I519+M519,ROUND(MAX(K519,I519*L519+M519),2)),"n.a.")</x:f>
        <x:v>0</x:v>
      </x:c>
      <x:c r="O519" s="30" t="n">
        <x:f>IF(COUNT($I$517:$I$521)&lt;&gt;5,"n.a.",IF(I519=0,6,IF('Inputs'!$D$5=1,COUNTIFS($I$517:$I$521,"&gt;0",$I$517:$I$521,"&lt;"&amp;I519)+COUNTIFS($I$517:I519,I519),COUNTIFS($I$517:$I$521,"&gt;0",$J$517:$J$521,"&gt;"&amp;J519)+COUNTIFS($I$517:I519,"&gt;0",$J$517:J519,J519))))</x:f>
        <x:v>6</x:v>
      </x:c>
      <x:c r="P519" s="22" t="n">
        <x:f>IF(T519="Ready",MIN(U519,MAX(0,G519-SUMIFS($U$517:$U$521,$O$517:$O$521,"&lt;"&amp;O519))),"n.a.")</x:f>
        <x:v>0</x:v>
      </x:c>
      <x:c r="Q519" s="22" t="n">
        <x:f>IF(T519="Ready",ROUND(N519+P519,2),"n.a.")</x:f>
        <x:v>0</x:v>
      </x:c>
      <x:c r="R519" s="22" t="n">
        <x:f>IF(T519="Ready",ROUND(Q519-M519,2),"n.a.")</x:f>
        <x:v>0</x:v>
      </x:c>
      <x:c r="S519" s="22" t="n">
        <x:f>IF(T519="Ready",MAX(0,ROUND(I519+M519-Q519,2)),"n.a.")</x:f>
        <x:v>0</x:v>
      </x:c>
      <x:c r="T519" s="22" t="str">
        <x:f>IF(AND(COUNT($I$517:$I$521)=5,COUNT(E519:F519)=2),IF(E519&gt;=F519,"Ready","Budget below minima"),"Check inputs")</x:f>
        <x:v>Ready</x:v>
      </x:c>
      <x:c r="U519" s="22" t="n">
        <x:f>IF(COUNT(I519,M519,N519)=3,MAX(0,ROUND(I519+M519-N519,2)),"n.a.")</x:f>
        <x:v>0</x:v>
      </x:c>
    </x:row>
    <x:row r="520" ht="22" customHeight="1">
      <x:c r="A520" s="2"/>
      <x:c r="B520" s="2"/>
      <x:c r="C520" s="27" t="n">
        <x:f>103</x:f>
        <x:v>103</x:v>
      </x:c>
      <x:c r="D520" s="28" t="n">
        <x:f>IF(ISNUMBER('Inputs'!$D$7),EDATE('Inputs'!$D$7,102),"n.a.")</x:f>
        <x:v>49430</x:v>
      </x:c>
      <x:c r="E520" s="26" t="n">
        <x:f>IF('Inputs'!$D$9&lt;&gt;"Ready","n.a.",IF(ISNUMBER('Inputs'!E121),IF('Inputs'!E121&gt;=0,'Inputs'!E121,"n.a."),IF('Inputs'!E121="",'Inputs'!$D$6,"n.a.")))</x:f>
        <x:v>500</x:v>
      </x:c>
      <x:c r="F520" s="22" t="n">
        <x:f>IF(COUNT($N$517:$N$521)=5,SUM($N$517:$N$521),"n.a.")</x:f>
        <x:v>0</x:v>
      </x:c>
      <x:c r="G520" s="22" t="n">
        <x:f>IF(COUNT(E520:F520)=2,MAX(0,E520-F520),"n.a.")</x:f>
        <x:v>500</x:v>
      </x:c>
      <x:c r="H520" s="26" t="str">
        <x:f>'Inputs'!C14</x:f>
        <x:v>Unused 4</x:v>
      </x:c>
      <x:c r="I520" s="26" t="n">
        <x:f>S515</x:f>
        <x:v>0</x:v>
      </x:c>
      <x:c r="J520" s="29" t="n">
        <x:f>IF('Inputs'!$D$9="Ready",'Inputs'!E14,"n.a.")</x:f>
        <x:v>0</x:v>
      </x:c>
      <x:c r="K520" s="26" t="n">
        <x:f>IF('Inputs'!$D$9="Ready",'Inputs'!F14,"n.a.")</x:f>
        <x:v>0</x:v>
      </x:c>
      <x:c r="L520" s="29" t="n">
        <x:f>IF('Inputs'!$D$9="Ready",'Inputs'!G14,"n.a.")</x:f>
        <x:v>0</x:v>
      </x:c>
      <x:c r="M520" s="22" t="n">
        <x:f>IF(COUNT(I520:L520)=4,ROUND(I520*J520/12,2),"n.a.")</x:f>
        <x:v>0</x:v>
      </x:c>
      <x:c r="N520" s="22" t="n">
        <x:f>IF(COUNT(I520:M520)=5,MIN(I520+M520,ROUND(MAX(K520,I520*L520+M520),2)),"n.a.")</x:f>
        <x:v>0</x:v>
      </x:c>
      <x:c r="O520" s="30" t="n">
        <x:f>IF(COUNT($I$517:$I$521)&lt;&gt;5,"n.a.",IF(I520=0,6,IF('Inputs'!$D$5=1,COUNTIFS($I$517:$I$521,"&gt;0",$I$517:$I$521,"&lt;"&amp;I520)+COUNTIFS($I$517:I520,I520),COUNTIFS($I$517:$I$521,"&gt;0",$J$517:$J$521,"&gt;"&amp;J520)+COUNTIFS($I$517:I520,"&gt;0",$J$517:J520,J520))))</x:f>
        <x:v>6</x:v>
      </x:c>
      <x:c r="P520" s="22" t="n">
        <x:f>IF(T520="Ready",MIN(U520,MAX(0,G520-SUMIFS($U$517:$U$521,$O$517:$O$521,"&lt;"&amp;O520))),"n.a.")</x:f>
        <x:v>0</x:v>
      </x:c>
      <x:c r="Q520" s="22" t="n">
        <x:f>IF(T520="Ready",ROUND(N520+P520,2),"n.a.")</x:f>
        <x:v>0</x:v>
      </x:c>
      <x:c r="R520" s="22" t="n">
        <x:f>IF(T520="Ready",ROUND(Q520-M520,2),"n.a.")</x:f>
        <x:v>0</x:v>
      </x:c>
      <x:c r="S520" s="22" t="n">
        <x:f>IF(T520="Ready",MAX(0,ROUND(I520+M520-Q520,2)),"n.a.")</x:f>
        <x:v>0</x:v>
      </x:c>
      <x:c r="T520" s="22" t="str">
        <x:f>IF(AND(COUNT($I$517:$I$521)=5,COUNT(E520:F520)=2),IF(E520&gt;=F520,"Ready","Budget below minima"),"Check inputs")</x:f>
        <x:v>Ready</x:v>
      </x:c>
      <x:c r="U520" s="22" t="n">
        <x:f>IF(COUNT(I520,M520,N520)=3,MAX(0,ROUND(I520+M520-N520,2)),"n.a.")</x:f>
        <x:v>0</x:v>
      </x:c>
    </x:row>
    <x:row r="521" ht="22" customHeight="1">
      <x:c r="A521" s="2"/>
      <x:c r="B521" s="2"/>
      <x:c r="C521" s="27" t="n">
        <x:f>103</x:f>
        <x:v>103</x:v>
      </x:c>
      <x:c r="D521" s="28" t="n">
        <x:f>IF(ISNUMBER('Inputs'!$D$7),EDATE('Inputs'!$D$7,102),"n.a.")</x:f>
        <x:v>49430</x:v>
      </x:c>
      <x:c r="E521" s="26" t="n">
        <x:f>IF('Inputs'!$D$9&lt;&gt;"Ready","n.a.",IF(ISNUMBER('Inputs'!E121),IF('Inputs'!E121&gt;=0,'Inputs'!E121,"n.a."),IF('Inputs'!E121="",'Inputs'!$D$6,"n.a.")))</x:f>
        <x:v>500</x:v>
      </x:c>
      <x:c r="F521" s="22" t="n">
        <x:f>IF(COUNT($N$517:$N$521)=5,SUM($N$517:$N$521),"n.a.")</x:f>
        <x:v>0</x:v>
      </x:c>
      <x:c r="G521" s="22" t="n">
        <x:f>IF(COUNT(E521:F521)=2,MAX(0,E521-F521),"n.a.")</x:f>
        <x:v>500</x:v>
      </x:c>
      <x:c r="H521" s="26" t="str">
        <x:f>'Inputs'!C15</x:f>
        <x:v>Unused 5</x:v>
      </x:c>
      <x:c r="I521" s="26" t="n">
        <x:f>S516</x:f>
        <x:v>0</x:v>
      </x:c>
      <x:c r="J521" s="29" t="n">
        <x:f>IF('Inputs'!$D$9="Ready",'Inputs'!E15,"n.a.")</x:f>
        <x:v>0</x:v>
      </x:c>
      <x:c r="K521" s="26" t="n">
        <x:f>IF('Inputs'!$D$9="Ready",'Inputs'!F15,"n.a.")</x:f>
        <x:v>0</x:v>
      </x:c>
      <x:c r="L521" s="29" t="n">
        <x:f>IF('Inputs'!$D$9="Ready",'Inputs'!G15,"n.a.")</x:f>
        <x:v>0</x:v>
      </x:c>
      <x:c r="M521" s="22" t="n">
        <x:f>IF(COUNT(I521:L521)=4,ROUND(I521*J521/12,2),"n.a.")</x:f>
        <x:v>0</x:v>
      </x:c>
      <x:c r="N521" s="22" t="n">
        <x:f>IF(COUNT(I521:M521)=5,MIN(I521+M521,ROUND(MAX(K521,I521*L521+M521),2)),"n.a.")</x:f>
        <x:v>0</x:v>
      </x:c>
      <x:c r="O521" s="30" t="n">
        <x:f>IF(COUNT($I$517:$I$521)&lt;&gt;5,"n.a.",IF(I521=0,6,IF('Inputs'!$D$5=1,COUNTIFS($I$517:$I$521,"&gt;0",$I$517:$I$521,"&lt;"&amp;I521)+COUNTIFS($I$517:I521,I521),COUNTIFS($I$517:$I$521,"&gt;0",$J$517:$J$521,"&gt;"&amp;J521)+COUNTIFS($I$517:I521,"&gt;0",$J$517:J521,J521))))</x:f>
        <x:v>6</x:v>
      </x:c>
      <x:c r="P521" s="22" t="n">
        <x:f>IF(T521="Ready",MIN(U521,MAX(0,G521-SUMIFS($U$517:$U$521,$O$517:$O$521,"&lt;"&amp;O521))),"n.a.")</x:f>
        <x:v>0</x:v>
      </x:c>
      <x:c r="Q521" s="22" t="n">
        <x:f>IF(T521="Ready",ROUND(N521+P521,2),"n.a.")</x:f>
        <x:v>0</x:v>
      </x:c>
      <x:c r="R521" s="22" t="n">
        <x:f>IF(T521="Ready",ROUND(Q521-M521,2),"n.a.")</x:f>
        <x:v>0</x:v>
      </x:c>
      <x:c r="S521" s="22" t="n">
        <x:f>IF(T521="Ready",MAX(0,ROUND(I521+M521-Q521,2)),"n.a.")</x:f>
        <x:v>0</x:v>
      </x:c>
      <x:c r="T521" s="22" t="str">
        <x:f>IF(AND(COUNT($I$517:$I$521)=5,COUNT(E521:F521)=2),IF(E521&gt;=F521,"Ready","Budget below minima"),"Check inputs")</x:f>
        <x:v>Ready</x:v>
      </x:c>
      <x:c r="U521" s="22" t="n">
        <x:f>IF(COUNT(I521,M521,N521)=3,MAX(0,ROUND(I521+M521-N521,2)),"n.a.")</x:f>
        <x:v>0</x:v>
      </x:c>
    </x:row>
    <x:row r="522" ht="22" customHeight="1">
      <x:c r="A522" s="2"/>
      <x:c r="B522" s="2"/>
      <x:c r="C522" s="27" t="n">
        <x:f>104</x:f>
        <x:v>104</x:v>
      </x:c>
      <x:c r="D522" s="28" t="n">
        <x:f>IF(ISNUMBER('Inputs'!$D$7),EDATE('Inputs'!$D$7,103),"n.a.")</x:f>
        <x:v>49461</x:v>
      </x:c>
      <x:c r="E522" s="26" t="n">
        <x:f>IF('Inputs'!$D$9&lt;&gt;"Ready","n.a.",IF(ISNUMBER('Inputs'!E122),IF('Inputs'!E122&gt;=0,'Inputs'!E122,"n.a."),IF('Inputs'!E122="",'Inputs'!$D$6,"n.a.")))</x:f>
        <x:v>500</x:v>
      </x:c>
      <x:c r="F522" s="22" t="n">
        <x:f>IF(COUNT($N$522:$N$526)=5,SUM($N$522:$N$526),"n.a.")</x:f>
        <x:v>0</x:v>
      </x:c>
      <x:c r="G522" s="22" t="n">
        <x:f>IF(COUNT(E522:F522)=2,MAX(0,E522-F522),"n.a.")</x:f>
        <x:v>500</x:v>
      </x:c>
      <x:c r="H522" s="26" t="str">
        <x:f>'Inputs'!C11</x:f>
        <x:v>Card A</x:v>
      </x:c>
      <x:c r="I522" s="26" t="n">
        <x:f>S517</x:f>
        <x:v>0</x:v>
      </x:c>
      <x:c r="J522" s="29" t="n">
        <x:f>IF('Inputs'!$D$9="Ready",'Inputs'!E11,"n.a.")</x:f>
        <x:v>0.24</x:v>
      </x:c>
      <x:c r="K522" s="26" t="n">
        <x:f>IF('Inputs'!$D$9="Ready",'Inputs'!F11,"n.a.")</x:f>
        <x:v>35</x:v>
      </x:c>
      <x:c r="L522" s="29" t="n">
        <x:f>IF('Inputs'!$D$9="Ready",'Inputs'!G11,"n.a.")</x:f>
        <x:v>0.02</x:v>
      </x:c>
      <x:c r="M522" s="22" t="n">
        <x:f>IF(COUNT(I522:L522)=4,ROUND(I522*J522/12,2),"n.a.")</x:f>
        <x:v>0</x:v>
      </x:c>
      <x:c r="N522" s="22" t="n">
        <x:f>IF(COUNT(I522:M522)=5,MIN(I522+M522,ROUND(MAX(K522,I522*L522+M522),2)),"n.a.")</x:f>
        <x:v>0</x:v>
      </x:c>
      <x:c r="O522" s="30" t="n">
        <x:f>IF(COUNT($I$522:$I$526)&lt;&gt;5,"n.a.",IF(I522=0,6,IF('Inputs'!$D$5=1,COUNTIFS($I$522:$I$526,"&gt;0",$I$522:$I$526,"&lt;"&amp;I522)+COUNTIFS($I$522:I522,I522),COUNTIFS($I$522:$I$526,"&gt;0",$J$522:$J$526,"&gt;"&amp;J522)+COUNTIFS($I$522:I522,"&gt;0",$J$522:J522,J522))))</x:f>
        <x:v>6</x:v>
      </x:c>
      <x:c r="P522" s="22" t="n">
        <x:f>IF(T522="Ready",MIN(U522,MAX(0,G522-SUMIFS($U$522:$U$526,$O$522:$O$526,"&lt;"&amp;O522))),"n.a.")</x:f>
        <x:v>0</x:v>
      </x:c>
      <x:c r="Q522" s="22" t="n">
        <x:f>IF(T522="Ready",ROUND(N522+P522,2),"n.a.")</x:f>
        <x:v>0</x:v>
      </x:c>
      <x:c r="R522" s="22" t="n">
        <x:f>IF(T522="Ready",ROUND(Q522-M522,2),"n.a.")</x:f>
        <x:v>0</x:v>
      </x:c>
      <x:c r="S522" s="22" t="n">
        <x:f>IF(T522="Ready",MAX(0,ROUND(I522+M522-Q522,2)),"n.a.")</x:f>
        <x:v>0</x:v>
      </x:c>
      <x:c r="T522" s="22" t="str">
        <x:f>IF(AND(COUNT($I$522:$I$526)=5,COUNT(E522:F522)=2),IF(E522&gt;=F522,"Ready","Budget below minima"),"Check inputs")</x:f>
        <x:v>Ready</x:v>
      </x:c>
      <x:c r="U522" s="22" t="n">
        <x:f>IF(COUNT(I522,M522,N522)=3,MAX(0,ROUND(I522+M522-N522,2)),"n.a.")</x:f>
        <x:v>0</x:v>
      </x:c>
    </x:row>
    <x:row r="523" ht="22" customHeight="1">
      <x:c r="A523" s="2"/>
      <x:c r="B523" s="2"/>
      <x:c r="C523" s="27" t="n">
        <x:f>104</x:f>
        <x:v>104</x:v>
      </x:c>
      <x:c r="D523" s="28" t="n">
        <x:f>IF(ISNUMBER('Inputs'!$D$7),EDATE('Inputs'!$D$7,103),"n.a.")</x:f>
        <x:v>49461</x:v>
      </x:c>
      <x:c r="E523" s="26" t="n">
        <x:f>IF('Inputs'!$D$9&lt;&gt;"Ready","n.a.",IF(ISNUMBER('Inputs'!E122),IF('Inputs'!E122&gt;=0,'Inputs'!E122,"n.a."),IF('Inputs'!E122="",'Inputs'!$D$6,"n.a.")))</x:f>
        <x:v>500</x:v>
      </x:c>
      <x:c r="F523" s="22" t="n">
        <x:f>IF(COUNT($N$522:$N$526)=5,SUM($N$522:$N$526),"n.a.")</x:f>
        <x:v>0</x:v>
      </x:c>
      <x:c r="G523" s="22" t="n">
        <x:f>IF(COUNT(E523:F523)=2,MAX(0,E523-F523),"n.a.")</x:f>
        <x:v>500</x:v>
      </x:c>
      <x:c r="H523" s="26" t="str">
        <x:f>'Inputs'!C12</x:f>
        <x:v>Card B</x:v>
      </x:c>
      <x:c r="I523" s="26" t="n">
        <x:f>S518</x:f>
        <x:v>0</x:v>
      </x:c>
      <x:c r="J523" s="29" t="n">
        <x:f>IF('Inputs'!$D$9="Ready",'Inputs'!E12,"n.a.")</x:f>
        <x:v>0.18</x:v>
      </x:c>
      <x:c r="K523" s="26" t="n">
        <x:f>IF('Inputs'!$D$9="Ready",'Inputs'!F12,"n.a.")</x:f>
        <x:v>60</x:v>
      </x:c>
      <x:c r="L523" s="29" t="n">
        <x:f>IF('Inputs'!$D$9="Ready",'Inputs'!G12,"n.a.")</x:f>
        <x:v>0.02</x:v>
      </x:c>
      <x:c r="M523" s="22" t="n">
        <x:f>IF(COUNT(I523:L523)=4,ROUND(I523*J523/12,2),"n.a.")</x:f>
        <x:v>0</x:v>
      </x:c>
      <x:c r="N523" s="22" t="n">
        <x:f>IF(COUNT(I523:M523)=5,MIN(I523+M523,ROUND(MAX(K523,I523*L523+M523),2)),"n.a.")</x:f>
        <x:v>0</x:v>
      </x:c>
      <x:c r="O523" s="30" t="n">
        <x:f>IF(COUNT($I$522:$I$526)&lt;&gt;5,"n.a.",IF(I523=0,6,IF('Inputs'!$D$5=1,COUNTIFS($I$522:$I$526,"&gt;0",$I$522:$I$526,"&lt;"&amp;I523)+COUNTIFS($I$522:I523,I523),COUNTIFS($I$522:$I$526,"&gt;0",$J$522:$J$526,"&gt;"&amp;J523)+COUNTIFS($I$522:I523,"&gt;0",$J$522:J523,J523))))</x:f>
        <x:v>6</x:v>
      </x:c>
      <x:c r="P523" s="22" t="n">
        <x:f>IF(T523="Ready",MIN(U523,MAX(0,G523-SUMIFS($U$522:$U$526,$O$522:$O$526,"&lt;"&amp;O523))),"n.a.")</x:f>
        <x:v>0</x:v>
      </x:c>
      <x:c r="Q523" s="22" t="n">
        <x:f>IF(T523="Ready",ROUND(N523+P523,2),"n.a.")</x:f>
        <x:v>0</x:v>
      </x:c>
      <x:c r="R523" s="22" t="n">
        <x:f>IF(T523="Ready",ROUND(Q523-M523,2),"n.a.")</x:f>
        <x:v>0</x:v>
      </x:c>
      <x:c r="S523" s="22" t="n">
        <x:f>IF(T523="Ready",MAX(0,ROUND(I523+M523-Q523,2)),"n.a.")</x:f>
        <x:v>0</x:v>
      </x:c>
      <x:c r="T523" s="22" t="str">
        <x:f>IF(AND(COUNT($I$522:$I$526)=5,COUNT(E523:F523)=2),IF(E523&gt;=F523,"Ready","Budget below minima"),"Check inputs")</x:f>
        <x:v>Ready</x:v>
      </x:c>
      <x:c r="U523" s="22" t="n">
        <x:f>IF(COUNT(I523,M523,N523)=3,MAX(0,ROUND(I523+M523-N523,2)),"n.a.")</x:f>
        <x:v>0</x:v>
      </x:c>
    </x:row>
    <x:row r="524" ht="22" customHeight="1">
      <x:c r="A524" s="2"/>
      <x:c r="B524" s="2"/>
      <x:c r="C524" s="27" t="n">
        <x:f>104</x:f>
        <x:v>104</x:v>
      </x:c>
      <x:c r="D524" s="28" t="n">
        <x:f>IF(ISNUMBER('Inputs'!$D$7),EDATE('Inputs'!$D$7,103),"n.a.")</x:f>
        <x:v>49461</x:v>
      </x:c>
      <x:c r="E524" s="26" t="n">
        <x:f>IF('Inputs'!$D$9&lt;&gt;"Ready","n.a.",IF(ISNUMBER('Inputs'!E122),IF('Inputs'!E122&gt;=0,'Inputs'!E122,"n.a."),IF('Inputs'!E122="",'Inputs'!$D$6,"n.a.")))</x:f>
        <x:v>500</x:v>
      </x:c>
      <x:c r="F524" s="22" t="n">
        <x:f>IF(COUNT($N$522:$N$526)=5,SUM($N$522:$N$526),"n.a.")</x:f>
        <x:v>0</x:v>
      </x:c>
      <x:c r="G524" s="22" t="n">
        <x:f>IF(COUNT(E524:F524)=2,MAX(0,E524-F524),"n.a.")</x:f>
        <x:v>500</x:v>
      </x:c>
      <x:c r="H524" s="26" t="str">
        <x:f>'Inputs'!C13</x:f>
        <x:v>Loan C</x:v>
      </x:c>
      <x:c r="I524" s="26" t="n">
        <x:f>S519</x:f>
        <x:v>0</x:v>
      </x:c>
      <x:c r="J524" s="29" t="n">
        <x:f>IF('Inputs'!$D$9="Ready",'Inputs'!E13,"n.a.")</x:f>
        <x:v>0.08</x:v>
      </x:c>
      <x:c r="K524" s="26" t="n">
        <x:f>IF('Inputs'!$D$9="Ready",'Inputs'!F13,"n.a.")</x:f>
        <x:v>150</x:v>
      </x:c>
      <x:c r="L524" s="29" t="n">
        <x:f>IF('Inputs'!$D$9="Ready",'Inputs'!G13,"n.a.")</x:f>
        <x:v>0</x:v>
      </x:c>
      <x:c r="M524" s="22" t="n">
        <x:f>IF(COUNT(I524:L524)=4,ROUND(I524*J524/12,2),"n.a.")</x:f>
        <x:v>0</x:v>
      </x:c>
      <x:c r="N524" s="22" t="n">
        <x:f>IF(COUNT(I524:M524)=5,MIN(I524+M524,ROUND(MAX(K524,I524*L524+M524),2)),"n.a.")</x:f>
        <x:v>0</x:v>
      </x:c>
      <x:c r="O524" s="30" t="n">
        <x:f>IF(COUNT($I$522:$I$526)&lt;&gt;5,"n.a.",IF(I524=0,6,IF('Inputs'!$D$5=1,COUNTIFS($I$522:$I$526,"&gt;0",$I$522:$I$526,"&lt;"&amp;I524)+COUNTIFS($I$522:I524,I524),COUNTIFS($I$522:$I$526,"&gt;0",$J$522:$J$526,"&gt;"&amp;J524)+COUNTIFS($I$522:I524,"&gt;0",$J$522:J524,J524))))</x:f>
        <x:v>6</x:v>
      </x:c>
      <x:c r="P524" s="22" t="n">
        <x:f>IF(T524="Ready",MIN(U524,MAX(0,G524-SUMIFS($U$522:$U$526,$O$522:$O$526,"&lt;"&amp;O524))),"n.a.")</x:f>
        <x:v>0</x:v>
      </x:c>
      <x:c r="Q524" s="22" t="n">
        <x:f>IF(T524="Ready",ROUND(N524+P524,2),"n.a.")</x:f>
        <x:v>0</x:v>
      </x:c>
      <x:c r="R524" s="22" t="n">
        <x:f>IF(T524="Ready",ROUND(Q524-M524,2),"n.a.")</x:f>
        <x:v>0</x:v>
      </x:c>
      <x:c r="S524" s="22" t="n">
        <x:f>IF(T524="Ready",MAX(0,ROUND(I524+M524-Q524,2)),"n.a.")</x:f>
        <x:v>0</x:v>
      </x:c>
      <x:c r="T524" s="22" t="str">
        <x:f>IF(AND(COUNT($I$522:$I$526)=5,COUNT(E524:F524)=2),IF(E524&gt;=F524,"Ready","Budget below minima"),"Check inputs")</x:f>
        <x:v>Ready</x:v>
      </x:c>
      <x:c r="U524" s="22" t="n">
        <x:f>IF(COUNT(I524,M524,N524)=3,MAX(0,ROUND(I524+M524-N524,2)),"n.a.")</x:f>
        <x:v>0</x:v>
      </x:c>
    </x:row>
    <x:row r="525" ht="22" customHeight="1">
      <x:c r="A525" s="2"/>
      <x:c r="B525" s="2"/>
      <x:c r="C525" s="27" t="n">
        <x:f>104</x:f>
        <x:v>104</x:v>
      </x:c>
      <x:c r="D525" s="28" t="n">
        <x:f>IF(ISNUMBER('Inputs'!$D$7),EDATE('Inputs'!$D$7,103),"n.a.")</x:f>
        <x:v>49461</x:v>
      </x:c>
      <x:c r="E525" s="26" t="n">
        <x:f>IF('Inputs'!$D$9&lt;&gt;"Ready","n.a.",IF(ISNUMBER('Inputs'!E122),IF('Inputs'!E122&gt;=0,'Inputs'!E122,"n.a."),IF('Inputs'!E122="",'Inputs'!$D$6,"n.a.")))</x:f>
        <x:v>500</x:v>
      </x:c>
      <x:c r="F525" s="22" t="n">
        <x:f>IF(COUNT($N$522:$N$526)=5,SUM($N$522:$N$526),"n.a.")</x:f>
        <x:v>0</x:v>
      </x:c>
      <x:c r="G525" s="22" t="n">
        <x:f>IF(COUNT(E525:F525)=2,MAX(0,E525-F525),"n.a.")</x:f>
        <x:v>500</x:v>
      </x:c>
      <x:c r="H525" s="26" t="str">
        <x:f>'Inputs'!C14</x:f>
        <x:v>Unused 4</x:v>
      </x:c>
      <x:c r="I525" s="26" t="n">
        <x:f>S520</x:f>
        <x:v>0</x:v>
      </x:c>
      <x:c r="J525" s="29" t="n">
        <x:f>IF('Inputs'!$D$9="Ready",'Inputs'!E14,"n.a.")</x:f>
        <x:v>0</x:v>
      </x:c>
      <x:c r="K525" s="26" t="n">
        <x:f>IF('Inputs'!$D$9="Ready",'Inputs'!F14,"n.a.")</x:f>
        <x:v>0</x:v>
      </x:c>
      <x:c r="L525" s="29" t="n">
        <x:f>IF('Inputs'!$D$9="Ready",'Inputs'!G14,"n.a.")</x:f>
        <x:v>0</x:v>
      </x:c>
      <x:c r="M525" s="22" t="n">
        <x:f>IF(COUNT(I525:L525)=4,ROUND(I525*J525/12,2),"n.a.")</x:f>
        <x:v>0</x:v>
      </x:c>
      <x:c r="N525" s="22" t="n">
        <x:f>IF(COUNT(I525:M525)=5,MIN(I525+M525,ROUND(MAX(K525,I525*L525+M525),2)),"n.a.")</x:f>
        <x:v>0</x:v>
      </x:c>
      <x:c r="O525" s="30" t="n">
        <x:f>IF(COUNT($I$522:$I$526)&lt;&gt;5,"n.a.",IF(I525=0,6,IF('Inputs'!$D$5=1,COUNTIFS($I$522:$I$526,"&gt;0",$I$522:$I$526,"&lt;"&amp;I525)+COUNTIFS($I$522:I525,I525),COUNTIFS($I$522:$I$526,"&gt;0",$J$522:$J$526,"&gt;"&amp;J525)+COUNTIFS($I$522:I525,"&gt;0",$J$522:J525,J525))))</x:f>
        <x:v>6</x:v>
      </x:c>
      <x:c r="P525" s="22" t="n">
        <x:f>IF(T525="Ready",MIN(U525,MAX(0,G525-SUMIFS($U$522:$U$526,$O$522:$O$526,"&lt;"&amp;O525))),"n.a.")</x:f>
        <x:v>0</x:v>
      </x:c>
      <x:c r="Q525" s="22" t="n">
        <x:f>IF(T525="Ready",ROUND(N525+P525,2),"n.a.")</x:f>
        <x:v>0</x:v>
      </x:c>
      <x:c r="R525" s="22" t="n">
        <x:f>IF(T525="Ready",ROUND(Q525-M525,2),"n.a.")</x:f>
        <x:v>0</x:v>
      </x:c>
      <x:c r="S525" s="22" t="n">
        <x:f>IF(T525="Ready",MAX(0,ROUND(I525+M525-Q525,2)),"n.a.")</x:f>
        <x:v>0</x:v>
      </x:c>
      <x:c r="T525" s="22" t="str">
        <x:f>IF(AND(COUNT($I$522:$I$526)=5,COUNT(E525:F525)=2),IF(E525&gt;=F525,"Ready","Budget below minima"),"Check inputs")</x:f>
        <x:v>Ready</x:v>
      </x:c>
      <x:c r="U525" s="22" t="n">
        <x:f>IF(COUNT(I525,M525,N525)=3,MAX(0,ROUND(I525+M525-N525,2)),"n.a.")</x:f>
        <x:v>0</x:v>
      </x:c>
    </x:row>
    <x:row r="526" ht="22" customHeight="1">
      <x:c r="A526" s="2"/>
      <x:c r="B526" s="2"/>
      <x:c r="C526" s="27" t="n">
        <x:f>104</x:f>
        <x:v>104</x:v>
      </x:c>
      <x:c r="D526" s="28" t="n">
        <x:f>IF(ISNUMBER('Inputs'!$D$7),EDATE('Inputs'!$D$7,103),"n.a.")</x:f>
        <x:v>49461</x:v>
      </x:c>
      <x:c r="E526" s="26" t="n">
        <x:f>IF('Inputs'!$D$9&lt;&gt;"Ready","n.a.",IF(ISNUMBER('Inputs'!E122),IF('Inputs'!E122&gt;=0,'Inputs'!E122,"n.a."),IF('Inputs'!E122="",'Inputs'!$D$6,"n.a.")))</x:f>
        <x:v>500</x:v>
      </x:c>
      <x:c r="F526" s="22" t="n">
        <x:f>IF(COUNT($N$522:$N$526)=5,SUM($N$522:$N$526),"n.a.")</x:f>
        <x:v>0</x:v>
      </x:c>
      <x:c r="G526" s="22" t="n">
        <x:f>IF(COUNT(E526:F526)=2,MAX(0,E526-F526),"n.a.")</x:f>
        <x:v>500</x:v>
      </x:c>
      <x:c r="H526" s="26" t="str">
        <x:f>'Inputs'!C15</x:f>
        <x:v>Unused 5</x:v>
      </x:c>
      <x:c r="I526" s="26" t="n">
        <x:f>S521</x:f>
        <x:v>0</x:v>
      </x:c>
      <x:c r="J526" s="29" t="n">
        <x:f>IF('Inputs'!$D$9="Ready",'Inputs'!E15,"n.a.")</x:f>
        <x:v>0</x:v>
      </x:c>
      <x:c r="K526" s="26" t="n">
        <x:f>IF('Inputs'!$D$9="Ready",'Inputs'!F15,"n.a.")</x:f>
        <x:v>0</x:v>
      </x:c>
      <x:c r="L526" s="29" t="n">
        <x:f>IF('Inputs'!$D$9="Ready",'Inputs'!G15,"n.a.")</x:f>
        <x:v>0</x:v>
      </x:c>
      <x:c r="M526" s="22" t="n">
        <x:f>IF(COUNT(I526:L526)=4,ROUND(I526*J526/12,2),"n.a.")</x:f>
        <x:v>0</x:v>
      </x:c>
      <x:c r="N526" s="22" t="n">
        <x:f>IF(COUNT(I526:M526)=5,MIN(I526+M526,ROUND(MAX(K526,I526*L526+M526),2)),"n.a.")</x:f>
        <x:v>0</x:v>
      </x:c>
      <x:c r="O526" s="30" t="n">
        <x:f>IF(COUNT($I$522:$I$526)&lt;&gt;5,"n.a.",IF(I526=0,6,IF('Inputs'!$D$5=1,COUNTIFS($I$522:$I$526,"&gt;0",$I$522:$I$526,"&lt;"&amp;I526)+COUNTIFS($I$522:I526,I526),COUNTIFS($I$522:$I$526,"&gt;0",$J$522:$J$526,"&gt;"&amp;J526)+COUNTIFS($I$522:I526,"&gt;0",$J$522:J526,J526))))</x:f>
        <x:v>6</x:v>
      </x:c>
      <x:c r="P526" s="22" t="n">
        <x:f>IF(T526="Ready",MIN(U526,MAX(0,G526-SUMIFS($U$522:$U$526,$O$522:$O$526,"&lt;"&amp;O526))),"n.a.")</x:f>
        <x:v>0</x:v>
      </x:c>
      <x:c r="Q526" s="22" t="n">
        <x:f>IF(T526="Ready",ROUND(N526+P526,2),"n.a.")</x:f>
        <x:v>0</x:v>
      </x:c>
      <x:c r="R526" s="22" t="n">
        <x:f>IF(T526="Ready",ROUND(Q526-M526,2),"n.a.")</x:f>
        <x:v>0</x:v>
      </x:c>
      <x:c r="S526" s="22" t="n">
        <x:f>IF(T526="Ready",MAX(0,ROUND(I526+M526-Q526,2)),"n.a.")</x:f>
        <x:v>0</x:v>
      </x:c>
      <x:c r="T526" s="22" t="str">
        <x:f>IF(AND(COUNT($I$522:$I$526)=5,COUNT(E526:F526)=2),IF(E526&gt;=F526,"Ready","Budget below minima"),"Check inputs")</x:f>
        <x:v>Ready</x:v>
      </x:c>
      <x:c r="U526" s="22" t="n">
        <x:f>IF(COUNT(I526,M526,N526)=3,MAX(0,ROUND(I526+M526-N526,2)),"n.a.")</x:f>
        <x:v>0</x:v>
      </x:c>
    </x:row>
    <x:row r="527" ht="22" customHeight="1">
      <x:c r="A527" s="2"/>
      <x:c r="B527" s="2"/>
      <x:c r="C527" s="27" t="n">
        <x:f>105</x:f>
        <x:v>105</x:v>
      </x:c>
      <x:c r="D527" s="28" t="n">
        <x:f>IF(ISNUMBER('Inputs'!$D$7),EDATE('Inputs'!$D$7,104),"n.a.")</x:f>
        <x:v>49491</x:v>
      </x:c>
      <x:c r="E527" s="26" t="n">
        <x:f>IF('Inputs'!$D$9&lt;&gt;"Ready","n.a.",IF(ISNUMBER('Inputs'!E123),IF('Inputs'!E123&gt;=0,'Inputs'!E123,"n.a."),IF('Inputs'!E123="",'Inputs'!$D$6,"n.a.")))</x:f>
        <x:v>500</x:v>
      </x:c>
      <x:c r="F527" s="22" t="n">
        <x:f>IF(COUNT($N$527:$N$531)=5,SUM($N$527:$N$531),"n.a.")</x:f>
        <x:v>0</x:v>
      </x:c>
      <x:c r="G527" s="22" t="n">
        <x:f>IF(COUNT(E527:F527)=2,MAX(0,E527-F527),"n.a.")</x:f>
        <x:v>500</x:v>
      </x:c>
      <x:c r="H527" s="26" t="str">
        <x:f>'Inputs'!C11</x:f>
        <x:v>Card A</x:v>
      </x:c>
      <x:c r="I527" s="26" t="n">
        <x:f>S522</x:f>
        <x:v>0</x:v>
      </x:c>
      <x:c r="J527" s="29" t="n">
        <x:f>IF('Inputs'!$D$9="Ready",'Inputs'!E11,"n.a.")</x:f>
        <x:v>0.24</x:v>
      </x:c>
      <x:c r="K527" s="26" t="n">
        <x:f>IF('Inputs'!$D$9="Ready",'Inputs'!F11,"n.a.")</x:f>
        <x:v>35</x:v>
      </x:c>
      <x:c r="L527" s="29" t="n">
        <x:f>IF('Inputs'!$D$9="Ready",'Inputs'!G11,"n.a.")</x:f>
        <x:v>0.02</x:v>
      </x:c>
      <x:c r="M527" s="22" t="n">
        <x:f>IF(COUNT(I527:L527)=4,ROUND(I527*J527/12,2),"n.a.")</x:f>
        <x:v>0</x:v>
      </x:c>
      <x:c r="N527" s="22" t="n">
        <x:f>IF(COUNT(I527:M527)=5,MIN(I527+M527,ROUND(MAX(K527,I527*L527+M527),2)),"n.a.")</x:f>
        <x:v>0</x:v>
      </x:c>
      <x:c r="O527" s="30" t="n">
        <x:f>IF(COUNT($I$527:$I$531)&lt;&gt;5,"n.a.",IF(I527=0,6,IF('Inputs'!$D$5=1,COUNTIFS($I$527:$I$531,"&gt;0",$I$527:$I$531,"&lt;"&amp;I527)+COUNTIFS($I$527:I527,I527),COUNTIFS($I$527:$I$531,"&gt;0",$J$527:$J$531,"&gt;"&amp;J527)+COUNTIFS($I$527:I527,"&gt;0",$J$527:J527,J527))))</x:f>
        <x:v>6</x:v>
      </x:c>
      <x:c r="P527" s="22" t="n">
        <x:f>IF(T527="Ready",MIN(U527,MAX(0,G527-SUMIFS($U$527:$U$531,$O$527:$O$531,"&lt;"&amp;O527))),"n.a.")</x:f>
        <x:v>0</x:v>
      </x:c>
      <x:c r="Q527" s="22" t="n">
        <x:f>IF(T527="Ready",ROUND(N527+P527,2),"n.a.")</x:f>
        <x:v>0</x:v>
      </x:c>
      <x:c r="R527" s="22" t="n">
        <x:f>IF(T527="Ready",ROUND(Q527-M527,2),"n.a.")</x:f>
        <x:v>0</x:v>
      </x:c>
      <x:c r="S527" s="22" t="n">
        <x:f>IF(T527="Ready",MAX(0,ROUND(I527+M527-Q527,2)),"n.a.")</x:f>
        <x:v>0</x:v>
      </x:c>
      <x:c r="T527" s="22" t="str">
        <x:f>IF(AND(COUNT($I$527:$I$531)=5,COUNT(E527:F527)=2),IF(E527&gt;=F527,"Ready","Budget below minima"),"Check inputs")</x:f>
        <x:v>Ready</x:v>
      </x:c>
      <x:c r="U527" s="22" t="n">
        <x:f>IF(COUNT(I527,M527,N527)=3,MAX(0,ROUND(I527+M527-N527,2)),"n.a.")</x:f>
        <x:v>0</x:v>
      </x:c>
    </x:row>
    <x:row r="528" ht="22" customHeight="1">
      <x:c r="A528" s="2"/>
      <x:c r="B528" s="2"/>
      <x:c r="C528" s="27" t="n">
        <x:f>105</x:f>
        <x:v>105</x:v>
      </x:c>
      <x:c r="D528" s="28" t="n">
        <x:f>IF(ISNUMBER('Inputs'!$D$7),EDATE('Inputs'!$D$7,104),"n.a.")</x:f>
        <x:v>49491</x:v>
      </x:c>
      <x:c r="E528" s="26" t="n">
        <x:f>IF('Inputs'!$D$9&lt;&gt;"Ready","n.a.",IF(ISNUMBER('Inputs'!E123),IF('Inputs'!E123&gt;=0,'Inputs'!E123,"n.a."),IF('Inputs'!E123="",'Inputs'!$D$6,"n.a.")))</x:f>
        <x:v>500</x:v>
      </x:c>
      <x:c r="F528" s="22" t="n">
        <x:f>IF(COUNT($N$527:$N$531)=5,SUM($N$527:$N$531),"n.a.")</x:f>
        <x:v>0</x:v>
      </x:c>
      <x:c r="G528" s="22" t="n">
        <x:f>IF(COUNT(E528:F528)=2,MAX(0,E528-F528),"n.a.")</x:f>
        <x:v>500</x:v>
      </x:c>
      <x:c r="H528" s="26" t="str">
        <x:f>'Inputs'!C12</x:f>
        <x:v>Card B</x:v>
      </x:c>
      <x:c r="I528" s="26" t="n">
        <x:f>S523</x:f>
        <x:v>0</x:v>
      </x:c>
      <x:c r="J528" s="29" t="n">
        <x:f>IF('Inputs'!$D$9="Ready",'Inputs'!E12,"n.a.")</x:f>
        <x:v>0.18</x:v>
      </x:c>
      <x:c r="K528" s="26" t="n">
        <x:f>IF('Inputs'!$D$9="Ready",'Inputs'!F12,"n.a.")</x:f>
        <x:v>60</x:v>
      </x:c>
      <x:c r="L528" s="29" t="n">
        <x:f>IF('Inputs'!$D$9="Ready",'Inputs'!G12,"n.a.")</x:f>
        <x:v>0.02</x:v>
      </x:c>
      <x:c r="M528" s="22" t="n">
        <x:f>IF(COUNT(I528:L528)=4,ROUND(I528*J528/12,2),"n.a.")</x:f>
        <x:v>0</x:v>
      </x:c>
      <x:c r="N528" s="22" t="n">
        <x:f>IF(COUNT(I528:M528)=5,MIN(I528+M528,ROUND(MAX(K528,I528*L528+M528),2)),"n.a.")</x:f>
        <x:v>0</x:v>
      </x:c>
      <x:c r="O528" s="30" t="n">
        <x:f>IF(COUNT($I$527:$I$531)&lt;&gt;5,"n.a.",IF(I528=0,6,IF('Inputs'!$D$5=1,COUNTIFS($I$527:$I$531,"&gt;0",$I$527:$I$531,"&lt;"&amp;I528)+COUNTIFS($I$527:I528,I528),COUNTIFS($I$527:$I$531,"&gt;0",$J$527:$J$531,"&gt;"&amp;J528)+COUNTIFS($I$527:I528,"&gt;0",$J$527:J528,J528))))</x:f>
        <x:v>6</x:v>
      </x:c>
      <x:c r="P528" s="22" t="n">
        <x:f>IF(T528="Ready",MIN(U528,MAX(0,G528-SUMIFS($U$527:$U$531,$O$527:$O$531,"&lt;"&amp;O528))),"n.a.")</x:f>
        <x:v>0</x:v>
      </x:c>
      <x:c r="Q528" s="22" t="n">
        <x:f>IF(T528="Ready",ROUND(N528+P528,2),"n.a.")</x:f>
        <x:v>0</x:v>
      </x:c>
      <x:c r="R528" s="22" t="n">
        <x:f>IF(T528="Ready",ROUND(Q528-M528,2),"n.a.")</x:f>
        <x:v>0</x:v>
      </x:c>
      <x:c r="S528" s="22" t="n">
        <x:f>IF(T528="Ready",MAX(0,ROUND(I528+M528-Q528,2)),"n.a.")</x:f>
        <x:v>0</x:v>
      </x:c>
      <x:c r="T528" s="22" t="str">
        <x:f>IF(AND(COUNT($I$527:$I$531)=5,COUNT(E528:F528)=2),IF(E528&gt;=F528,"Ready","Budget below minima"),"Check inputs")</x:f>
        <x:v>Ready</x:v>
      </x:c>
      <x:c r="U528" s="22" t="n">
        <x:f>IF(COUNT(I528,M528,N528)=3,MAX(0,ROUND(I528+M528-N528,2)),"n.a.")</x:f>
        <x:v>0</x:v>
      </x:c>
    </x:row>
    <x:row r="529" ht="22" customHeight="1">
      <x:c r="A529" s="2"/>
      <x:c r="B529" s="2"/>
      <x:c r="C529" s="27" t="n">
        <x:f>105</x:f>
        <x:v>105</x:v>
      </x:c>
      <x:c r="D529" s="28" t="n">
        <x:f>IF(ISNUMBER('Inputs'!$D$7),EDATE('Inputs'!$D$7,104),"n.a.")</x:f>
        <x:v>49491</x:v>
      </x:c>
      <x:c r="E529" s="26" t="n">
        <x:f>IF('Inputs'!$D$9&lt;&gt;"Ready","n.a.",IF(ISNUMBER('Inputs'!E123),IF('Inputs'!E123&gt;=0,'Inputs'!E123,"n.a."),IF('Inputs'!E123="",'Inputs'!$D$6,"n.a.")))</x:f>
        <x:v>500</x:v>
      </x:c>
      <x:c r="F529" s="22" t="n">
        <x:f>IF(COUNT($N$527:$N$531)=5,SUM($N$527:$N$531),"n.a.")</x:f>
        <x:v>0</x:v>
      </x:c>
      <x:c r="G529" s="22" t="n">
        <x:f>IF(COUNT(E529:F529)=2,MAX(0,E529-F529),"n.a.")</x:f>
        <x:v>500</x:v>
      </x:c>
      <x:c r="H529" s="26" t="str">
        <x:f>'Inputs'!C13</x:f>
        <x:v>Loan C</x:v>
      </x:c>
      <x:c r="I529" s="26" t="n">
        <x:f>S524</x:f>
        <x:v>0</x:v>
      </x:c>
      <x:c r="J529" s="29" t="n">
        <x:f>IF('Inputs'!$D$9="Ready",'Inputs'!E13,"n.a.")</x:f>
        <x:v>0.08</x:v>
      </x:c>
      <x:c r="K529" s="26" t="n">
        <x:f>IF('Inputs'!$D$9="Ready",'Inputs'!F13,"n.a.")</x:f>
        <x:v>150</x:v>
      </x:c>
      <x:c r="L529" s="29" t="n">
        <x:f>IF('Inputs'!$D$9="Ready",'Inputs'!G13,"n.a.")</x:f>
        <x:v>0</x:v>
      </x:c>
      <x:c r="M529" s="22" t="n">
        <x:f>IF(COUNT(I529:L529)=4,ROUND(I529*J529/12,2),"n.a.")</x:f>
        <x:v>0</x:v>
      </x:c>
      <x:c r="N529" s="22" t="n">
        <x:f>IF(COUNT(I529:M529)=5,MIN(I529+M529,ROUND(MAX(K529,I529*L529+M529),2)),"n.a.")</x:f>
        <x:v>0</x:v>
      </x:c>
      <x:c r="O529" s="30" t="n">
        <x:f>IF(COUNT($I$527:$I$531)&lt;&gt;5,"n.a.",IF(I529=0,6,IF('Inputs'!$D$5=1,COUNTIFS($I$527:$I$531,"&gt;0",$I$527:$I$531,"&lt;"&amp;I529)+COUNTIFS($I$527:I529,I529),COUNTIFS($I$527:$I$531,"&gt;0",$J$527:$J$531,"&gt;"&amp;J529)+COUNTIFS($I$527:I529,"&gt;0",$J$527:J529,J529))))</x:f>
        <x:v>6</x:v>
      </x:c>
      <x:c r="P529" s="22" t="n">
        <x:f>IF(T529="Ready",MIN(U529,MAX(0,G529-SUMIFS($U$527:$U$531,$O$527:$O$531,"&lt;"&amp;O529))),"n.a.")</x:f>
        <x:v>0</x:v>
      </x:c>
      <x:c r="Q529" s="22" t="n">
        <x:f>IF(T529="Ready",ROUND(N529+P529,2),"n.a.")</x:f>
        <x:v>0</x:v>
      </x:c>
      <x:c r="R529" s="22" t="n">
        <x:f>IF(T529="Ready",ROUND(Q529-M529,2),"n.a.")</x:f>
        <x:v>0</x:v>
      </x:c>
      <x:c r="S529" s="22" t="n">
        <x:f>IF(T529="Ready",MAX(0,ROUND(I529+M529-Q529,2)),"n.a.")</x:f>
        <x:v>0</x:v>
      </x:c>
      <x:c r="T529" s="22" t="str">
        <x:f>IF(AND(COUNT($I$527:$I$531)=5,COUNT(E529:F529)=2),IF(E529&gt;=F529,"Ready","Budget below minima"),"Check inputs")</x:f>
        <x:v>Ready</x:v>
      </x:c>
      <x:c r="U529" s="22" t="n">
        <x:f>IF(COUNT(I529,M529,N529)=3,MAX(0,ROUND(I529+M529-N529,2)),"n.a.")</x:f>
        <x:v>0</x:v>
      </x:c>
    </x:row>
    <x:row r="530" ht="22" customHeight="1">
      <x:c r="A530" s="2"/>
      <x:c r="B530" s="2"/>
      <x:c r="C530" s="27" t="n">
        <x:f>105</x:f>
        <x:v>105</x:v>
      </x:c>
      <x:c r="D530" s="28" t="n">
        <x:f>IF(ISNUMBER('Inputs'!$D$7),EDATE('Inputs'!$D$7,104),"n.a.")</x:f>
        <x:v>49491</x:v>
      </x:c>
      <x:c r="E530" s="26" t="n">
        <x:f>IF('Inputs'!$D$9&lt;&gt;"Ready","n.a.",IF(ISNUMBER('Inputs'!E123),IF('Inputs'!E123&gt;=0,'Inputs'!E123,"n.a."),IF('Inputs'!E123="",'Inputs'!$D$6,"n.a.")))</x:f>
        <x:v>500</x:v>
      </x:c>
      <x:c r="F530" s="22" t="n">
        <x:f>IF(COUNT($N$527:$N$531)=5,SUM($N$527:$N$531),"n.a.")</x:f>
        <x:v>0</x:v>
      </x:c>
      <x:c r="G530" s="22" t="n">
        <x:f>IF(COUNT(E530:F530)=2,MAX(0,E530-F530),"n.a.")</x:f>
        <x:v>500</x:v>
      </x:c>
      <x:c r="H530" s="26" t="str">
        <x:f>'Inputs'!C14</x:f>
        <x:v>Unused 4</x:v>
      </x:c>
      <x:c r="I530" s="26" t="n">
        <x:f>S525</x:f>
        <x:v>0</x:v>
      </x:c>
      <x:c r="J530" s="29" t="n">
        <x:f>IF('Inputs'!$D$9="Ready",'Inputs'!E14,"n.a.")</x:f>
        <x:v>0</x:v>
      </x:c>
      <x:c r="K530" s="26" t="n">
        <x:f>IF('Inputs'!$D$9="Ready",'Inputs'!F14,"n.a.")</x:f>
        <x:v>0</x:v>
      </x:c>
      <x:c r="L530" s="29" t="n">
        <x:f>IF('Inputs'!$D$9="Ready",'Inputs'!G14,"n.a.")</x:f>
        <x:v>0</x:v>
      </x:c>
      <x:c r="M530" s="22" t="n">
        <x:f>IF(COUNT(I530:L530)=4,ROUND(I530*J530/12,2),"n.a.")</x:f>
        <x:v>0</x:v>
      </x:c>
      <x:c r="N530" s="22" t="n">
        <x:f>IF(COUNT(I530:M530)=5,MIN(I530+M530,ROUND(MAX(K530,I530*L530+M530),2)),"n.a.")</x:f>
        <x:v>0</x:v>
      </x:c>
      <x:c r="O530" s="30" t="n">
        <x:f>IF(COUNT($I$527:$I$531)&lt;&gt;5,"n.a.",IF(I530=0,6,IF('Inputs'!$D$5=1,COUNTIFS($I$527:$I$531,"&gt;0",$I$527:$I$531,"&lt;"&amp;I530)+COUNTIFS($I$527:I530,I530),COUNTIFS($I$527:$I$531,"&gt;0",$J$527:$J$531,"&gt;"&amp;J530)+COUNTIFS($I$527:I530,"&gt;0",$J$527:J530,J530))))</x:f>
        <x:v>6</x:v>
      </x:c>
      <x:c r="P530" s="22" t="n">
        <x:f>IF(T530="Ready",MIN(U530,MAX(0,G530-SUMIFS($U$527:$U$531,$O$527:$O$531,"&lt;"&amp;O530))),"n.a.")</x:f>
        <x:v>0</x:v>
      </x:c>
      <x:c r="Q530" s="22" t="n">
        <x:f>IF(T530="Ready",ROUND(N530+P530,2),"n.a.")</x:f>
        <x:v>0</x:v>
      </x:c>
      <x:c r="R530" s="22" t="n">
        <x:f>IF(T530="Ready",ROUND(Q530-M530,2),"n.a.")</x:f>
        <x:v>0</x:v>
      </x:c>
      <x:c r="S530" s="22" t="n">
        <x:f>IF(T530="Ready",MAX(0,ROUND(I530+M530-Q530,2)),"n.a.")</x:f>
        <x:v>0</x:v>
      </x:c>
      <x:c r="T530" s="22" t="str">
        <x:f>IF(AND(COUNT($I$527:$I$531)=5,COUNT(E530:F530)=2),IF(E530&gt;=F530,"Ready","Budget below minima"),"Check inputs")</x:f>
        <x:v>Ready</x:v>
      </x:c>
      <x:c r="U530" s="22" t="n">
        <x:f>IF(COUNT(I530,M530,N530)=3,MAX(0,ROUND(I530+M530-N530,2)),"n.a.")</x:f>
        <x:v>0</x:v>
      </x:c>
    </x:row>
    <x:row r="531" ht="22" customHeight="1">
      <x:c r="A531" s="2"/>
      <x:c r="B531" s="2"/>
      <x:c r="C531" s="27" t="n">
        <x:f>105</x:f>
        <x:v>105</x:v>
      </x:c>
      <x:c r="D531" s="28" t="n">
        <x:f>IF(ISNUMBER('Inputs'!$D$7),EDATE('Inputs'!$D$7,104),"n.a.")</x:f>
        <x:v>49491</x:v>
      </x:c>
      <x:c r="E531" s="26" t="n">
        <x:f>IF('Inputs'!$D$9&lt;&gt;"Ready","n.a.",IF(ISNUMBER('Inputs'!E123),IF('Inputs'!E123&gt;=0,'Inputs'!E123,"n.a."),IF('Inputs'!E123="",'Inputs'!$D$6,"n.a.")))</x:f>
        <x:v>500</x:v>
      </x:c>
      <x:c r="F531" s="22" t="n">
        <x:f>IF(COUNT($N$527:$N$531)=5,SUM($N$527:$N$531),"n.a.")</x:f>
        <x:v>0</x:v>
      </x:c>
      <x:c r="G531" s="22" t="n">
        <x:f>IF(COUNT(E531:F531)=2,MAX(0,E531-F531),"n.a.")</x:f>
        <x:v>500</x:v>
      </x:c>
      <x:c r="H531" s="26" t="str">
        <x:f>'Inputs'!C15</x:f>
        <x:v>Unused 5</x:v>
      </x:c>
      <x:c r="I531" s="26" t="n">
        <x:f>S526</x:f>
        <x:v>0</x:v>
      </x:c>
      <x:c r="J531" s="29" t="n">
        <x:f>IF('Inputs'!$D$9="Ready",'Inputs'!E15,"n.a.")</x:f>
        <x:v>0</x:v>
      </x:c>
      <x:c r="K531" s="26" t="n">
        <x:f>IF('Inputs'!$D$9="Ready",'Inputs'!F15,"n.a.")</x:f>
        <x:v>0</x:v>
      </x:c>
      <x:c r="L531" s="29" t="n">
        <x:f>IF('Inputs'!$D$9="Ready",'Inputs'!G15,"n.a.")</x:f>
        <x:v>0</x:v>
      </x:c>
      <x:c r="M531" s="22" t="n">
        <x:f>IF(COUNT(I531:L531)=4,ROUND(I531*J531/12,2),"n.a.")</x:f>
        <x:v>0</x:v>
      </x:c>
      <x:c r="N531" s="22" t="n">
        <x:f>IF(COUNT(I531:M531)=5,MIN(I531+M531,ROUND(MAX(K531,I531*L531+M531),2)),"n.a.")</x:f>
        <x:v>0</x:v>
      </x:c>
      <x:c r="O531" s="30" t="n">
        <x:f>IF(COUNT($I$527:$I$531)&lt;&gt;5,"n.a.",IF(I531=0,6,IF('Inputs'!$D$5=1,COUNTIFS($I$527:$I$531,"&gt;0",$I$527:$I$531,"&lt;"&amp;I531)+COUNTIFS($I$527:I531,I531),COUNTIFS($I$527:$I$531,"&gt;0",$J$527:$J$531,"&gt;"&amp;J531)+COUNTIFS($I$527:I531,"&gt;0",$J$527:J531,J531))))</x:f>
        <x:v>6</x:v>
      </x:c>
      <x:c r="P531" s="22" t="n">
        <x:f>IF(T531="Ready",MIN(U531,MAX(0,G531-SUMIFS($U$527:$U$531,$O$527:$O$531,"&lt;"&amp;O531))),"n.a.")</x:f>
        <x:v>0</x:v>
      </x:c>
      <x:c r="Q531" s="22" t="n">
        <x:f>IF(T531="Ready",ROUND(N531+P531,2),"n.a.")</x:f>
        <x:v>0</x:v>
      </x:c>
      <x:c r="R531" s="22" t="n">
        <x:f>IF(T531="Ready",ROUND(Q531-M531,2),"n.a.")</x:f>
        <x:v>0</x:v>
      </x:c>
      <x:c r="S531" s="22" t="n">
        <x:f>IF(T531="Ready",MAX(0,ROUND(I531+M531-Q531,2)),"n.a.")</x:f>
        <x:v>0</x:v>
      </x:c>
      <x:c r="T531" s="22" t="str">
        <x:f>IF(AND(COUNT($I$527:$I$531)=5,COUNT(E531:F531)=2),IF(E531&gt;=F531,"Ready","Budget below minima"),"Check inputs")</x:f>
        <x:v>Ready</x:v>
      </x:c>
      <x:c r="U531" s="22" t="n">
        <x:f>IF(COUNT(I531,M531,N531)=3,MAX(0,ROUND(I531+M531-N531,2)),"n.a.")</x:f>
        <x:v>0</x:v>
      </x:c>
    </x:row>
    <x:row r="532" ht="22" customHeight="1">
      <x:c r="A532" s="2"/>
      <x:c r="B532" s="2"/>
      <x:c r="C532" s="27" t="n">
        <x:f>106</x:f>
        <x:v>106</x:v>
      </x:c>
      <x:c r="D532" s="28" t="n">
        <x:f>IF(ISNUMBER('Inputs'!$D$7),EDATE('Inputs'!$D$7,105),"n.a.")</x:f>
        <x:v>49522</x:v>
      </x:c>
      <x:c r="E532" s="26" t="n">
        <x:f>IF('Inputs'!$D$9&lt;&gt;"Ready","n.a.",IF(ISNUMBER('Inputs'!E124),IF('Inputs'!E124&gt;=0,'Inputs'!E124,"n.a."),IF('Inputs'!E124="",'Inputs'!$D$6,"n.a.")))</x:f>
        <x:v>500</x:v>
      </x:c>
      <x:c r="F532" s="22" t="n">
        <x:f>IF(COUNT($N$532:$N$536)=5,SUM($N$532:$N$536),"n.a.")</x:f>
        <x:v>0</x:v>
      </x:c>
      <x:c r="G532" s="22" t="n">
        <x:f>IF(COUNT(E532:F532)=2,MAX(0,E532-F532),"n.a.")</x:f>
        <x:v>500</x:v>
      </x:c>
      <x:c r="H532" s="26" t="str">
        <x:f>'Inputs'!C11</x:f>
        <x:v>Card A</x:v>
      </x:c>
      <x:c r="I532" s="26" t="n">
        <x:f>S527</x:f>
        <x:v>0</x:v>
      </x:c>
      <x:c r="J532" s="29" t="n">
        <x:f>IF('Inputs'!$D$9="Ready",'Inputs'!E11,"n.a.")</x:f>
        <x:v>0.24</x:v>
      </x:c>
      <x:c r="K532" s="26" t="n">
        <x:f>IF('Inputs'!$D$9="Ready",'Inputs'!F11,"n.a.")</x:f>
        <x:v>35</x:v>
      </x:c>
      <x:c r="L532" s="29" t="n">
        <x:f>IF('Inputs'!$D$9="Ready",'Inputs'!G11,"n.a.")</x:f>
        <x:v>0.02</x:v>
      </x:c>
      <x:c r="M532" s="22" t="n">
        <x:f>IF(COUNT(I532:L532)=4,ROUND(I532*J532/12,2),"n.a.")</x:f>
        <x:v>0</x:v>
      </x:c>
      <x:c r="N532" s="22" t="n">
        <x:f>IF(COUNT(I532:M532)=5,MIN(I532+M532,ROUND(MAX(K532,I532*L532+M532),2)),"n.a.")</x:f>
        <x:v>0</x:v>
      </x:c>
      <x:c r="O532" s="30" t="n">
        <x:f>IF(COUNT($I$532:$I$536)&lt;&gt;5,"n.a.",IF(I532=0,6,IF('Inputs'!$D$5=1,COUNTIFS($I$532:$I$536,"&gt;0",$I$532:$I$536,"&lt;"&amp;I532)+COUNTIFS($I$532:I532,I532),COUNTIFS($I$532:$I$536,"&gt;0",$J$532:$J$536,"&gt;"&amp;J532)+COUNTIFS($I$532:I532,"&gt;0",$J$532:J532,J532))))</x:f>
        <x:v>6</x:v>
      </x:c>
      <x:c r="P532" s="22" t="n">
        <x:f>IF(T532="Ready",MIN(U532,MAX(0,G532-SUMIFS($U$532:$U$536,$O$532:$O$536,"&lt;"&amp;O532))),"n.a.")</x:f>
        <x:v>0</x:v>
      </x:c>
      <x:c r="Q532" s="22" t="n">
        <x:f>IF(T532="Ready",ROUND(N532+P532,2),"n.a.")</x:f>
        <x:v>0</x:v>
      </x:c>
      <x:c r="R532" s="22" t="n">
        <x:f>IF(T532="Ready",ROUND(Q532-M532,2),"n.a.")</x:f>
        <x:v>0</x:v>
      </x:c>
      <x:c r="S532" s="22" t="n">
        <x:f>IF(T532="Ready",MAX(0,ROUND(I532+M532-Q532,2)),"n.a.")</x:f>
        <x:v>0</x:v>
      </x:c>
      <x:c r="T532" s="22" t="str">
        <x:f>IF(AND(COUNT($I$532:$I$536)=5,COUNT(E532:F532)=2),IF(E532&gt;=F532,"Ready","Budget below minima"),"Check inputs")</x:f>
        <x:v>Ready</x:v>
      </x:c>
      <x:c r="U532" s="22" t="n">
        <x:f>IF(COUNT(I532,M532,N532)=3,MAX(0,ROUND(I532+M532-N532,2)),"n.a.")</x:f>
        <x:v>0</x:v>
      </x:c>
    </x:row>
    <x:row r="533" ht="22" customHeight="1">
      <x:c r="A533" s="2"/>
      <x:c r="B533" s="2"/>
      <x:c r="C533" s="27" t="n">
        <x:f>106</x:f>
        <x:v>106</x:v>
      </x:c>
      <x:c r="D533" s="28" t="n">
        <x:f>IF(ISNUMBER('Inputs'!$D$7),EDATE('Inputs'!$D$7,105),"n.a.")</x:f>
        <x:v>49522</x:v>
      </x:c>
      <x:c r="E533" s="26" t="n">
        <x:f>IF('Inputs'!$D$9&lt;&gt;"Ready","n.a.",IF(ISNUMBER('Inputs'!E124),IF('Inputs'!E124&gt;=0,'Inputs'!E124,"n.a."),IF('Inputs'!E124="",'Inputs'!$D$6,"n.a.")))</x:f>
        <x:v>500</x:v>
      </x:c>
      <x:c r="F533" s="22" t="n">
        <x:f>IF(COUNT($N$532:$N$536)=5,SUM($N$532:$N$536),"n.a.")</x:f>
        <x:v>0</x:v>
      </x:c>
      <x:c r="G533" s="22" t="n">
        <x:f>IF(COUNT(E533:F533)=2,MAX(0,E533-F533),"n.a.")</x:f>
        <x:v>500</x:v>
      </x:c>
      <x:c r="H533" s="26" t="str">
        <x:f>'Inputs'!C12</x:f>
        <x:v>Card B</x:v>
      </x:c>
      <x:c r="I533" s="26" t="n">
        <x:f>S528</x:f>
        <x:v>0</x:v>
      </x:c>
      <x:c r="J533" s="29" t="n">
        <x:f>IF('Inputs'!$D$9="Ready",'Inputs'!E12,"n.a.")</x:f>
        <x:v>0.18</x:v>
      </x:c>
      <x:c r="K533" s="26" t="n">
        <x:f>IF('Inputs'!$D$9="Ready",'Inputs'!F12,"n.a.")</x:f>
        <x:v>60</x:v>
      </x:c>
      <x:c r="L533" s="29" t="n">
        <x:f>IF('Inputs'!$D$9="Ready",'Inputs'!G12,"n.a.")</x:f>
        <x:v>0.02</x:v>
      </x:c>
      <x:c r="M533" s="22" t="n">
        <x:f>IF(COUNT(I533:L533)=4,ROUND(I533*J533/12,2),"n.a.")</x:f>
        <x:v>0</x:v>
      </x:c>
      <x:c r="N533" s="22" t="n">
        <x:f>IF(COUNT(I533:M533)=5,MIN(I533+M533,ROUND(MAX(K533,I533*L533+M533),2)),"n.a.")</x:f>
        <x:v>0</x:v>
      </x:c>
      <x:c r="O533" s="30" t="n">
        <x:f>IF(COUNT($I$532:$I$536)&lt;&gt;5,"n.a.",IF(I533=0,6,IF('Inputs'!$D$5=1,COUNTIFS($I$532:$I$536,"&gt;0",$I$532:$I$536,"&lt;"&amp;I533)+COUNTIFS($I$532:I533,I533),COUNTIFS($I$532:$I$536,"&gt;0",$J$532:$J$536,"&gt;"&amp;J533)+COUNTIFS($I$532:I533,"&gt;0",$J$532:J533,J533))))</x:f>
        <x:v>6</x:v>
      </x:c>
      <x:c r="P533" s="22" t="n">
        <x:f>IF(T533="Ready",MIN(U533,MAX(0,G533-SUMIFS($U$532:$U$536,$O$532:$O$536,"&lt;"&amp;O533))),"n.a.")</x:f>
        <x:v>0</x:v>
      </x:c>
      <x:c r="Q533" s="22" t="n">
        <x:f>IF(T533="Ready",ROUND(N533+P533,2),"n.a.")</x:f>
        <x:v>0</x:v>
      </x:c>
      <x:c r="R533" s="22" t="n">
        <x:f>IF(T533="Ready",ROUND(Q533-M533,2),"n.a.")</x:f>
        <x:v>0</x:v>
      </x:c>
      <x:c r="S533" s="22" t="n">
        <x:f>IF(T533="Ready",MAX(0,ROUND(I533+M533-Q533,2)),"n.a.")</x:f>
        <x:v>0</x:v>
      </x:c>
      <x:c r="T533" s="22" t="str">
        <x:f>IF(AND(COUNT($I$532:$I$536)=5,COUNT(E533:F533)=2),IF(E533&gt;=F533,"Ready","Budget below minima"),"Check inputs")</x:f>
        <x:v>Ready</x:v>
      </x:c>
      <x:c r="U533" s="22" t="n">
        <x:f>IF(COUNT(I533,M533,N533)=3,MAX(0,ROUND(I533+M533-N533,2)),"n.a.")</x:f>
        <x:v>0</x:v>
      </x:c>
    </x:row>
    <x:row r="534" ht="22" customHeight="1">
      <x:c r="A534" s="2"/>
      <x:c r="B534" s="2"/>
      <x:c r="C534" s="27" t="n">
        <x:f>106</x:f>
        <x:v>106</x:v>
      </x:c>
      <x:c r="D534" s="28" t="n">
        <x:f>IF(ISNUMBER('Inputs'!$D$7),EDATE('Inputs'!$D$7,105),"n.a.")</x:f>
        <x:v>49522</x:v>
      </x:c>
      <x:c r="E534" s="26" t="n">
        <x:f>IF('Inputs'!$D$9&lt;&gt;"Ready","n.a.",IF(ISNUMBER('Inputs'!E124),IF('Inputs'!E124&gt;=0,'Inputs'!E124,"n.a."),IF('Inputs'!E124="",'Inputs'!$D$6,"n.a.")))</x:f>
        <x:v>500</x:v>
      </x:c>
      <x:c r="F534" s="22" t="n">
        <x:f>IF(COUNT($N$532:$N$536)=5,SUM($N$532:$N$536),"n.a.")</x:f>
        <x:v>0</x:v>
      </x:c>
      <x:c r="G534" s="22" t="n">
        <x:f>IF(COUNT(E534:F534)=2,MAX(0,E534-F534),"n.a.")</x:f>
        <x:v>500</x:v>
      </x:c>
      <x:c r="H534" s="26" t="str">
        <x:f>'Inputs'!C13</x:f>
        <x:v>Loan C</x:v>
      </x:c>
      <x:c r="I534" s="26" t="n">
        <x:f>S529</x:f>
        <x:v>0</x:v>
      </x:c>
      <x:c r="J534" s="29" t="n">
        <x:f>IF('Inputs'!$D$9="Ready",'Inputs'!E13,"n.a.")</x:f>
        <x:v>0.08</x:v>
      </x:c>
      <x:c r="K534" s="26" t="n">
        <x:f>IF('Inputs'!$D$9="Ready",'Inputs'!F13,"n.a.")</x:f>
        <x:v>150</x:v>
      </x:c>
      <x:c r="L534" s="29" t="n">
        <x:f>IF('Inputs'!$D$9="Ready",'Inputs'!G13,"n.a.")</x:f>
        <x:v>0</x:v>
      </x:c>
      <x:c r="M534" s="22" t="n">
        <x:f>IF(COUNT(I534:L534)=4,ROUND(I534*J534/12,2),"n.a.")</x:f>
        <x:v>0</x:v>
      </x:c>
      <x:c r="N534" s="22" t="n">
        <x:f>IF(COUNT(I534:M534)=5,MIN(I534+M534,ROUND(MAX(K534,I534*L534+M534),2)),"n.a.")</x:f>
        <x:v>0</x:v>
      </x:c>
      <x:c r="O534" s="30" t="n">
        <x:f>IF(COUNT($I$532:$I$536)&lt;&gt;5,"n.a.",IF(I534=0,6,IF('Inputs'!$D$5=1,COUNTIFS($I$532:$I$536,"&gt;0",$I$532:$I$536,"&lt;"&amp;I534)+COUNTIFS($I$532:I534,I534),COUNTIFS($I$532:$I$536,"&gt;0",$J$532:$J$536,"&gt;"&amp;J534)+COUNTIFS($I$532:I534,"&gt;0",$J$532:J534,J534))))</x:f>
        <x:v>6</x:v>
      </x:c>
      <x:c r="P534" s="22" t="n">
        <x:f>IF(T534="Ready",MIN(U534,MAX(0,G534-SUMIFS($U$532:$U$536,$O$532:$O$536,"&lt;"&amp;O534))),"n.a.")</x:f>
        <x:v>0</x:v>
      </x:c>
      <x:c r="Q534" s="22" t="n">
        <x:f>IF(T534="Ready",ROUND(N534+P534,2),"n.a.")</x:f>
        <x:v>0</x:v>
      </x:c>
      <x:c r="R534" s="22" t="n">
        <x:f>IF(T534="Ready",ROUND(Q534-M534,2),"n.a.")</x:f>
        <x:v>0</x:v>
      </x:c>
      <x:c r="S534" s="22" t="n">
        <x:f>IF(T534="Ready",MAX(0,ROUND(I534+M534-Q534,2)),"n.a.")</x:f>
        <x:v>0</x:v>
      </x:c>
      <x:c r="T534" s="22" t="str">
        <x:f>IF(AND(COUNT($I$532:$I$536)=5,COUNT(E534:F534)=2),IF(E534&gt;=F534,"Ready","Budget below minima"),"Check inputs")</x:f>
        <x:v>Ready</x:v>
      </x:c>
      <x:c r="U534" s="22" t="n">
        <x:f>IF(COUNT(I534,M534,N534)=3,MAX(0,ROUND(I534+M534-N534,2)),"n.a.")</x:f>
        <x:v>0</x:v>
      </x:c>
    </x:row>
    <x:row r="535" ht="22" customHeight="1">
      <x:c r="A535" s="2"/>
      <x:c r="B535" s="2"/>
      <x:c r="C535" s="27" t="n">
        <x:f>106</x:f>
        <x:v>106</x:v>
      </x:c>
      <x:c r="D535" s="28" t="n">
        <x:f>IF(ISNUMBER('Inputs'!$D$7),EDATE('Inputs'!$D$7,105),"n.a.")</x:f>
        <x:v>49522</x:v>
      </x:c>
      <x:c r="E535" s="26" t="n">
        <x:f>IF('Inputs'!$D$9&lt;&gt;"Ready","n.a.",IF(ISNUMBER('Inputs'!E124),IF('Inputs'!E124&gt;=0,'Inputs'!E124,"n.a."),IF('Inputs'!E124="",'Inputs'!$D$6,"n.a.")))</x:f>
        <x:v>500</x:v>
      </x:c>
      <x:c r="F535" s="22" t="n">
        <x:f>IF(COUNT($N$532:$N$536)=5,SUM($N$532:$N$536),"n.a.")</x:f>
        <x:v>0</x:v>
      </x:c>
      <x:c r="G535" s="22" t="n">
        <x:f>IF(COUNT(E535:F535)=2,MAX(0,E535-F535),"n.a.")</x:f>
        <x:v>500</x:v>
      </x:c>
      <x:c r="H535" s="26" t="str">
        <x:f>'Inputs'!C14</x:f>
        <x:v>Unused 4</x:v>
      </x:c>
      <x:c r="I535" s="26" t="n">
        <x:f>S530</x:f>
        <x:v>0</x:v>
      </x:c>
      <x:c r="J535" s="29" t="n">
        <x:f>IF('Inputs'!$D$9="Ready",'Inputs'!E14,"n.a.")</x:f>
        <x:v>0</x:v>
      </x:c>
      <x:c r="K535" s="26" t="n">
        <x:f>IF('Inputs'!$D$9="Ready",'Inputs'!F14,"n.a.")</x:f>
        <x:v>0</x:v>
      </x:c>
      <x:c r="L535" s="29" t="n">
        <x:f>IF('Inputs'!$D$9="Ready",'Inputs'!G14,"n.a.")</x:f>
        <x:v>0</x:v>
      </x:c>
      <x:c r="M535" s="22" t="n">
        <x:f>IF(COUNT(I535:L535)=4,ROUND(I535*J535/12,2),"n.a.")</x:f>
        <x:v>0</x:v>
      </x:c>
      <x:c r="N535" s="22" t="n">
        <x:f>IF(COUNT(I535:M535)=5,MIN(I535+M535,ROUND(MAX(K535,I535*L535+M535),2)),"n.a.")</x:f>
        <x:v>0</x:v>
      </x:c>
      <x:c r="O535" s="30" t="n">
        <x:f>IF(COUNT($I$532:$I$536)&lt;&gt;5,"n.a.",IF(I535=0,6,IF('Inputs'!$D$5=1,COUNTIFS($I$532:$I$536,"&gt;0",$I$532:$I$536,"&lt;"&amp;I535)+COUNTIFS($I$532:I535,I535),COUNTIFS($I$532:$I$536,"&gt;0",$J$532:$J$536,"&gt;"&amp;J535)+COUNTIFS($I$532:I535,"&gt;0",$J$532:J535,J535))))</x:f>
        <x:v>6</x:v>
      </x:c>
      <x:c r="P535" s="22" t="n">
        <x:f>IF(T535="Ready",MIN(U535,MAX(0,G535-SUMIFS($U$532:$U$536,$O$532:$O$536,"&lt;"&amp;O535))),"n.a.")</x:f>
        <x:v>0</x:v>
      </x:c>
      <x:c r="Q535" s="22" t="n">
        <x:f>IF(T535="Ready",ROUND(N535+P535,2),"n.a.")</x:f>
        <x:v>0</x:v>
      </x:c>
      <x:c r="R535" s="22" t="n">
        <x:f>IF(T535="Ready",ROUND(Q535-M535,2),"n.a.")</x:f>
        <x:v>0</x:v>
      </x:c>
      <x:c r="S535" s="22" t="n">
        <x:f>IF(T535="Ready",MAX(0,ROUND(I535+M535-Q535,2)),"n.a.")</x:f>
        <x:v>0</x:v>
      </x:c>
      <x:c r="T535" s="22" t="str">
        <x:f>IF(AND(COUNT($I$532:$I$536)=5,COUNT(E535:F535)=2),IF(E535&gt;=F535,"Ready","Budget below minima"),"Check inputs")</x:f>
        <x:v>Ready</x:v>
      </x:c>
      <x:c r="U535" s="22" t="n">
        <x:f>IF(COUNT(I535,M535,N535)=3,MAX(0,ROUND(I535+M535-N535,2)),"n.a.")</x:f>
        <x:v>0</x:v>
      </x:c>
    </x:row>
    <x:row r="536" ht="22" customHeight="1">
      <x:c r="A536" s="2"/>
      <x:c r="B536" s="2"/>
      <x:c r="C536" s="27" t="n">
        <x:f>106</x:f>
        <x:v>106</x:v>
      </x:c>
      <x:c r="D536" s="28" t="n">
        <x:f>IF(ISNUMBER('Inputs'!$D$7),EDATE('Inputs'!$D$7,105),"n.a.")</x:f>
        <x:v>49522</x:v>
      </x:c>
      <x:c r="E536" s="26" t="n">
        <x:f>IF('Inputs'!$D$9&lt;&gt;"Ready","n.a.",IF(ISNUMBER('Inputs'!E124),IF('Inputs'!E124&gt;=0,'Inputs'!E124,"n.a."),IF('Inputs'!E124="",'Inputs'!$D$6,"n.a.")))</x:f>
        <x:v>500</x:v>
      </x:c>
      <x:c r="F536" s="22" t="n">
        <x:f>IF(COUNT($N$532:$N$536)=5,SUM($N$532:$N$536),"n.a.")</x:f>
        <x:v>0</x:v>
      </x:c>
      <x:c r="G536" s="22" t="n">
        <x:f>IF(COUNT(E536:F536)=2,MAX(0,E536-F536),"n.a.")</x:f>
        <x:v>500</x:v>
      </x:c>
      <x:c r="H536" s="26" t="str">
        <x:f>'Inputs'!C15</x:f>
        <x:v>Unused 5</x:v>
      </x:c>
      <x:c r="I536" s="26" t="n">
        <x:f>S531</x:f>
        <x:v>0</x:v>
      </x:c>
      <x:c r="J536" s="29" t="n">
        <x:f>IF('Inputs'!$D$9="Ready",'Inputs'!E15,"n.a.")</x:f>
        <x:v>0</x:v>
      </x:c>
      <x:c r="K536" s="26" t="n">
        <x:f>IF('Inputs'!$D$9="Ready",'Inputs'!F15,"n.a.")</x:f>
        <x:v>0</x:v>
      </x:c>
      <x:c r="L536" s="29" t="n">
        <x:f>IF('Inputs'!$D$9="Ready",'Inputs'!G15,"n.a.")</x:f>
        <x:v>0</x:v>
      </x:c>
      <x:c r="M536" s="22" t="n">
        <x:f>IF(COUNT(I536:L536)=4,ROUND(I536*J536/12,2),"n.a.")</x:f>
        <x:v>0</x:v>
      </x:c>
      <x:c r="N536" s="22" t="n">
        <x:f>IF(COUNT(I536:M536)=5,MIN(I536+M536,ROUND(MAX(K536,I536*L536+M536),2)),"n.a.")</x:f>
        <x:v>0</x:v>
      </x:c>
      <x:c r="O536" s="30" t="n">
        <x:f>IF(COUNT($I$532:$I$536)&lt;&gt;5,"n.a.",IF(I536=0,6,IF('Inputs'!$D$5=1,COUNTIFS($I$532:$I$536,"&gt;0",$I$532:$I$536,"&lt;"&amp;I536)+COUNTIFS($I$532:I536,I536),COUNTIFS($I$532:$I$536,"&gt;0",$J$532:$J$536,"&gt;"&amp;J536)+COUNTIFS($I$532:I536,"&gt;0",$J$532:J536,J536))))</x:f>
        <x:v>6</x:v>
      </x:c>
      <x:c r="P536" s="22" t="n">
        <x:f>IF(T536="Ready",MIN(U536,MAX(0,G536-SUMIFS($U$532:$U$536,$O$532:$O$536,"&lt;"&amp;O536))),"n.a.")</x:f>
        <x:v>0</x:v>
      </x:c>
      <x:c r="Q536" s="22" t="n">
        <x:f>IF(T536="Ready",ROUND(N536+P536,2),"n.a.")</x:f>
        <x:v>0</x:v>
      </x:c>
      <x:c r="R536" s="22" t="n">
        <x:f>IF(T536="Ready",ROUND(Q536-M536,2),"n.a.")</x:f>
        <x:v>0</x:v>
      </x:c>
      <x:c r="S536" s="22" t="n">
        <x:f>IF(T536="Ready",MAX(0,ROUND(I536+M536-Q536,2)),"n.a.")</x:f>
        <x:v>0</x:v>
      </x:c>
      <x:c r="T536" s="22" t="str">
        <x:f>IF(AND(COUNT($I$532:$I$536)=5,COUNT(E536:F536)=2),IF(E536&gt;=F536,"Ready","Budget below minima"),"Check inputs")</x:f>
        <x:v>Ready</x:v>
      </x:c>
      <x:c r="U536" s="22" t="n">
        <x:f>IF(COUNT(I536,M536,N536)=3,MAX(0,ROUND(I536+M536-N536,2)),"n.a.")</x:f>
        <x:v>0</x:v>
      </x:c>
    </x:row>
    <x:row r="537" ht="22" customHeight="1">
      <x:c r="A537" s="2"/>
      <x:c r="B537" s="2"/>
      <x:c r="C537" s="27" t="n">
        <x:f>107</x:f>
        <x:v>107</x:v>
      </x:c>
      <x:c r="D537" s="28" t="n">
        <x:f>IF(ISNUMBER('Inputs'!$D$7),EDATE('Inputs'!$D$7,106),"n.a.")</x:f>
        <x:v>49553</x:v>
      </x:c>
      <x:c r="E537" s="26" t="n">
        <x:f>IF('Inputs'!$D$9&lt;&gt;"Ready","n.a.",IF(ISNUMBER('Inputs'!E125),IF('Inputs'!E125&gt;=0,'Inputs'!E125,"n.a."),IF('Inputs'!E125="",'Inputs'!$D$6,"n.a.")))</x:f>
        <x:v>500</x:v>
      </x:c>
      <x:c r="F537" s="22" t="n">
        <x:f>IF(COUNT($N$537:$N$541)=5,SUM($N$537:$N$541),"n.a.")</x:f>
        <x:v>0</x:v>
      </x:c>
      <x:c r="G537" s="22" t="n">
        <x:f>IF(COUNT(E537:F537)=2,MAX(0,E537-F537),"n.a.")</x:f>
        <x:v>500</x:v>
      </x:c>
      <x:c r="H537" s="26" t="str">
        <x:f>'Inputs'!C11</x:f>
        <x:v>Card A</x:v>
      </x:c>
      <x:c r="I537" s="26" t="n">
        <x:f>S532</x:f>
        <x:v>0</x:v>
      </x:c>
      <x:c r="J537" s="29" t="n">
        <x:f>IF('Inputs'!$D$9="Ready",'Inputs'!E11,"n.a.")</x:f>
        <x:v>0.24</x:v>
      </x:c>
      <x:c r="K537" s="26" t="n">
        <x:f>IF('Inputs'!$D$9="Ready",'Inputs'!F11,"n.a.")</x:f>
        <x:v>35</x:v>
      </x:c>
      <x:c r="L537" s="29" t="n">
        <x:f>IF('Inputs'!$D$9="Ready",'Inputs'!G11,"n.a.")</x:f>
        <x:v>0.02</x:v>
      </x:c>
      <x:c r="M537" s="22" t="n">
        <x:f>IF(COUNT(I537:L537)=4,ROUND(I537*J537/12,2),"n.a.")</x:f>
        <x:v>0</x:v>
      </x:c>
      <x:c r="N537" s="22" t="n">
        <x:f>IF(COUNT(I537:M537)=5,MIN(I537+M537,ROUND(MAX(K537,I537*L537+M537),2)),"n.a.")</x:f>
        <x:v>0</x:v>
      </x:c>
      <x:c r="O537" s="30" t="n">
        <x:f>IF(COUNT($I$537:$I$541)&lt;&gt;5,"n.a.",IF(I537=0,6,IF('Inputs'!$D$5=1,COUNTIFS($I$537:$I$541,"&gt;0",$I$537:$I$541,"&lt;"&amp;I537)+COUNTIFS($I$537:I537,I537),COUNTIFS($I$537:$I$541,"&gt;0",$J$537:$J$541,"&gt;"&amp;J537)+COUNTIFS($I$537:I537,"&gt;0",$J$537:J537,J537))))</x:f>
        <x:v>6</x:v>
      </x:c>
      <x:c r="P537" s="22" t="n">
        <x:f>IF(T537="Ready",MIN(U537,MAX(0,G537-SUMIFS($U$537:$U$541,$O$537:$O$541,"&lt;"&amp;O537))),"n.a.")</x:f>
        <x:v>0</x:v>
      </x:c>
      <x:c r="Q537" s="22" t="n">
        <x:f>IF(T537="Ready",ROUND(N537+P537,2),"n.a.")</x:f>
        <x:v>0</x:v>
      </x:c>
      <x:c r="R537" s="22" t="n">
        <x:f>IF(T537="Ready",ROUND(Q537-M537,2),"n.a.")</x:f>
        <x:v>0</x:v>
      </x:c>
      <x:c r="S537" s="22" t="n">
        <x:f>IF(T537="Ready",MAX(0,ROUND(I537+M537-Q537,2)),"n.a.")</x:f>
        <x:v>0</x:v>
      </x:c>
      <x:c r="T537" s="22" t="str">
        <x:f>IF(AND(COUNT($I$537:$I$541)=5,COUNT(E537:F537)=2),IF(E537&gt;=F537,"Ready","Budget below minima"),"Check inputs")</x:f>
        <x:v>Ready</x:v>
      </x:c>
      <x:c r="U537" s="22" t="n">
        <x:f>IF(COUNT(I537,M537,N537)=3,MAX(0,ROUND(I537+M537-N537,2)),"n.a.")</x:f>
        <x:v>0</x:v>
      </x:c>
    </x:row>
    <x:row r="538" ht="22" customHeight="1">
      <x:c r="A538" s="2"/>
      <x:c r="B538" s="2"/>
      <x:c r="C538" s="27" t="n">
        <x:f>107</x:f>
        <x:v>107</x:v>
      </x:c>
      <x:c r="D538" s="28" t="n">
        <x:f>IF(ISNUMBER('Inputs'!$D$7),EDATE('Inputs'!$D$7,106),"n.a.")</x:f>
        <x:v>49553</x:v>
      </x:c>
      <x:c r="E538" s="26" t="n">
        <x:f>IF('Inputs'!$D$9&lt;&gt;"Ready","n.a.",IF(ISNUMBER('Inputs'!E125),IF('Inputs'!E125&gt;=0,'Inputs'!E125,"n.a."),IF('Inputs'!E125="",'Inputs'!$D$6,"n.a.")))</x:f>
        <x:v>500</x:v>
      </x:c>
      <x:c r="F538" s="22" t="n">
        <x:f>IF(COUNT($N$537:$N$541)=5,SUM($N$537:$N$541),"n.a.")</x:f>
        <x:v>0</x:v>
      </x:c>
      <x:c r="G538" s="22" t="n">
        <x:f>IF(COUNT(E538:F538)=2,MAX(0,E538-F538),"n.a.")</x:f>
        <x:v>500</x:v>
      </x:c>
      <x:c r="H538" s="26" t="str">
        <x:f>'Inputs'!C12</x:f>
        <x:v>Card B</x:v>
      </x:c>
      <x:c r="I538" s="26" t="n">
        <x:f>S533</x:f>
        <x:v>0</x:v>
      </x:c>
      <x:c r="J538" s="29" t="n">
        <x:f>IF('Inputs'!$D$9="Ready",'Inputs'!E12,"n.a.")</x:f>
        <x:v>0.18</x:v>
      </x:c>
      <x:c r="K538" s="26" t="n">
        <x:f>IF('Inputs'!$D$9="Ready",'Inputs'!F12,"n.a.")</x:f>
        <x:v>60</x:v>
      </x:c>
      <x:c r="L538" s="29" t="n">
        <x:f>IF('Inputs'!$D$9="Ready",'Inputs'!G12,"n.a.")</x:f>
        <x:v>0.02</x:v>
      </x:c>
      <x:c r="M538" s="22" t="n">
        <x:f>IF(COUNT(I538:L538)=4,ROUND(I538*J538/12,2),"n.a.")</x:f>
        <x:v>0</x:v>
      </x:c>
      <x:c r="N538" s="22" t="n">
        <x:f>IF(COUNT(I538:M538)=5,MIN(I538+M538,ROUND(MAX(K538,I538*L538+M538),2)),"n.a.")</x:f>
        <x:v>0</x:v>
      </x:c>
      <x:c r="O538" s="30" t="n">
        <x:f>IF(COUNT($I$537:$I$541)&lt;&gt;5,"n.a.",IF(I538=0,6,IF('Inputs'!$D$5=1,COUNTIFS($I$537:$I$541,"&gt;0",$I$537:$I$541,"&lt;"&amp;I538)+COUNTIFS($I$537:I538,I538),COUNTIFS($I$537:$I$541,"&gt;0",$J$537:$J$541,"&gt;"&amp;J538)+COUNTIFS($I$537:I538,"&gt;0",$J$537:J538,J538))))</x:f>
        <x:v>6</x:v>
      </x:c>
      <x:c r="P538" s="22" t="n">
        <x:f>IF(T538="Ready",MIN(U538,MAX(0,G538-SUMIFS($U$537:$U$541,$O$537:$O$541,"&lt;"&amp;O538))),"n.a.")</x:f>
        <x:v>0</x:v>
      </x:c>
      <x:c r="Q538" s="22" t="n">
        <x:f>IF(T538="Ready",ROUND(N538+P538,2),"n.a.")</x:f>
        <x:v>0</x:v>
      </x:c>
      <x:c r="R538" s="22" t="n">
        <x:f>IF(T538="Ready",ROUND(Q538-M538,2),"n.a.")</x:f>
        <x:v>0</x:v>
      </x:c>
      <x:c r="S538" s="22" t="n">
        <x:f>IF(T538="Ready",MAX(0,ROUND(I538+M538-Q538,2)),"n.a.")</x:f>
        <x:v>0</x:v>
      </x:c>
      <x:c r="T538" s="22" t="str">
        <x:f>IF(AND(COUNT($I$537:$I$541)=5,COUNT(E538:F538)=2),IF(E538&gt;=F538,"Ready","Budget below minima"),"Check inputs")</x:f>
        <x:v>Ready</x:v>
      </x:c>
      <x:c r="U538" s="22" t="n">
        <x:f>IF(COUNT(I538,M538,N538)=3,MAX(0,ROUND(I538+M538-N538,2)),"n.a.")</x:f>
        <x:v>0</x:v>
      </x:c>
    </x:row>
    <x:row r="539" ht="22" customHeight="1">
      <x:c r="A539" s="2"/>
      <x:c r="B539" s="2"/>
      <x:c r="C539" s="27" t="n">
        <x:f>107</x:f>
        <x:v>107</x:v>
      </x:c>
      <x:c r="D539" s="28" t="n">
        <x:f>IF(ISNUMBER('Inputs'!$D$7),EDATE('Inputs'!$D$7,106),"n.a.")</x:f>
        <x:v>49553</x:v>
      </x:c>
      <x:c r="E539" s="26" t="n">
        <x:f>IF('Inputs'!$D$9&lt;&gt;"Ready","n.a.",IF(ISNUMBER('Inputs'!E125),IF('Inputs'!E125&gt;=0,'Inputs'!E125,"n.a."),IF('Inputs'!E125="",'Inputs'!$D$6,"n.a.")))</x:f>
        <x:v>500</x:v>
      </x:c>
      <x:c r="F539" s="22" t="n">
        <x:f>IF(COUNT($N$537:$N$541)=5,SUM($N$537:$N$541),"n.a.")</x:f>
        <x:v>0</x:v>
      </x:c>
      <x:c r="G539" s="22" t="n">
        <x:f>IF(COUNT(E539:F539)=2,MAX(0,E539-F539),"n.a.")</x:f>
        <x:v>500</x:v>
      </x:c>
      <x:c r="H539" s="26" t="str">
        <x:f>'Inputs'!C13</x:f>
        <x:v>Loan C</x:v>
      </x:c>
      <x:c r="I539" s="26" t="n">
        <x:f>S534</x:f>
        <x:v>0</x:v>
      </x:c>
      <x:c r="J539" s="29" t="n">
        <x:f>IF('Inputs'!$D$9="Ready",'Inputs'!E13,"n.a.")</x:f>
        <x:v>0.08</x:v>
      </x:c>
      <x:c r="K539" s="26" t="n">
        <x:f>IF('Inputs'!$D$9="Ready",'Inputs'!F13,"n.a.")</x:f>
        <x:v>150</x:v>
      </x:c>
      <x:c r="L539" s="29" t="n">
        <x:f>IF('Inputs'!$D$9="Ready",'Inputs'!G13,"n.a.")</x:f>
        <x:v>0</x:v>
      </x:c>
      <x:c r="M539" s="22" t="n">
        <x:f>IF(COUNT(I539:L539)=4,ROUND(I539*J539/12,2),"n.a.")</x:f>
        <x:v>0</x:v>
      </x:c>
      <x:c r="N539" s="22" t="n">
        <x:f>IF(COUNT(I539:M539)=5,MIN(I539+M539,ROUND(MAX(K539,I539*L539+M539),2)),"n.a.")</x:f>
        <x:v>0</x:v>
      </x:c>
      <x:c r="O539" s="30" t="n">
        <x:f>IF(COUNT($I$537:$I$541)&lt;&gt;5,"n.a.",IF(I539=0,6,IF('Inputs'!$D$5=1,COUNTIFS($I$537:$I$541,"&gt;0",$I$537:$I$541,"&lt;"&amp;I539)+COUNTIFS($I$537:I539,I539),COUNTIFS($I$537:$I$541,"&gt;0",$J$537:$J$541,"&gt;"&amp;J539)+COUNTIFS($I$537:I539,"&gt;0",$J$537:J539,J539))))</x:f>
        <x:v>6</x:v>
      </x:c>
      <x:c r="P539" s="22" t="n">
        <x:f>IF(T539="Ready",MIN(U539,MAX(0,G539-SUMIFS($U$537:$U$541,$O$537:$O$541,"&lt;"&amp;O539))),"n.a.")</x:f>
        <x:v>0</x:v>
      </x:c>
      <x:c r="Q539" s="22" t="n">
        <x:f>IF(T539="Ready",ROUND(N539+P539,2),"n.a.")</x:f>
        <x:v>0</x:v>
      </x:c>
      <x:c r="R539" s="22" t="n">
        <x:f>IF(T539="Ready",ROUND(Q539-M539,2),"n.a.")</x:f>
        <x:v>0</x:v>
      </x:c>
      <x:c r="S539" s="22" t="n">
        <x:f>IF(T539="Ready",MAX(0,ROUND(I539+M539-Q539,2)),"n.a.")</x:f>
        <x:v>0</x:v>
      </x:c>
      <x:c r="T539" s="22" t="str">
        <x:f>IF(AND(COUNT($I$537:$I$541)=5,COUNT(E539:F539)=2),IF(E539&gt;=F539,"Ready","Budget below minima"),"Check inputs")</x:f>
        <x:v>Ready</x:v>
      </x:c>
      <x:c r="U539" s="22" t="n">
        <x:f>IF(COUNT(I539,M539,N539)=3,MAX(0,ROUND(I539+M539-N539,2)),"n.a.")</x:f>
        <x:v>0</x:v>
      </x:c>
    </x:row>
    <x:row r="540" ht="22" customHeight="1">
      <x:c r="A540" s="2"/>
      <x:c r="B540" s="2"/>
      <x:c r="C540" s="27" t="n">
        <x:f>107</x:f>
        <x:v>107</x:v>
      </x:c>
      <x:c r="D540" s="28" t="n">
        <x:f>IF(ISNUMBER('Inputs'!$D$7),EDATE('Inputs'!$D$7,106),"n.a.")</x:f>
        <x:v>49553</x:v>
      </x:c>
      <x:c r="E540" s="26" t="n">
        <x:f>IF('Inputs'!$D$9&lt;&gt;"Ready","n.a.",IF(ISNUMBER('Inputs'!E125),IF('Inputs'!E125&gt;=0,'Inputs'!E125,"n.a."),IF('Inputs'!E125="",'Inputs'!$D$6,"n.a.")))</x:f>
        <x:v>500</x:v>
      </x:c>
      <x:c r="F540" s="22" t="n">
        <x:f>IF(COUNT($N$537:$N$541)=5,SUM($N$537:$N$541),"n.a.")</x:f>
        <x:v>0</x:v>
      </x:c>
      <x:c r="G540" s="22" t="n">
        <x:f>IF(COUNT(E540:F540)=2,MAX(0,E540-F540),"n.a.")</x:f>
        <x:v>500</x:v>
      </x:c>
      <x:c r="H540" s="26" t="str">
        <x:f>'Inputs'!C14</x:f>
        <x:v>Unused 4</x:v>
      </x:c>
      <x:c r="I540" s="26" t="n">
        <x:f>S535</x:f>
        <x:v>0</x:v>
      </x:c>
      <x:c r="J540" s="29" t="n">
        <x:f>IF('Inputs'!$D$9="Ready",'Inputs'!E14,"n.a.")</x:f>
        <x:v>0</x:v>
      </x:c>
      <x:c r="K540" s="26" t="n">
        <x:f>IF('Inputs'!$D$9="Ready",'Inputs'!F14,"n.a.")</x:f>
        <x:v>0</x:v>
      </x:c>
      <x:c r="L540" s="29" t="n">
        <x:f>IF('Inputs'!$D$9="Ready",'Inputs'!G14,"n.a.")</x:f>
        <x:v>0</x:v>
      </x:c>
      <x:c r="M540" s="22" t="n">
        <x:f>IF(COUNT(I540:L540)=4,ROUND(I540*J540/12,2),"n.a.")</x:f>
        <x:v>0</x:v>
      </x:c>
      <x:c r="N540" s="22" t="n">
        <x:f>IF(COUNT(I540:M540)=5,MIN(I540+M540,ROUND(MAX(K540,I540*L540+M540),2)),"n.a.")</x:f>
        <x:v>0</x:v>
      </x:c>
      <x:c r="O540" s="30" t="n">
        <x:f>IF(COUNT($I$537:$I$541)&lt;&gt;5,"n.a.",IF(I540=0,6,IF('Inputs'!$D$5=1,COUNTIFS($I$537:$I$541,"&gt;0",$I$537:$I$541,"&lt;"&amp;I540)+COUNTIFS($I$537:I540,I540),COUNTIFS($I$537:$I$541,"&gt;0",$J$537:$J$541,"&gt;"&amp;J540)+COUNTIFS($I$537:I540,"&gt;0",$J$537:J540,J540))))</x:f>
        <x:v>6</x:v>
      </x:c>
      <x:c r="P540" s="22" t="n">
        <x:f>IF(T540="Ready",MIN(U540,MAX(0,G540-SUMIFS($U$537:$U$541,$O$537:$O$541,"&lt;"&amp;O540))),"n.a.")</x:f>
        <x:v>0</x:v>
      </x:c>
      <x:c r="Q540" s="22" t="n">
        <x:f>IF(T540="Ready",ROUND(N540+P540,2),"n.a.")</x:f>
        <x:v>0</x:v>
      </x:c>
      <x:c r="R540" s="22" t="n">
        <x:f>IF(T540="Ready",ROUND(Q540-M540,2),"n.a.")</x:f>
        <x:v>0</x:v>
      </x:c>
      <x:c r="S540" s="22" t="n">
        <x:f>IF(T540="Ready",MAX(0,ROUND(I540+M540-Q540,2)),"n.a.")</x:f>
        <x:v>0</x:v>
      </x:c>
      <x:c r="T540" s="22" t="str">
        <x:f>IF(AND(COUNT($I$537:$I$541)=5,COUNT(E540:F540)=2),IF(E540&gt;=F540,"Ready","Budget below minima"),"Check inputs")</x:f>
        <x:v>Ready</x:v>
      </x:c>
      <x:c r="U540" s="22" t="n">
        <x:f>IF(COUNT(I540,M540,N540)=3,MAX(0,ROUND(I540+M540-N540,2)),"n.a.")</x:f>
        <x:v>0</x:v>
      </x:c>
    </x:row>
    <x:row r="541" ht="22" customHeight="1">
      <x:c r="A541" s="2"/>
      <x:c r="B541" s="2"/>
      <x:c r="C541" s="27" t="n">
        <x:f>107</x:f>
        <x:v>107</x:v>
      </x:c>
      <x:c r="D541" s="28" t="n">
        <x:f>IF(ISNUMBER('Inputs'!$D$7),EDATE('Inputs'!$D$7,106),"n.a.")</x:f>
        <x:v>49553</x:v>
      </x:c>
      <x:c r="E541" s="26" t="n">
        <x:f>IF('Inputs'!$D$9&lt;&gt;"Ready","n.a.",IF(ISNUMBER('Inputs'!E125),IF('Inputs'!E125&gt;=0,'Inputs'!E125,"n.a."),IF('Inputs'!E125="",'Inputs'!$D$6,"n.a.")))</x:f>
        <x:v>500</x:v>
      </x:c>
      <x:c r="F541" s="22" t="n">
        <x:f>IF(COUNT($N$537:$N$541)=5,SUM($N$537:$N$541),"n.a.")</x:f>
        <x:v>0</x:v>
      </x:c>
      <x:c r="G541" s="22" t="n">
        <x:f>IF(COUNT(E541:F541)=2,MAX(0,E541-F541),"n.a.")</x:f>
        <x:v>500</x:v>
      </x:c>
      <x:c r="H541" s="26" t="str">
        <x:f>'Inputs'!C15</x:f>
        <x:v>Unused 5</x:v>
      </x:c>
      <x:c r="I541" s="26" t="n">
        <x:f>S536</x:f>
        <x:v>0</x:v>
      </x:c>
      <x:c r="J541" s="29" t="n">
        <x:f>IF('Inputs'!$D$9="Ready",'Inputs'!E15,"n.a.")</x:f>
        <x:v>0</x:v>
      </x:c>
      <x:c r="K541" s="26" t="n">
        <x:f>IF('Inputs'!$D$9="Ready",'Inputs'!F15,"n.a.")</x:f>
        <x:v>0</x:v>
      </x:c>
      <x:c r="L541" s="29" t="n">
        <x:f>IF('Inputs'!$D$9="Ready",'Inputs'!G15,"n.a.")</x:f>
        <x:v>0</x:v>
      </x:c>
      <x:c r="M541" s="22" t="n">
        <x:f>IF(COUNT(I541:L541)=4,ROUND(I541*J541/12,2),"n.a.")</x:f>
        <x:v>0</x:v>
      </x:c>
      <x:c r="N541" s="22" t="n">
        <x:f>IF(COUNT(I541:M541)=5,MIN(I541+M541,ROUND(MAX(K541,I541*L541+M541),2)),"n.a.")</x:f>
        <x:v>0</x:v>
      </x:c>
      <x:c r="O541" s="30" t="n">
        <x:f>IF(COUNT($I$537:$I$541)&lt;&gt;5,"n.a.",IF(I541=0,6,IF('Inputs'!$D$5=1,COUNTIFS($I$537:$I$541,"&gt;0",$I$537:$I$541,"&lt;"&amp;I541)+COUNTIFS($I$537:I541,I541),COUNTIFS($I$537:$I$541,"&gt;0",$J$537:$J$541,"&gt;"&amp;J541)+COUNTIFS($I$537:I541,"&gt;0",$J$537:J541,J541))))</x:f>
        <x:v>6</x:v>
      </x:c>
      <x:c r="P541" s="22" t="n">
        <x:f>IF(T541="Ready",MIN(U541,MAX(0,G541-SUMIFS($U$537:$U$541,$O$537:$O$541,"&lt;"&amp;O541))),"n.a.")</x:f>
        <x:v>0</x:v>
      </x:c>
      <x:c r="Q541" s="22" t="n">
        <x:f>IF(T541="Ready",ROUND(N541+P541,2),"n.a.")</x:f>
        <x:v>0</x:v>
      </x:c>
      <x:c r="R541" s="22" t="n">
        <x:f>IF(T541="Ready",ROUND(Q541-M541,2),"n.a.")</x:f>
        <x:v>0</x:v>
      </x:c>
      <x:c r="S541" s="22" t="n">
        <x:f>IF(T541="Ready",MAX(0,ROUND(I541+M541-Q541,2)),"n.a.")</x:f>
        <x:v>0</x:v>
      </x:c>
      <x:c r="T541" s="22" t="str">
        <x:f>IF(AND(COUNT($I$537:$I$541)=5,COUNT(E541:F541)=2),IF(E541&gt;=F541,"Ready","Budget below minima"),"Check inputs")</x:f>
        <x:v>Ready</x:v>
      </x:c>
      <x:c r="U541" s="22" t="n">
        <x:f>IF(COUNT(I541,M541,N541)=3,MAX(0,ROUND(I541+M541-N541,2)),"n.a.")</x:f>
        <x:v>0</x:v>
      </x:c>
    </x:row>
    <x:row r="542" ht="22" customHeight="1">
      <x:c r="A542" s="2"/>
      <x:c r="B542" s="2"/>
      <x:c r="C542" s="27" t="n">
        <x:f>108</x:f>
        <x:v>108</x:v>
      </x:c>
      <x:c r="D542" s="28" t="n">
        <x:f>IF(ISNUMBER('Inputs'!$D$7),EDATE('Inputs'!$D$7,107),"n.a.")</x:f>
        <x:v>49583</x:v>
      </x:c>
      <x:c r="E542" s="26" t="n">
        <x:f>IF('Inputs'!$D$9&lt;&gt;"Ready","n.a.",IF(ISNUMBER('Inputs'!E126),IF('Inputs'!E126&gt;=0,'Inputs'!E126,"n.a."),IF('Inputs'!E126="",'Inputs'!$D$6,"n.a.")))</x:f>
        <x:v>500</x:v>
      </x:c>
      <x:c r="F542" s="22" t="n">
        <x:f>IF(COUNT($N$542:$N$546)=5,SUM($N$542:$N$546),"n.a.")</x:f>
        <x:v>0</x:v>
      </x:c>
      <x:c r="G542" s="22" t="n">
        <x:f>IF(COUNT(E542:F542)=2,MAX(0,E542-F542),"n.a.")</x:f>
        <x:v>500</x:v>
      </x:c>
      <x:c r="H542" s="26" t="str">
        <x:f>'Inputs'!C11</x:f>
        <x:v>Card A</x:v>
      </x:c>
      <x:c r="I542" s="26" t="n">
        <x:f>S537</x:f>
        <x:v>0</x:v>
      </x:c>
      <x:c r="J542" s="29" t="n">
        <x:f>IF('Inputs'!$D$9="Ready",'Inputs'!E11,"n.a.")</x:f>
        <x:v>0.24</x:v>
      </x:c>
      <x:c r="K542" s="26" t="n">
        <x:f>IF('Inputs'!$D$9="Ready",'Inputs'!F11,"n.a.")</x:f>
        <x:v>35</x:v>
      </x:c>
      <x:c r="L542" s="29" t="n">
        <x:f>IF('Inputs'!$D$9="Ready",'Inputs'!G11,"n.a.")</x:f>
        <x:v>0.02</x:v>
      </x:c>
      <x:c r="M542" s="22" t="n">
        <x:f>IF(COUNT(I542:L542)=4,ROUND(I542*J542/12,2),"n.a.")</x:f>
        <x:v>0</x:v>
      </x:c>
      <x:c r="N542" s="22" t="n">
        <x:f>IF(COUNT(I542:M542)=5,MIN(I542+M542,ROUND(MAX(K542,I542*L542+M542),2)),"n.a.")</x:f>
        <x:v>0</x:v>
      </x:c>
      <x:c r="O542" s="30" t="n">
        <x:f>IF(COUNT($I$542:$I$546)&lt;&gt;5,"n.a.",IF(I542=0,6,IF('Inputs'!$D$5=1,COUNTIFS($I$542:$I$546,"&gt;0",$I$542:$I$546,"&lt;"&amp;I542)+COUNTIFS($I$542:I542,I542),COUNTIFS($I$542:$I$546,"&gt;0",$J$542:$J$546,"&gt;"&amp;J542)+COUNTIFS($I$542:I542,"&gt;0",$J$542:J542,J542))))</x:f>
        <x:v>6</x:v>
      </x:c>
      <x:c r="P542" s="22" t="n">
        <x:f>IF(T542="Ready",MIN(U542,MAX(0,G542-SUMIFS($U$542:$U$546,$O$542:$O$546,"&lt;"&amp;O542))),"n.a.")</x:f>
        <x:v>0</x:v>
      </x:c>
      <x:c r="Q542" s="22" t="n">
        <x:f>IF(T542="Ready",ROUND(N542+P542,2),"n.a.")</x:f>
        <x:v>0</x:v>
      </x:c>
      <x:c r="R542" s="22" t="n">
        <x:f>IF(T542="Ready",ROUND(Q542-M542,2),"n.a.")</x:f>
        <x:v>0</x:v>
      </x:c>
      <x:c r="S542" s="22" t="n">
        <x:f>IF(T542="Ready",MAX(0,ROUND(I542+M542-Q542,2)),"n.a.")</x:f>
        <x:v>0</x:v>
      </x:c>
      <x:c r="T542" s="22" t="str">
        <x:f>IF(AND(COUNT($I$542:$I$546)=5,COUNT(E542:F542)=2),IF(E542&gt;=F542,"Ready","Budget below minima"),"Check inputs")</x:f>
        <x:v>Ready</x:v>
      </x:c>
      <x:c r="U542" s="22" t="n">
        <x:f>IF(COUNT(I542,M542,N542)=3,MAX(0,ROUND(I542+M542-N542,2)),"n.a.")</x:f>
        <x:v>0</x:v>
      </x:c>
    </x:row>
    <x:row r="543" ht="22" customHeight="1">
      <x:c r="A543" s="2"/>
      <x:c r="B543" s="2"/>
      <x:c r="C543" s="27" t="n">
        <x:f>108</x:f>
        <x:v>108</x:v>
      </x:c>
      <x:c r="D543" s="28" t="n">
        <x:f>IF(ISNUMBER('Inputs'!$D$7),EDATE('Inputs'!$D$7,107),"n.a.")</x:f>
        <x:v>49583</x:v>
      </x:c>
      <x:c r="E543" s="26" t="n">
        <x:f>IF('Inputs'!$D$9&lt;&gt;"Ready","n.a.",IF(ISNUMBER('Inputs'!E126),IF('Inputs'!E126&gt;=0,'Inputs'!E126,"n.a."),IF('Inputs'!E126="",'Inputs'!$D$6,"n.a.")))</x:f>
        <x:v>500</x:v>
      </x:c>
      <x:c r="F543" s="22" t="n">
        <x:f>IF(COUNT($N$542:$N$546)=5,SUM($N$542:$N$546),"n.a.")</x:f>
        <x:v>0</x:v>
      </x:c>
      <x:c r="G543" s="22" t="n">
        <x:f>IF(COUNT(E543:F543)=2,MAX(0,E543-F543),"n.a.")</x:f>
        <x:v>500</x:v>
      </x:c>
      <x:c r="H543" s="26" t="str">
        <x:f>'Inputs'!C12</x:f>
        <x:v>Card B</x:v>
      </x:c>
      <x:c r="I543" s="26" t="n">
        <x:f>S538</x:f>
        <x:v>0</x:v>
      </x:c>
      <x:c r="J543" s="29" t="n">
        <x:f>IF('Inputs'!$D$9="Ready",'Inputs'!E12,"n.a.")</x:f>
        <x:v>0.18</x:v>
      </x:c>
      <x:c r="K543" s="26" t="n">
        <x:f>IF('Inputs'!$D$9="Ready",'Inputs'!F12,"n.a.")</x:f>
        <x:v>60</x:v>
      </x:c>
      <x:c r="L543" s="29" t="n">
        <x:f>IF('Inputs'!$D$9="Ready",'Inputs'!G12,"n.a.")</x:f>
        <x:v>0.02</x:v>
      </x:c>
      <x:c r="M543" s="22" t="n">
        <x:f>IF(COUNT(I543:L543)=4,ROUND(I543*J543/12,2),"n.a.")</x:f>
        <x:v>0</x:v>
      </x:c>
      <x:c r="N543" s="22" t="n">
        <x:f>IF(COUNT(I543:M543)=5,MIN(I543+M543,ROUND(MAX(K543,I543*L543+M543),2)),"n.a.")</x:f>
        <x:v>0</x:v>
      </x:c>
      <x:c r="O543" s="30" t="n">
        <x:f>IF(COUNT($I$542:$I$546)&lt;&gt;5,"n.a.",IF(I543=0,6,IF('Inputs'!$D$5=1,COUNTIFS($I$542:$I$546,"&gt;0",$I$542:$I$546,"&lt;"&amp;I543)+COUNTIFS($I$542:I543,I543),COUNTIFS($I$542:$I$546,"&gt;0",$J$542:$J$546,"&gt;"&amp;J543)+COUNTIFS($I$542:I543,"&gt;0",$J$542:J543,J543))))</x:f>
        <x:v>6</x:v>
      </x:c>
      <x:c r="P543" s="22" t="n">
        <x:f>IF(T543="Ready",MIN(U543,MAX(0,G543-SUMIFS($U$542:$U$546,$O$542:$O$546,"&lt;"&amp;O543))),"n.a.")</x:f>
        <x:v>0</x:v>
      </x:c>
      <x:c r="Q543" s="22" t="n">
        <x:f>IF(T543="Ready",ROUND(N543+P543,2),"n.a.")</x:f>
        <x:v>0</x:v>
      </x:c>
      <x:c r="R543" s="22" t="n">
        <x:f>IF(T543="Ready",ROUND(Q543-M543,2),"n.a.")</x:f>
        <x:v>0</x:v>
      </x:c>
      <x:c r="S543" s="22" t="n">
        <x:f>IF(T543="Ready",MAX(0,ROUND(I543+M543-Q543,2)),"n.a.")</x:f>
        <x:v>0</x:v>
      </x:c>
      <x:c r="T543" s="22" t="str">
        <x:f>IF(AND(COUNT($I$542:$I$546)=5,COUNT(E543:F543)=2),IF(E543&gt;=F543,"Ready","Budget below minima"),"Check inputs")</x:f>
        <x:v>Ready</x:v>
      </x:c>
      <x:c r="U543" s="22" t="n">
        <x:f>IF(COUNT(I543,M543,N543)=3,MAX(0,ROUND(I543+M543-N543,2)),"n.a.")</x:f>
        <x:v>0</x:v>
      </x:c>
    </x:row>
    <x:row r="544" ht="22" customHeight="1">
      <x:c r="A544" s="2"/>
      <x:c r="B544" s="2"/>
      <x:c r="C544" s="27" t="n">
        <x:f>108</x:f>
        <x:v>108</x:v>
      </x:c>
      <x:c r="D544" s="28" t="n">
        <x:f>IF(ISNUMBER('Inputs'!$D$7),EDATE('Inputs'!$D$7,107),"n.a.")</x:f>
        <x:v>49583</x:v>
      </x:c>
      <x:c r="E544" s="26" t="n">
        <x:f>IF('Inputs'!$D$9&lt;&gt;"Ready","n.a.",IF(ISNUMBER('Inputs'!E126),IF('Inputs'!E126&gt;=0,'Inputs'!E126,"n.a."),IF('Inputs'!E126="",'Inputs'!$D$6,"n.a.")))</x:f>
        <x:v>500</x:v>
      </x:c>
      <x:c r="F544" s="22" t="n">
        <x:f>IF(COUNT($N$542:$N$546)=5,SUM($N$542:$N$546),"n.a.")</x:f>
        <x:v>0</x:v>
      </x:c>
      <x:c r="G544" s="22" t="n">
        <x:f>IF(COUNT(E544:F544)=2,MAX(0,E544-F544),"n.a.")</x:f>
        <x:v>500</x:v>
      </x:c>
      <x:c r="H544" s="26" t="str">
        <x:f>'Inputs'!C13</x:f>
        <x:v>Loan C</x:v>
      </x:c>
      <x:c r="I544" s="26" t="n">
        <x:f>S539</x:f>
        <x:v>0</x:v>
      </x:c>
      <x:c r="J544" s="29" t="n">
        <x:f>IF('Inputs'!$D$9="Ready",'Inputs'!E13,"n.a.")</x:f>
        <x:v>0.08</x:v>
      </x:c>
      <x:c r="K544" s="26" t="n">
        <x:f>IF('Inputs'!$D$9="Ready",'Inputs'!F13,"n.a.")</x:f>
        <x:v>150</x:v>
      </x:c>
      <x:c r="L544" s="29" t="n">
        <x:f>IF('Inputs'!$D$9="Ready",'Inputs'!G13,"n.a.")</x:f>
        <x:v>0</x:v>
      </x:c>
      <x:c r="M544" s="22" t="n">
        <x:f>IF(COUNT(I544:L544)=4,ROUND(I544*J544/12,2),"n.a.")</x:f>
        <x:v>0</x:v>
      </x:c>
      <x:c r="N544" s="22" t="n">
        <x:f>IF(COUNT(I544:M544)=5,MIN(I544+M544,ROUND(MAX(K544,I544*L544+M544),2)),"n.a.")</x:f>
        <x:v>0</x:v>
      </x:c>
      <x:c r="O544" s="30" t="n">
        <x:f>IF(COUNT($I$542:$I$546)&lt;&gt;5,"n.a.",IF(I544=0,6,IF('Inputs'!$D$5=1,COUNTIFS($I$542:$I$546,"&gt;0",$I$542:$I$546,"&lt;"&amp;I544)+COUNTIFS($I$542:I544,I544),COUNTIFS($I$542:$I$546,"&gt;0",$J$542:$J$546,"&gt;"&amp;J544)+COUNTIFS($I$542:I544,"&gt;0",$J$542:J544,J544))))</x:f>
        <x:v>6</x:v>
      </x:c>
      <x:c r="P544" s="22" t="n">
        <x:f>IF(T544="Ready",MIN(U544,MAX(0,G544-SUMIFS($U$542:$U$546,$O$542:$O$546,"&lt;"&amp;O544))),"n.a.")</x:f>
        <x:v>0</x:v>
      </x:c>
      <x:c r="Q544" s="22" t="n">
        <x:f>IF(T544="Ready",ROUND(N544+P544,2),"n.a.")</x:f>
        <x:v>0</x:v>
      </x:c>
      <x:c r="R544" s="22" t="n">
        <x:f>IF(T544="Ready",ROUND(Q544-M544,2),"n.a.")</x:f>
        <x:v>0</x:v>
      </x:c>
      <x:c r="S544" s="22" t="n">
        <x:f>IF(T544="Ready",MAX(0,ROUND(I544+M544-Q544,2)),"n.a.")</x:f>
        <x:v>0</x:v>
      </x:c>
      <x:c r="T544" s="22" t="str">
        <x:f>IF(AND(COUNT($I$542:$I$546)=5,COUNT(E544:F544)=2),IF(E544&gt;=F544,"Ready","Budget below minima"),"Check inputs")</x:f>
        <x:v>Ready</x:v>
      </x:c>
      <x:c r="U544" s="22" t="n">
        <x:f>IF(COUNT(I544,M544,N544)=3,MAX(0,ROUND(I544+M544-N544,2)),"n.a.")</x:f>
        <x:v>0</x:v>
      </x:c>
    </x:row>
    <x:row r="545" ht="22" customHeight="1">
      <x:c r="A545" s="2"/>
      <x:c r="B545" s="2"/>
      <x:c r="C545" s="27" t="n">
        <x:f>108</x:f>
        <x:v>108</x:v>
      </x:c>
      <x:c r="D545" s="28" t="n">
        <x:f>IF(ISNUMBER('Inputs'!$D$7),EDATE('Inputs'!$D$7,107),"n.a.")</x:f>
        <x:v>49583</x:v>
      </x:c>
      <x:c r="E545" s="26" t="n">
        <x:f>IF('Inputs'!$D$9&lt;&gt;"Ready","n.a.",IF(ISNUMBER('Inputs'!E126),IF('Inputs'!E126&gt;=0,'Inputs'!E126,"n.a."),IF('Inputs'!E126="",'Inputs'!$D$6,"n.a.")))</x:f>
        <x:v>500</x:v>
      </x:c>
      <x:c r="F545" s="22" t="n">
        <x:f>IF(COUNT($N$542:$N$546)=5,SUM($N$542:$N$546),"n.a.")</x:f>
        <x:v>0</x:v>
      </x:c>
      <x:c r="G545" s="22" t="n">
        <x:f>IF(COUNT(E545:F545)=2,MAX(0,E545-F545),"n.a.")</x:f>
        <x:v>500</x:v>
      </x:c>
      <x:c r="H545" s="26" t="str">
        <x:f>'Inputs'!C14</x:f>
        <x:v>Unused 4</x:v>
      </x:c>
      <x:c r="I545" s="26" t="n">
        <x:f>S540</x:f>
        <x:v>0</x:v>
      </x:c>
      <x:c r="J545" s="29" t="n">
        <x:f>IF('Inputs'!$D$9="Ready",'Inputs'!E14,"n.a.")</x:f>
        <x:v>0</x:v>
      </x:c>
      <x:c r="K545" s="26" t="n">
        <x:f>IF('Inputs'!$D$9="Ready",'Inputs'!F14,"n.a.")</x:f>
        <x:v>0</x:v>
      </x:c>
      <x:c r="L545" s="29" t="n">
        <x:f>IF('Inputs'!$D$9="Ready",'Inputs'!G14,"n.a.")</x:f>
        <x:v>0</x:v>
      </x:c>
      <x:c r="M545" s="22" t="n">
        <x:f>IF(COUNT(I545:L545)=4,ROUND(I545*J545/12,2),"n.a.")</x:f>
        <x:v>0</x:v>
      </x:c>
      <x:c r="N545" s="22" t="n">
        <x:f>IF(COUNT(I545:M545)=5,MIN(I545+M545,ROUND(MAX(K545,I545*L545+M545),2)),"n.a.")</x:f>
        <x:v>0</x:v>
      </x:c>
      <x:c r="O545" s="30" t="n">
        <x:f>IF(COUNT($I$542:$I$546)&lt;&gt;5,"n.a.",IF(I545=0,6,IF('Inputs'!$D$5=1,COUNTIFS($I$542:$I$546,"&gt;0",$I$542:$I$546,"&lt;"&amp;I545)+COUNTIFS($I$542:I545,I545),COUNTIFS($I$542:$I$546,"&gt;0",$J$542:$J$546,"&gt;"&amp;J545)+COUNTIFS($I$542:I545,"&gt;0",$J$542:J545,J545))))</x:f>
        <x:v>6</x:v>
      </x:c>
      <x:c r="P545" s="22" t="n">
        <x:f>IF(T545="Ready",MIN(U545,MAX(0,G545-SUMIFS($U$542:$U$546,$O$542:$O$546,"&lt;"&amp;O545))),"n.a.")</x:f>
        <x:v>0</x:v>
      </x:c>
      <x:c r="Q545" s="22" t="n">
        <x:f>IF(T545="Ready",ROUND(N545+P545,2),"n.a.")</x:f>
        <x:v>0</x:v>
      </x:c>
      <x:c r="R545" s="22" t="n">
        <x:f>IF(T545="Ready",ROUND(Q545-M545,2),"n.a.")</x:f>
        <x:v>0</x:v>
      </x:c>
      <x:c r="S545" s="22" t="n">
        <x:f>IF(T545="Ready",MAX(0,ROUND(I545+M545-Q545,2)),"n.a.")</x:f>
        <x:v>0</x:v>
      </x:c>
      <x:c r="T545" s="22" t="str">
        <x:f>IF(AND(COUNT($I$542:$I$546)=5,COUNT(E545:F545)=2),IF(E545&gt;=F545,"Ready","Budget below minima"),"Check inputs")</x:f>
        <x:v>Ready</x:v>
      </x:c>
      <x:c r="U545" s="22" t="n">
        <x:f>IF(COUNT(I545,M545,N545)=3,MAX(0,ROUND(I545+M545-N545,2)),"n.a.")</x:f>
        <x:v>0</x:v>
      </x:c>
    </x:row>
    <x:row r="546" ht="22" customHeight="1">
      <x:c r="A546" s="2"/>
      <x:c r="B546" s="2"/>
      <x:c r="C546" s="27" t="n">
        <x:f>108</x:f>
        <x:v>108</x:v>
      </x:c>
      <x:c r="D546" s="28" t="n">
        <x:f>IF(ISNUMBER('Inputs'!$D$7),EDATE('Inputs'!$D$7,107),"n.a.")</x:f>
        <x:v>49583</x:v>
      </x:c>
      <x:c r="E546" s="26" t="n">
        <x:f>IF('Inputs'!$D$9&lt;&gt;"Ready","n.a.",IF(ISNUMBER('Inputs'!E126),IF('Inputs'!E126&gt;=0,'Inputs'!E126,"n.a."),IF('Inputs'!E126="",'Inputs'!$D$6,"n.a.")))</x:f>
        <x:v>500</x:v>
      </x:c>
      <x:c r="F546" s="22" t="n">
        <x:f>IF(COUNT($N$542:$N$546)=5,SUM($N$542:$N$546),"n.a.")</x:f>
        <x:v>0</x:v>
      </x:c>
      <x:c r="G546" s="22" t="n">
        <x:f>IF(COUNT(E546:F546)=2,MAX(0,E546-F546),"n.a.")</x:f>
        <x:v>500</x:v>
      </x:c>
      <x:c r="H546" s="26" t="str">
        <x:f>'Inputs'!C15</x:f>
        <x:v>Unused 5</x:v>
      </x:c>
      <x:c r="I546" s="26" t="n">
        <x:f>S541</x:f>
        <x:v>0</x:v>
      </x:c>
      <x:c r="J546" s="29" t="n">
        <x:f>IF('Inputs'!$D$9="Ready",'Inputs'!E15,"n.a.")</x:f>
        <x:v>0</x:v>
      </x:c>
      <x:c r="K546" s="26" t="n">
        <x:f>IF('Inputs'!$D$9="Ready",'Inputs'!F15,"n.a.")</x:f>
        <x:v>0</x:v>
      </x:c>
      <x:c r="L546" s="29" t="n">
        <x:f>IF('Inputs'!$D$9="Ready",'Inputs'!G15,"n.a.")</x:f>
        <x:v>0</x:v>
      </x:c>
      <x:c r="M546" s="22" t="n">
        <x:f>IF(COUNT(I546:L546)=4,ROUND(I546*J546/12,2),"n.a.")</x:f>
        <x:v>0</x:v>
      </x:c>
      <x:c r="N546" s="22" t="n">
        <x:f>IF(COUNT(I546:M546)=5,MIN(I546+M546,ROUND(MAX(K546,I546*L546+M546),2)),"n.a.")</x:f>
        <x:v>0</x:v>
      </x:c>
      <x:c r="O546" s="30" t="n">
        <x:f>IF(COUNT($I$542:$I$546)&lt;&gt;5,"n.a.",IF(I546=0,6,IF('Inputs'!$D$5=1,COUNTIFS($I$542:$I$546,"&gt;0",$I$542:$I$546,"&lt;"&amp;I546)+COUNTIFS($I$542:I546,I546),COUNTIFS($I$542:$I$546,"&gt;0",$J$542:$J$546,"&gt;"&amp;J546)+COUNTIFS($I$542:I546,"&gt;0",$J$542:J546,J546))))</x:f>
        <x:v>6</x:v>
      </x:c>
      <x:c r="P546" s="22" t="n">
        <x:f>IF(T546="Ready",MIN(U546,MAX(0,G546-SUMIFS($U$542:$U$546,$O$542:$O$546,"&lt;"&amp;O546))),"n.a.")</x:f>
        <x:v>0</x:v>
      </x:c>
      <x:c r="Q546" s="22" t="n">
        <x:f>IF(T546="Ready",ROUND(N546+P546,2),"n.a.")</x:f>
        <x:v>0</x:v>
      </x:c>
      <x:c r="R546" s="22" t="n">
        <x:f>IF(T546="Ready",ROUND(Q546-M546,2),"n.a.")</x:f>
        <x:v>0</x:v>
      </x:c>
      <x:c r="S546" s="22" t="n">
        <x:f>IF(T546="Ready",MAX(0,ROUND(I546+M546-Q546,2)),"n.a.")</x:f>
        <x:v>0</x:v>
      </x:c>
      <x:c r="T546" s="22" t="str">
        <x:f>IF(AND(COUNT($I$542:$I$546)=5,COUNT(E546:F546)=2),IF(E546&gt;=F546,"Ready","Budget below minima"),"Check inputs")</x:f>
        <x:v>Ready</x:v>
      </x:c>
      <x:c r="U546" s="22" t="n">
        <x:f>IF(COUNT(I546,M546,N546)=3,MAX(0,ROUND(I546+M546-N546,2)),"n.a.")</x:f>
        <x:v>0</x:v>
      </x:c>
    </x:row>
    <x:row r="547" ht="22" customHeight="1">
      <x:c r="A547" s="2"/>
      <x:c r="B547" s="2"/>
      <x:c r="C547" s="27" t="n">
        <x:f>109</x:f>
        <x:v>109</x:v>
      </x:c>
      <x:c r="D547" s="28" t="n">
        <x:f>IF(ISNUMBER('Inputs'!$D$7),EDATE('Inputs'!$D$7,108),"n.a.")</x:f>
        <x:v>49614</x:v>
      </x:c>
      <x:c r="E547" s="26" t="n">
        <x:f>IF('Inputs'!$D$9&lt;&gt;"Ready","n.a.",IF(ISNUMBER('Inputs'!E127),IF('Inputs'!E127&gt;=0,'Inputs'!E127,"n.a."),IF('Inputs'!E127="",'Inputs'!$D$6,"n.a.")))</x:f>
        <x:v>500</x:v>
      </x:c>
      <x:c r="F547" s="22" t="n">
        <x:f>IF(COUNT($N$547:$N$551)=5,SUM($N$547:$N$551),"n.a.")</x:f>
        <x:v>0</x:v>
      </x:c>
      <x:c r="G547" s="22" t="n">
        <x:f>IF(COUNT(E547:F547)=2,MAX(0,E547-F547),"n.a.")</x:f>
        <x:v>500</x:v>
      </x:c>
      <x:c r="H547" s="26" t="str">
        <x:f>'Inputs'!C11</x:f>
        <x:v>Card A</x:v>
      </x:c>
      <x:c r="I547" s="26" t="n">
        <x:f>S542</x:f>
        <x:v>0</x:v>
      </x:c>
      <x:c r="J547" s="29" t="n">
        <x:f>IF('Inputs'!$D$9="Ready",'Inputs'!E11,"n.a.")</x:f>
        <x:v>0.24</x:v>
      </x:c>
      <x:c r="K547" s="26" t="n">
        <x:f>IF('Inputs'!$D$9="Ready",'Inputs'!F11,"n.a.")</x:f>
        <x:v>35</x:v>
      </x:c>
      <x:c r="L547" s="29" t="n">
        <x:f>IF('Inputs'!$D$9="Ready",'Inputs'!G11,"n.a.")</x:f>
        <x:v>0.02</x:v>
      </x:c>
      <x:c r="M547" s="22" t="n">
        <x:f>IF(COUNT(I547:L547)=4,ROUND(I547*J547/12,2),"n.a.")</x:f>
        <x:v>0</x:v>
      </x:c>
      <x:c r="N547" s="22" t="n">
        <x:f>IF(COUNT(I547:M547)=5,MIN(I547+M547,ROUND(MAX(K547,I547*L547+M547),2)),"n.a.")</x:f>
        <x:v>0</x:v>
      </x:c>
      <x:c r="O547" s="30" t="n">
        <x:f>IF(COUNT($I$547:$I$551)&lt;&gt;5,"n.a.",IF(I547=0,6,IF('Inputs'!$D$5=1,COUNTIFS($I$547:$I$551,"&gt;0",$I$547:$I$551,"&lt;"&amp;I547)+COUNTIFS($I$547:I547,I547),COUNTIFS($I$547:$I$551,"&gt;0",$J$547:$J$551,"&gt;"&amp;J547)+COUNTIFS($I$547:I547,"&gt;0",$J$547:J547,J547))))</x:f>
        <x:v>6</x:v>
      </x:c>
      <x:c r="P547" s="22" t="n">
        <x:f>IF(T547="Ready",MIN(U547,MAX(0,G547-SUMIFS($U$547:$U$551,$O$547:$O$551,"&lt;"&amp;O547))),"n.a.")</x:f>
        <x:v>0</x:v>
      </x:c>
      <x:c r="Q547" s="22" t="n">
        <x:f>IF(T547="Ready",ROUND(N547+P547,2),"n.a.")</x:f>
        <x:v>0</x:v>
      </x:c>
      <x:c r="R547" s="22" t="n">
        <x:f>IF(T547="Ready",ROUND(Q547-M547,2),"n.a.")</x:f>
        <x:v>0</x:v>
      </x:c>
      <x:c r="S547" s="22" t="n">
        <x:f>IF(T547="Ready",MAX(0,ROUND(I547+M547-Q547,2)),"n.a.")</x:f>
        <x:v>0</x:v>
      </x:c>
      <x:c r="T547" s="22" t="str">
        <x:f>IF(AND(COUNT($I$547:$I$551)=5,COUNT(E547:F547)=2),IF(E547&gt;=F547,"Ready","Budget below minima"),"Check inputs")</x:f>
        <x:v>Ready</x:v>
      </x:c>
      <x:c r="U547" s="22" t="n">
        <x:f>IF(COUNT(I547,M547,N547)=3,MAX(0,ROUND(I547+M547-N547,2)),"n.a.")</x:f>
        <x:v>0</x:v>
      </x:c>
    </x:row>
    <x:row r="548" ht="22" customHeight="1">
      <x:c r="A548" s="2"/>
      <x:c r="B548" s="2"/>
      <x:c r="C548" s="27" t="n">
        <x:f>109</x:f>
        <x:v>109</x:v>
      </x:c>
      <x:c r="D548" s="28" t="n">
        <x:f>IF(ISNUMBER('Inputs'!$D$7),EDATE('Inputs'!$D$7,108),"n.a.")</x:f>
        <x:v>49614</x:v>
      </x:c>
      <x:c r="E548" s="26" t="n">
        <x:f>IF('Inputs'!$D$9&lt;&gt;"Ready","n.a.",IF(ISNUMBER('Inputs'!E127),IF('Inputs'!E127&gt;=0,'Inputs'!E127,"n.a."),IF('Inputs'!E127="",'Inputs'!$D$6,"n.a.")))</x:f>
        <x:v>500</x:v>
      </x:c>
      <x:c r="F548" s="22" t="n">
        <x:f>IF(COUNT($N$547:$N$551)=5,SUM($N$547:$N$551),"n.a.")</x:f>
        <x:v>0</x:v>
      </x:c>
      <x:c r="G548" s="22" t="n">
        <x:f>IF(COUNT(E548:F548)=2,MAX(0,E548-F548),"n.a.")</x:f>
        <x:v>500</x:v>
      </x:c>
      <x:c r="H548" s="26" t="str">
        <x:f>'Inputs'!C12</x:f>
        <x:v>Card B</x:v>
      </x:c>
      <x:c r="I548" s="26" t="n">
        <x:f>S543</x:f>
        <x:v>0</x:v>
      </x:c>
      <x:c r="J548" s="29" t="n">
        <x:f>IF('Inputs'!$D$9="Ready",'Inputs'!E12,"n.a.")</x:f>
        <x:v>0.18</x:v>
      </x:c>
      <x:c r="K548" s="26" t="n">
        <x:f>IF('Inputs'!$D$9="Ready",'Inputs'!F12,"n.a.")</x:f>
        <x:v>60</x:v>
      </x:c>
      <x:c r="L548" s="29" t="n">
        <x:f>IF('Inputs'!$D$9="Ready",'Inputs'!G12,"n.a.")</x:f>
        <x:v>0.02</x:v>
      </x:c>
      <x:c r="M548" s="22" t="n">
        <x:f>IF(COUNT(I548:L548)=4,ROUND(I548*J548/12,2),"n.a.")</x:f>
        <x:v>0</x:v>
      </x:c>
      <x:c r="N548" s="22" t="n">
        <x:f>IF(COUNT(I548:M548)=5,MIN(I548+M548,ROUND(MAX(K548,I548*L548+M548),2)),"n.a.")</x:f>
        <x:v>0</x:v>
      </x:c>
      <x:c r="O548" s="30" t="n">
        <x:f>IF(COUNT($I$547:$I$551)&lt;&gt;5,"n.a.",IF(I548=0,6,IF('Inputs'!$D$5=1,COUNTIFS($I$547:$I$551,"&gt;0",$I$547:$I$551,"&lt;"&amp;I548)+COUNTIFS($I$547:I548,I548),COUNTIFS($I$547:$I$551,"&gt;0",$J$547:$J$551,"&gt;"&amp;J548)+COUNTIFS($I$547:I548,"&gt;0",$J$547:J548,J548))))</x:f>
        <x:v>6</x:v>
      </x:c>
      <x:c r="P548" s="22" t="n">
        <x:f>IF(T548="Ready",MIN(U548,MAX(0,G548-SUMIFS($U$547:$U$551,$O$547:$O$551,"&lt;"&amp;O548))),"n.a.")</x:f>
        <x:v>0</x:v>
      </x:c>
      <x:c r="Q548" s="22" t="n">
        <x:f>IF(T548="Ready",ROUND(N548+P548,2),"n.a.")</x:f>
        <x:v>0</x:v>
      </x:c>
      <x:c r="R548" s="22" t="n">
        <x:f>IF(T548="Ready",ROUND(Q548-M548,2),"n.a.")</x:f>
        <x:v>0</x:v>
      </x:c>
      <x:c r="S548" s="22" t="n">
        <x:f>IF(T548="Ready",MAX(0,ROUND(I548+M548-Q548,2)),"n.a.")</x:f>
        <x:v>0</x:v>
      </x:c>
      <x:c r="T548" s="22" t="str">
        <x:f>IF(AND(COUNT($I$547:$I$551)=5,COUNT(E548:F548)=2),IF(E548&gt;=F548,"Ready","Budget below minima"),"Check inputs")</x:f>
        <x:v>Ready</x:v>
      </x:c>
      <x:c r="U548" s="22" t="n">
        <x:f>IF(COUNT(I548,M548,N548)=3,MAX(0,ROUND(I548+M548-N548,2)),"n.a.")</x:f>
        <x:v>0</x:v>
      </x:c>
    </x:row>
    <x:row r="549" ht="22" customHeight="1">
      <x:c r="A549" s="2"/>
      <x:c r="B549" s="2"/>
      <x:c r="C549" s="27" t="n">
        <x:f>109</x:f>
        <x:v>109</x:v>
      </x:c>
      <x:c r="D549" s="28" t="n">
        <x:f>IF(ISNUMBER('Inputs'!$D$7),EDATE('Inputs'!$D$7,108),"n.a.")</x:f>
        <x:v>49614</x:v>
      </x:c>
      <x:c r="E549" s="26" t="n">
        <x:f>IF('Inputs'!$D$9&lt;&gt;"Ready","n.a.",IF(ISNUMBER('Inputs'!E127),IF('Inputs'!E127&gt;=0,'Inputs'!E127,"n.a."),IF('Inputs'!E127="",'Inputs'!$D$6,"n.a.")))</x:f>
        <x:v>500</x:v>
      </x:c>
      <x:c r="F549" s="22" t="n">
        <x:f>IF(COUNT($N$547:$N$551)=5,SUM($N$547:$N$551),"n.a.")</x:f>
        <x:v>0</x:v>
      </x:c>
      <x:c r="G549" s="22" t="n">
        <x:f>IF(COUNT(E549:F549)=2,MAX(0,E549-F549),"n.a.")</x:f>
        <x:v>500</x:v>
      </x:c>
      <x:c r="H549" s="26" t="str">
        <x:f>'Inputs'!C13</x:f>
        <x:v>Loan C</x:v>
      </x:c>
      <x:c r="I549" s="26" t="n">
        <x:f>S544</x:f>
        <x:v>0</x:v>
      </x:c>
      <x:c r="J549" s="29" t="n">
        <x:f>IF('Inputs'!$D$9="Ready",'Inputs'!E13,"n.a.")</x:f>
        <x:v>0.08</x:v>
      </x:c>
      <x:c r="K549" s="26" t="n">
        <x:f>IF('Inputs'!$D$9="Ready",'Inputs'!F13,"n.a.")</x:f>
        <x:v>150</x:v>
      </x:c>
      <x:c r="L549" s="29" t="n">
        <x:f>IF('Inputs'!$D$9="Ready",'Inputs'!G13,"n.a.")</x:f>
        <x:v>0</x:v>
      </x:c>
      <x:c r="M549" s="22" t="n">
        <x:f>IF(COUNT(I549:L549)=4,ROUND(I549*J549/12,2),"n.a.")</x:f>
        <x:v>0</x:v>
      </x:c>
      <x:c r="N549" s="22" t="n">
        <x:f>IF(COUNT(I549:M549)=5,MIN(I549+M549,ROUND(MAX(K549,I549*L549+M549),2)),"n.a.")</x:f>
        <x:v>0</x:v>
      </x:c>
      <x:c r="O549" s="30" t="n">
        <x:f>IF(COUNT($I$547:$I$551)&lt;&gt;5,"n.a.",IF(I549=0,6,IF('Inputs'!$D$5=1,COUNTIFS($I$547:$I$551,"&gt;0",$I$547:$I$551,"&lt;"&amp;I549)+COUNTIFS($I$547:I549,I549),COUNTIFS($I$547:$I$551,"&gt;0",$J$547:$J$551,"&gt;"&amp;J549)+COUNTIFS($I$547:I549,"&gt;0",$J$547:J549,J549))))</x:f>
        <x:v>6</x:v>
      </x:c>
      <x:c r="P549" s="22" t="n">
        <x:f>IF(T549="Ready",MIN(U549,MAX(0,G549-SUMIFS($U$547:$U$551,$O$547:$O$551,"&lt;"&amp;O549))),"n.a.")</x:f>
        <x:v>0</x:v>
      </x:c>
      <x:c r="Q549" s="22" t="n">
        <x:f>IF(T549="Ready",ROUND(N549+P549,2),"n.a.")</x:f>
        <x:v>0</x:v>
      </x:c>
      <x:c r="R549" s="22" t="n">
        <x:f>IF(T549="Ready",ROUND(Q549-M549,2),"n.a.")</x:f>
        <x:v>0</x:v>
      </x:c>
      <x:c r="S549" s="22" t="n">
        <x:f>IF(T549="Ready",MAX(0,ROUND(I549+M549-Q549,2)),"n.a.")</x:f>
        <x:v>0</x:v>
      </x:c>
      <x:c r="T549" s="22" t="str">
        <x:f>IF(AND(COUNT($I$547:$I$551)=5,COUNT(E549:F549)=2),IF(E549&gt;=F549,"Ready","Budget below minima"),"Check inputs")</x:f>
        <x:v>Ready</x:v>
      </x:c>
      <x:c r="U549" s="22" t="n">
        <x:f>IF(COUNT(I549,M549,N549)=3,MAX(0,ROUND(I549+M549-N549,2)),"n.a.")</x:f>
        <x:v>0</x:v>
      </x:c>
    </x:row>
    <x:row r="550" ht="22" customHeight="1">
      <x:c r="A550" s="2"/>
      <x:c r="B550" s="2"/>
      <x:c r="C550" s="27" t="n">
        <x:f>109</x:f>
        <x:v>109</x:v>
      </x:c>
      <x:c r="D550" s="28" t="n">
        <x:f>IF(ISNUMBER('Inputs'!$D$7),EDATE('Inputs'!$D$7,108),"n.a.")</x:f>
        <x:v>49614</x:v>
      </x:c>
      <x:c r="E550" s="26" t="n">
        <x:f>IF('Inputs'!$D$9&lt;&gt;"Ready","n.a.",IF(ISNUMBER('Inputs'!E127),IF('Inputs'!E127&gt;=0,'Inputs'!E127,"n.a."),IF('Inputs'!E127="",'Inputs'!$D$6,"n.a.")))</x:f>
        <x:v>500</x:v>
      </x:c>
      <x:c r="F550" s="22" t="n">
        <x:f>IF(COUNT($N$547:$N$551)=5,SUM($N$547:$N$551),"n.a.")</x:f>
        <x:v>0</x:v>
      </x:c>
      <x:c r="G550" s="22" t="n">
        <x:f>IF(COUNT(E550:F550)=2,MAX(0,E550-F550),"n.a.")</x:f>
        <x:v>500</x:v>
      </x:c>
      <x:c r="H550" s="26" t="str">
        <x:f>'Inputs'!C14</x:f>
        <x:v>Unused 4</x:v>
      </x:c>
      <x:c r="I550" s="26" t="n">
        <x:f>S545</x:f>
        <x:v>0</x:v>
      </x:c>
      <x:c r="J550" s="29" t="n">
        <x:f>IF('Inputs'!$D$9="Ready",'Inputs'!E14,"n.a.")</x:f>
        <x:v>0</x:v>
      </x:c>
      <x:c r="K550" s="26" t="n">
        <x:f>IF('Inputs'!$D$9="Ready",'Inputs'!F14,"n.a.")</x:f>
        <x:v>0</x:v>
      </x:c>
      <x:c r="L550" s="29" t="n">
        <x:f>IF('Inputs'!$D$9="Ready",'Inputs'!G14,"n.a.")</x:f>
        <x:v>0</x:v>
      </x:c>
      <x:c r="M550" s="22" t="n">
        <x:f>IF(COUNT(I550:L550)=4,ROUND(I550*J550/12,2),"n.a.")</x:f>
        <x:v>0</x:v>
      </x:c>
      <x:c r="N550" s="22" t="n">
        <x:f>IF(COUNT(I550:M550)=5,MIN(I550+M550,ROUND(MAX(K550,I550*L550+M550),2)),"n.a.")</x:f>
        <x:v>0</x:v>
      </x:c>
      <x:c r="O550" s="30" t="n">
        <x:f>IF(COUNT($I$547:$I$551)&lt;&gt;5,"n.a.",IF(I550=0,6,IF('Inputs'!$D$5=1,COUNTIFS($I$547:$I$551,"&gt;0",$I$547:$I$551,"&lt;"&amp;I550)+COUNTIFS($I$547:I550,I550),COUNTIFS($I$547:$I$551,"&gt;0",$J$547:$J$551,"&gt;"&amp;J550)+COUNTIFS($I$547:I550,"&gt;0",$J$547:J550,J550))))</x:f>
        <x:v>6</x:v>
      </x:c>
      <x:c r="P550" s="22" t="n">
        <x:f>IF(T550="Ready",MIN(U550,MAX(0,G550-SUMIFS($U$547:$U$551,$O$547:$O$551,"&lt;"&amp;O550))),"n.a.")</x:f>
        <x:v>0</x:v>
      </x:c>
      <x:c r="Q550" s="22" t="n">
        <x:f>IF(T550="Ready",ROUND(N550+P550,2),"n.a.")</x:f>
        <x:v>0</x:v>
      </x:c>
      <x:c r="R550" s="22" t="n">
        <x:f>IF(T550="Ready",ROUND(Q550-M550,2),"n.a.")</x:f>
        <x:v>0</x:v>
      </x:c>
      <x:c r="S550" s="22" t="n">
        <x:f>IF(T550="Ready",MAX(0,ROUND(I550+M550-Q550,2)),"n.a.")</x:f>
        <x:v>0</x:v>
      </x:c>
      <x:c r="T550" s="22" t="str">
        <x:f>IF(AND(COUNT($I$547:$I$551)=5,COUNT(E550:F550)=2),IF(E550&gt;=F550,"Ready","Budget below minima"),"Check inputs")</x:f>
        <x:v>Ready</x:v>
      </x:c>
      <x:c r="U550" s="22" t="n">
        <x:f>IF(COUNT(I550,M550,N550)=3,MAX(0,ROUND(I550+M550-N550,2)),"n.a.")</x:f>
        <x:v>0</x:v>
      </x:c>
    </x:row>
    <x:row r="551" ht="22" customHeight="1">
      <x:c r="A551" s="2"/>
      <x:c r="B551" s="2"/>
      <x:c r="C551" s="27" t="n">
        <x:f>109</x:f>
        <x:v>109</x:v>
      </x:c>
      <x:c r="D551" s="28" t="n">
        <x:f>IF(ISNUMBER('Inputs'!$D$7),EDATE('Inputs'!$D$7,108),"n.a.")</x:f>
        <x:v>49614</x:v>
      </x:c>
      <x:c r="E551" s="26" t="n">
        <x:f>IF('Inputs'!$D$9&lt;&gt;"Ready","n.a.",IF(ISNUMBER('Inputs'!E127),IF('Inputs'!E127&gt;=0,'Inputs'!E127,"n.a."),IF('Inputs'!E127="",'Inputs'!$D$6,"n.a.")))</x:f>
        <x:v>500</x:v>
      </x:c>
      <x:c r="F551" s="22" t="n">
        <x:f>IF(COUNT($N$547:$N$551)=5,SUM($N$547:$N$551),"n.a.")</x:f>
        <x:v>0</x:v>
      </x:c>
      <x:c r="G551" s="22" t="n">
        <x:f>IF(COUNT(E551:F551)=2,MAX(0,E551-F551),"n.a.")</x:f>
        <x:v>500</x:v>
      </x:c>
      <x:c r="H551" s="26" t="str">
        <x:f>'Inputs'!C15</x:f>
        <x:v>Unused 5</x:v>
      </x:c>
      <x:c r="I551" s="26" t="n">
        <x:f>S546</x:f>
        <x:v>0</x:v>
      </x:c>
      <x:c r="J551" s="29" t="n">
        <x:f>IF('Inputs'!$D$9="Ready",'Inputs'!E15,"n.a.")</x:f>
        <x:v>0</x:v>
      </x:c>
      <x:c r="K551" s="26" t="n">
        <x:f>IF('Inputs'!$D$9="Ready",'Inputs'!F15,"n.a.")</x:f>
        <x:v>0</x:v>
      </x:c>
      <x:c r="L551" s="29" t="n">
        <x:f>IF('Inputs'!$D$9="Ready",'Inputs'!G15,"n.a.")</x:f>
        <x:v>0</x:v>
      </x:c>
      <x:c r="M551" s="22" t="n">
        <x:f>IF(COUNT(I551:L551)=4,ROUND(I551*J551/12,2),"n.a.")</x:f>
        <x:v>0</x:v>
      </x:c>
      <x:c r="N551" s="22" t="n">
        <x:f>IF(COUNT(I551:M551)=5,MIN(I551+M551,ROUND(MAX(K551,I551*L551+M551),2)),"n.a.")</x:f>
        <x:v>0</x:v>
      </x:c>
      <x:c r="O551" s="30" t="n">
        <x:f>IF(COUNT($I$547:$I$551)&lt;&gt;5,"n.a.",IF(I551=0,6,IF('Inputs'!$D$5=1,COUNTIFS($I$547:$I$551,"&gt;0",$I$547:$I$551,"&lt;"&amp;I551)+COUNTIFS($I$547:I551,I551),COUNTIFS($I$547:$I$551,"&gt;0",$J$547:$J$551,"&gt;"&amp;J551)+COUNTIFS($I$547:I551,"&gt;0",$J$547:J551,J551))))</x:f>
        <x:v>6</x:v>
      </x:c>
      <x:c r="P551" s="22" t="n">
        <x:f>IF(T551="Ready",MIN(U551,MAX(0,G551-SUMIFS($U$547:$U$551,$O$547:$O$551,"&lt;"&amp;O551))),"n.a.")</x:f>
        <x:v>0</x:v>
      </x:c>
      <x:c r="Q551" s="22" t="n">
        <x:f>IF(T551="Ready",ROUND(N551+P551,2),"n.a.")</x:f>
        <x:v>0</x:v>
      </x:c>
      <x:c r="R551" s="22" t="n">
        <x:f>IF(T551="Ready",ROUND(Q551-M551,2),"n.a.")</x:f>
        <x:v>0</x:v>
      </x:c>
      <x:c r="S551" s="22" t="n">
        <x:f>IF(T551="Ready",MAX(0,ROUND(I551+M551-Q551,2)),"n.a.")</x:f>
        <x:v>0</x:v>
      </x:c>
      <x:c r="T551" s="22" t="str">
        <x:f>IF(AND(COUNT($I$547:$I$551)=5,COUNT(E551:F551)=2),IF(E551&gt;=F551,"Ready","Budget below minima"),"Check inputs")</x:f>
        <x:v>Ready</x:v>
      </x:c>
      <x:c r="U551" s="22" t="n">
        <x:f>IF(COUNT(I551,M551,N551)=3,MAX(0,ROUND(I551+M551-N551,2)),"n.a.")</x:f>
        <x:v>0</x:v>
      </x:c>
    </x:row>
    <x:row r="552" ht="22" customHeight="1">
      <x:c r="A552" s="2"/>
      <x:c r="B552" s="2"/>
      <x:c r="C552" s="27" t="n">
        <x:f>110</x:f>
        <x:v>110</x:v>
      </x:c>
      <x:c r="D552" s="28" t="n">
        <x:f>IF(ISNUMBER('Inputs'!$D$7),EDATE('Inputs'!$D$7,109),"n.a.")</x:f>
        <x:v>49644</x:v>
      </x:c>
      <x:c r="E552" s="26" t="n">
        <x:f>IF('Inputs'!$D$9&lt;&gt;"Ready","n.a.",IF(ISNUMBER('Inputs'!E128),IF('Inputs'!E128&gt;=0,'Inputs'!E128,"n.a."),IF('Inputs'!E128="",'Inputs'!$D$6,"n.a.")))</x:f>
        <x:v>500</x:v>
      </x:c>
      <x:c r="F552" s="22" t="n">
        <x:f>IF(COUNT($N$552:$N$556)=5,SUM($N$552:$N$556),"n.a.")</x:f>
        <x:v>0</x:v>
      </x:c>
      <x:c r="G552" s="22" t="n">
        <x:f>IF(COUNT(E552:F552)=2,MAX(0,E552-F552),"n.a.")</x:f>
        <x:v>500</x:v>
      </x:c>
      <x:c r="H552" s="26" t="str">
        <x:f>'Inputs'!C11</x:f>
        <x:v>Card A</x:v>
      </x:c>
      <x:c r="I552" s="26" t="n">
        <x:f>S547</x:f>
        <x:v>0</x:v>
      </x:c>
      <x:c r="J552" s="29" t="n">
        <x:f>IF('Inputs'!$D$9="Ready",'Inputs'!E11,"n.a.")</x:f>
        <x:v>0.24</x:v>
      </x:c>
      <x:c r="K552" s="26" t="n">
        <x:f>IF('Inputs'!$D$9="Ready",'Inputs'!F11,"n.a.")</x:f>
        <x:v>35</x:v>
      </x:c>
      <x:c r="L552" s="29" t="n">
        <x:f>IF('Inputs'!$D$9="Ready",'Inputs'!G11,"n.a.")</x:f>
        <x:v>0.02</x:v>
      </x:c>
      <x:c r="M552" s="22" t="n">
        <x:f>IF(COUNT(I552:L552)=4,ROUND(I552*J552/12,2),"n.a.")</x:f>
        <x:v>0</x:v>
      </x:c>
      <x:c r="N552" s="22" t="n">
        <x:f>IF(COUNT(I552:M552)=5,MIN(I552+M552,ROUND(MAX(K552,I552*L552+M552),2)),"n.a.")</x:f>
        <x:v>0</x:v>
      </x:c>
      <x:c r="O552" s="30" t="n">
        <x:f>IF(COUNT($I$552:$I$556)&lt;&gt;5,"n.a.",IF(I552=0,6,IF('Inputs'!$D$5=1,COUNTIFS($I$552:$I$556,"&gt;0",$I$552:$I$556,"&lt;"&amp;I552)+COUNTIFS($I$552:I552,I552),COUNTIFS($I$552:$I$556,"&gt;0",$J$552:$J$556,"&gt;"&amp;J552)+COUNTIFS($I$552:I552,"&gt;0",$J$552:J552,J552))))</x:f>
        <x:v>6</x:v>
      </x:c>
      <x:c r="P552" s="22" t="n">
        <x:f>IF(T552="Ready",MIN(U552,MAX(0,G552-SUMIFS($U$552:$U$556,$O$552:$O$556,"&lt;"&amp;O552))),"n.a.")</x:f>
        <x:v>0</x:v>
      </x:c>
      <x:c r="Q552" s="22" t="n">
        <x:f>IF(T552="Ready",ROUND(N552+P552,2),"n.a.")</x:f>
        <x:v>0</x:v>
      </x:c>
      <x:c r="R552" s="22" t="n">
        <x:f>IF(T552="Ready",ROUND(Q552-M552,2),"n.a.")</x:f>
        <x:v>0</x:v>
      </x:c>
      <x:c r="S552" s="22" t="n">
        <x:f>IF(T552="Ready",MAX(0,ROUND(I552+M552-Q552,2)),"n.a.")</x:f>
        <x:v>0</x:v>
      </x:c>
      <x:c r="T552" s="22" t="str">
        <x:f>IF(AND(COUNT($I$552:$I$556)=5,COUNT(E552:F552)=2),IF(E552&gt;=F552,"Ready","Budget below minima"),"Check inputs")</x:f>
        <x:v>Ready</x:v>
      </x:c>
      <x:c r="U552" s="22" t="n">
        <x:f>IF(COUNT(I552,M552,N552)=3,MAX(0,ROUND(I552+M552-N552,2)),"n.a.")</x:f>
        <x:v>0</x:v>
      </x:c>
    </x:row>
    <x:row r="553" ht="22" customHeight="1">
      <x:c r="A553" s="2"/>
      <x:c r="B553" s="2"/>
      <x:c r="C553" s="27" t="n">
        <x:f>110</x:f>
        <x:v>110</x:v>
      </x:c>
      <x:c r="D553" s="28" t="n">
        <x:f>IF(ISNUMBER('Inputs'!$D$7),EDATE('Inputs'!$D$7,109),"n.a.")</x:f>
        <x:v>49644</x:v>
      </x:c>
      <x:c r="E553" s="26" t="n">
        <x:f>IF('Inputs'!$D$9&lt;&gt;"Ready","n.a.",IF(ISNUMBER('Inputs'!E128),IF('Inputs'!E128&gt;=0,'Inputs'!E128,"n.a."),IF('Inputs'!E128="",'Inputs'!$D$6,"n.a.")))</x:f>
        <x:v>500</x:v>
      </x:c>
      <x:c r="F553" s="22" t="n">
        <x:f>IF(COUNT($N$552:$N$556)=5,SUM($N$552:$N$556),"n.a.")</x:f>
        <x:v>0</x:v>
      </x:c>
      <x:c r="G553" s="22" t="n">
        <x:f>IF(COUNT(E553:F553)=2,MAX(0,E553-F553),"n.a.")</x:f>
        <x:v>500</x:v>
      </x:c>
      <x:c r="H553" s="26" t="str">
        <x:f>'Inputs'!C12</x:f>
        <x:v>Card B</x:v>
      </x:c>
      <x:c r="I553" s="26" t="n">
        <x:f>S548</x:f>
        <x:v>0</x:v>
      </x:c>
      <x:c r="J553" s="29" t="n">
        <x:f>IF('Inputs'!$D$9="Ready",'Inputs'!E12,"n.a.")</x:f>
        <x:v>0.18</x:v>
      </x:c>
      <x:c r="K553" s="26" t="n">
        <x:f>IF('Inputs'!$D$9="Ready",'Inputs'!F12,"n.a.")</x:f>
        <x:v>60</x:v>
      </x:c>
      <x:c r="L553" s="29" t="n">
        <x:f>IF('Inputs'!$D$9="Ready",'Inputs'!G12,"n.a.")</x:f>
        <x:v>0.02</x:v>
      </x:c>
      <x:c r="M553" s="22" t="n">
        <x:f>IF(COUNT(I553:L553)=4,ROUND(I553*J553/12,2),"n.a.")</x:f>
        <x:v>0</x:v>
      </x:c>
      <x:c r="N553" s="22" t="n">
        <x:f>IF(COUNT(I553:M553)=5,MIN(I553+M553,ROUND(MAX(K553,I553*L553+M553),2)),"n.a.")</x:f>
        <x:v>0</x:v>
      </x:c>
      <x:c r="O553" s="30" t="n">
        <x:f>IF(COUNT($I$552:$I$556)&lt;&gt;5,"n.a.",IF(I553=0,6,IF('Inputs'!$D$5=1,COUNTIFS($I$552:$I$556,"&gt;0",$I$552:$I$556,"&lt;"&amp;I553)+COUNTIFS($I$552:I553,I553),COUNTIFS($I$552:$I$556,"&gt;0",$J$552:$J$556,"&gt;"&amp;J553)+COUNTIFS($I$552:I553,"&gt;0",$J$552:J553,J553))))</x:f>
        <x:v>6</x:v>
      </x:c>
      <x:c r="P553" s="22" t="n">
        <x:f>IF(T553="Ready",MIN(U553,MAX(0,G553-SUMIFS($U$552:$U$556,$O$552:$O$556,"&lt;"&amp;O553))),"n.a.")</x:f>
        <x:v>0</x:v>
      </x:c>
      <x:c r="Q553" s="22" t="n">
        <x:f>IF(T553="Ready",ROUND(N553+P553,2),"n.a.")</x:f>
        <x:v>0</x:v>
      </x:c>
      <x:c r="R553" s="22" t="n">
        <x:f>IF(T553="Ready",ROUND(Q553-M553,2),"n.a.")</x:f>
        <x:v>0</x:v>
      </x:c>
      <x:c r="S553" s="22" t="n">
        <x:f>IF(T553="Ready",MAX(0,ROUND(I553+M553-Q553,2)),"n.a.")</x:f>
        <x:v>0</x:v>
      </x:c>
      <x:c r="T553" s="22" t="str">
        <x:f>IF(AND(COUNT($I$552:$I$556)=5,COUNT(E553:F553)=2),IF(E553&gt;=F553,"Ready","Budget below minima"),"Check inputs")</x:f>
        <x:v>Ready</x:v>
      </x:c>
      <x:c r="U553" s="22" t="n">
        <x:f>IF(COUNT(I553,M553,N553)=3,MAX(0,ROUND(I553+M553-N553,2)),"n.a.")</x:f>
        <x:v>0</x:v>
      </x:c>
    </x:row>
    <x:row r="554" ht="22" customHeight="1">
      <x:c r="A554" s="2"/>
      <x:c r="B554" s="2"/>
      <x:c r="C554" s="27" t="n">
        <x:f>110</x:f>
        <x:v>110</x:v>
      </x:c>
      <x:c r="D554" s="28" t="n">
        <x:f>IF(ISNUMBER('Inputs'!$D$7),EDATE('Inputs'!$D$7,109),"n.a.")</x:f>
        <x:v>49644</x:v>
      </x:c>
      <x:c r="E554" s="26" t="n">
        <x:f>IF('Inputs'!$D$9&lt;&gt;"Ready","n.a.",IF(ISNUMBER('Inputs'!E128),IF('Inputs'!E128&gt;=0,'Inputs'!E128,"n.a."),IF('Inputs'!E128="",'Inputs'!$D$6,"n.a.")))</x:f>
        <x:v>500</x:v>
      </x:c>
      <x:c r="F554" s="22" t="n">
        <x:f>IF(COUNT($N$552:$N$556)=5,SUM($N$552:$N$556),"n.a.")</x:f>
        <x:v>0</x:v>
      </x:c>
      <x:c r="G554" s="22" t="n">
        <x:f>IF(COUNT(E554:F554)=2,MAX(0,E554-F554),"n.a.")</x:f>
        <x:v>500</x:v>
      </x:c>
      <x:c r="H554" s="26" t="str">
        <x:f>'Inputs'!C13</x:f>
        <x:v>Loan C</x:v>
      </x:c>
      <x:c r="I554" s="26" t="n">
        <x:f>S549</x:f>
        <x:v>0</x:v>
      </x:c>
      <x:c r="J554" s="29" t="n">
        <x:f>IF('Inputs'!$D$9="Ready",'Inputs'!E13,"n.a.")</x:f>
        <x:v>0.08</x:v>
      </x:c>
      <x:c r="K554" s="26" t="n">
        <x:f>IF('Inputs'!$D$9="Ready",'Inputs'!F13,"n.a.")</x:f>
        <x:v>150</x:v>
      </x:c>
      <x:c r="L554" s="29" t="n">
        <x:f>IF('Inputs'!$D$9="Ready",'Inputs'!G13,"n.a.")</x:f>
        <x:v>0</x:v>
      </x:c>
      <x:c r="M554" s="22" t="n">
        <x:f>IF(COUNT(I554:L554)=4,ROUND(I554*J554/12,2),"n.a.")</x:f>
        <x:v>0</x:v>
      </x:c>
      <x:c r="N554" s="22" t="n">
        <x:f>IF(COUNT(I554:M554)=5,MIN(I554+M554,ROUND(MAX(K554,I554*L554+M554),2)),"n.a.")</x:f>
        <x:v>0</x:v>
      </x:c>
      <x:c r="O554" s="30" t="n">
        <x:f>IF(COUNT($I$552:$I$556)&lt;&gt;5,"n.a.",IF(I554=0,6,IF('Inputs'!$D$5=1,COUNTIFS($I$552:$I$556,"&gt;0",$I$552:$I$556,"&lt;"&amp;I554)+COUNTIFS($I$552:I554,I554),COUNTIFS($I$552:$I$556,"&gt;0",$J$552:$J$556,"&gt;"&amp;J554)+COUNTIFS($I$552:I554,"&gt;0",$J$552:J554,J554))))</x:f>
        <x:v>6</x:v>
      </x:c>
      <x:c r="P554" s="22" t="n">
        <x:f>IF(T554="Ready",MIN(U554,MAX(0,G554-SUMIFS($U$552:$U$556,$O$552:$O$556,"&lt;"&amp;O554))),"n.a.")</x:f>
        <x:v>0</x:v>
      </x:c>
      <x:c r="Q554" s="22" t="n">
        <x:f>IF(T554="Ready",ROUND(N554+P554,2),"n.a.")</x:f>
        <x:v>0</x:v>
      </x:c>
      <x:c r="R554" s="22" t="n">
        <x:f>IF(T554="Ready",ROUND(Q554-M554,2),"n.a.")</x:f>
        <x:v>0</x:v>
      </x:c>
      <x:c r="S554" s="22" t="n">
        <x:f>IF(T554="Ready",MAX(0,ROUND(I554+M554-Q554,2)),"n.a.")</x:f>
        <x:v>0</x:v>
      </x:c>
      <x:c r="T554" s="22" t="str">
        <x:f>IF(AND(COUNT($I$552:$I$556)=5,COUNT(E554:F554)=2),IF(E554&gt;=F554,"Ready","Budget below minima"),"Check inputs")</x:f>
        <x:v>Ready</x:v>
      </x:c>
      <x:c r="U554" s="22" t="n">
        <x:f>IF(COUNT(I554,M554,N554)=3,MAX(0,ROUND(I554+M554-N554,2)),"n.a.")</x:f>
        <x:v>0</x:v>
      </x:c>
    </x:row>
    <x:row r="555" ht="22" customHeight="1">
      <x:c r="A555" s="2"/>
      <x:c r="B555" s="2"/>
      <x:c r="C555" s="27" t="n">
        <x:f>110</x:f>
        <x:v>110</x:v>
      </x:c>
      <x:c r="D555" s="28" t="n">
        <x:f>IF(ISNUMBER('Inputs'!$D$7),EDATE('Inputs'!$D$7,109),"n.a.")</x:f>
        <x:v>49644</x:v>
      </x:c>
      <x:c r="E555" s="26" t="n">
        <x:f>IF('Inputs'!$D$9&lt;&gt;"Ready","n.a.",IF(ISNUMBER('Inputs'!E128),IF('Inputs'!E128&gt;=0,'Inputs'!E128,"n.a."),IF('Inputs'!E128="",'Inputs'!$D$6,"n.a.")))</x:f>
        <x:v>500</x:v>
      </x:c>
      <x:c r="F555" s="22" t="n">
        <x:f>IF(COUNT($N$552:$N$556)=5,SUM($N$552:$N$556),"n.a.")</x:f>
        <x:v>0</x:v>
      </x:c>
      <x:c r="G555" s="22" t="n">
        <x:f>IF(COUNT(E555:F555)=2,MAX(0,E555-F555),"n.a.")</x:f>
        <x:v>500</x:v>
      </x:c>
      <x:c r="H555" s="26" t="str">
        <x:f>'Inputs'!C14</x:f>
        <x:v>Unused 4</x:v>
      </x:c>
      <x:c r="I555" s="26" t="n">
        <x:f>S550</x:f>
        <x:v>0</x:v>
      </x:c>
      <x:c r="J555" s="29" t="n">
        <x:f>IF('Inputs'!$D$9="Ready",'Inputs'!E14,"n.a.")</x:f>
        <x:v>0</x:v>
      </x:c>
      <x:c r="K555" s="26" t="n">
        <x:f>IF('Inputs'!$D$9="Ready",'Inputs'!F14,"n.a.")</x:f>
        <x:v>0</x:v>
      </x:c>
      <x:c r="L555" s="29" t="n">
        <x:f>IF('Inputs'!$D$9="Ready",'Inputs'!G14,"n.a.")</x:f>
        <x:v>0</x:v>
      </x:c>
      <x:c r="M555" s="22" t="n">
        <x:f>IF(COUNT(I555:L555)=4,ROUND(I555*J555/12,2),"n.a.")</x:f>
        <x:v>0</x:v>
      </x:c>
      <x:c r="N555" s="22" t="n">
        <x:f>IF(COUNT(I555:M555)=5,MIN(I555+M555,ROUND(MAX(K555,I555*L555+M555),2)),"n.a.")</x:f>
        <x:v>0</x:v>
      </x:c>
      <x:c r="O555" s="30" t="n">
        <x:f>IF(COUNT($I$552:$I$556)&lt;&gt;5,"n.a.",IF(I555=0,6,IF('Inputs'!$D$5=1,COUNTIFS($I$552:$I$556,"&gt;0",$I$552:$I$556,"&lt;"&amp;I555)+COUNTIFS($I$552:I555,I555),COUNTIFS($I$552:$I$556,"&gt;0",$J$552:$J$556,"&gt;"&amp;J555)+COUNTIFS($I$552:I555,"&gt;0",$J$552:J555,J555))))</x:f>
        <x:v>6</x:v>
      </x:c>
      <x:c r="P555" s="22" t="n">
        <x:f>IF(T555="Ready",MIN(U555,MAX(0,G555-SUMIFS($U$552:$U$556,$O$552:$O$556,"&lt;"&amp;O555))),"n.a.")</x:f>
        <x:v>0</x:v>
      </x:c>
      <x:c r="Q555" s="22" t="n">
        <x:f>IF(T555="Ready",ROUND(N555+P555,2),"n.a.")</x:f>
        <x:v>0</x:v>
      </x:c>
      <x:c r="R555" s="22" t="n">
        <x:f>IF(T555="Ready",ROUND(Q555-M555,2),"n.a.")</x:f>
        <x:v>0</x:v>
      </x:c>
      <x:c r="S555" s="22" t="n">
        <x:f>IF(T555="Ready",MAX(0,ROUND(I555+M555-Q555,2)),"n.a.")</x:f>
        <x:v>0</x:v>
      </x:c>
      <x:c r="T555" s="22" t="str">
        <x:f>IF(AND(COUNT($I$552:$I$556)=5,COUNT(E555:F555)=2),IF(E555&gt;=F555,"Ready","Budget below minima"),"Check inputs")</x:f>
        <x:v>Ready</x:v>
      </x:c>
      <x:c r="U555" s="22" t="n">
        <x:f>IF(COUNT(I555,M555,N555)=3,MAX(0,ROUND(I555+M555-N555,2)),"n.a.")</x:f>
        <x:v>0</x:v>
      </x:c>
    </x:row>
    <x:row r="556" ht="22" customHeight="1">
      <x:c r="A556" s="2"/>
      <x:c r="B556" s="2"/>
      <x:c r="C556" s="27" t="n">
        <x:f>110</x:f>
        <x:v>110</x:v>
      </x:c>
      <x:c r="D556" s="28" t="n">
        <x:f>IF(ISNUMBER('Inputs'!$D$7),EDATE('Inputs'!$D$7,109),"n.a.")</x:f>
        <x:v>49644</x:v>
      </x:c>
      <x:c r="E556" s="26" t="n">
        <x:f>IF('Inputs'!$D$9&lt;&gt;"Ready","n.a.",IF(ISNUMBER('Inputs'!E128),IF('Inputs'!E128&gt;=0,'Inputs'!E128,"n.a."),IF('Inputs'!E128="",'Inputs'!$D$6,"n.a.")))</x:f>
        <x:v>500</x:v>
      </x:c>
      <x:c r="F556" s="22" t="n">
        <x:f>IF(COUNT($N$552:$N$556)=5,SUM($N$552:$N$556),"n.a.")</x:f>
        <x:v>0</x:v>
      </x:c>
      <x:c r="G556" s="22" t="n">
        <x:f>IF(COUNT(E556:F556)=2,MAX(0,E556-F556),"n.a.")</x:f>
        <x:v>500</x:v>
      </x:c>
      <x:c r="H556" s="26" t="str">
        <x:f>'Inputs'!C15</x:f>
        <x:v>Unused 5</x:v>
      </x:c>
      <x:c r="I556" s="26" t="n">
        <x:f>S551</x:f>
        <x:v>0</x:v>
      </x:c>
      <x:c r="J556" s="29" t="n">
        <x:f>IF('Inputs'!$D$9="Ready",'Inputs'!E15,"n.a.")</x:f>
        <x:v>0</x:v>
      </x:c>
      <x:c r="K556" s="26" t="n">
        <x:f>IF('Inputs'!$D$9="Ready",'Inputs'!F15,"n.a.")</x:f>
        <x:v>0</x:v>
      </x:c>
      <x:c r="L556" s="29" t="n">
        <x:f>IF('Inputs'!$D$9="Ready",'Inputs'!G15,"n.a.")</x:f>
        <x:v>0</x:v>
      </x:c>
      <x:c r="M556" s="22" t="n">
        <x:f>IF(COUNT(I556:L556)=4,ROUND(I556*J556/12,2),"n.a.")</x:f>
        <x:v>0</x:v>
      </x:c>
      <x:c r="N556" s="22" t="n">
        <x:f>IF(COUNT(I556:M556)=5,MIN(I556+M556,ROUND(MAX(K556,I556*L556+M556),2)),"n.a.")</x:f>
        <x:v>0</x:v>
      </x:c>
      <x:c r="O556" s="30" t="n">
        <x:f>IF(COUNT($I$552:$I$556)&lt;&gt;5,"n.a.",IF(I556=0,6,IF('Inputs'!$D$5=1,COUNTIFS($I$552:$I$556,"&gt;0",$I$552:$I$556,"&lt;"&amp;I556)+COUNTIFS($I$552:I556,I556),COUNTIFS($I$552:$I$556,"&gt;0",$J$552:$J$556,"&gt;"&amp;J556)+COUNTIFS($I$552:I556,"&gt;0",$J$552:J556,J556))))</x:f>
        <x:v>6</x:v>
      </x:c>
      <x:c r="P556" s="22" t="n">
        <x:f>IF(T556="Ready",MIN(U556,MAX(0,G556-SUMIFS($U$552:$U$556,$O$552:$O$556,"&lt;"&amp;O556))),"n.a.")</x:f>
        <x:v>0</x:v>
      </x:c>
      <x:c r="Q556" s="22" t="n">
        <x:f>IF(T556="Ready",ROUND(N556+P556,2),"n.a.")</x:f>
        <x:v>0</x:v>
      </x:c>
      <x:c r="R556" s="22" t="n">
        <x:f>IF(T556="Ready",ROUND(Q556-M556,2),"n.a.")</x:f>
        <x:v>0</x:v>
      </x:c>
      <x:c r="S556" s="22" t="n">
        <x:f>IF(T556="Ready",MAX(0,ROUND(I556+M556-Q556,2)),"n.a.")</x:f>
        <x:v>0</x:v>
      </x:c>
      <x:c r="T556" s="22" t="str">
        <x:f>IF(AND(COUNT($I$552:$I$556)=5,COUNT(E556:F556)=2),IF(E556&gt;=F556,"Ready","Budget below minima"),"Check inputs")</x:f>
        <x:v>Ready</x:v>
      </x:c>
      <x:c r="U556" s="22" t="n">
        <x:f>IF(COUNT(I556,M556,N556)=3,MAX(0,ROUND(I556+M556-N556,2)),"n.a.")</x:f>
        <x:v>0</x:v>
      </x:c>
    </x:row>
    <x:row r="557" ht="22" customHeight="1">
      <x:c r="A557" s="2"/>
      <x:c r="B557" s="2"/>
      <x:c r="C557" s="27" t="n">
        <x:f>111</x:f>
        <x:v>111</x:v>
      </x:c>
      <x:c r="D557" s="28" t="n">
        <x:f>IF(ISNUMBER('Inputs'!$D$7),EDATE('Inputs'!$D$7,110),"n.a.")</x:f>
        <x:v>49675</x:v>
      </x:c>
      <x:c r="E557" s="26" t="n">
        <x:f>IF('Inputs'!$D$9&lt;&gt;"Ready","n.a.",IF(ISNUMBER('Inputs'!E129),IF('Inputs'!E129&gt;=0,'Inputs'!E129,"n.a."),IF('Inputs'!E129="",'Inputs'!$D$6,"n.a.")))</x:f>
        <x:v>500</x:v>
      </x:c>
      <x:c r="F557" s="22" t="n">
        <x:f>IF(COUNT($N$557:$N$561)=5,SUM($N$557:$N$561),"n.a.")</x:f>
        <x:v>0</x:v>
      </x:c>
      <x:c r="G557" s="22" t="n">
        <x:f>IF(COUNT(E557:F557)=2,MAX(0,E557-F557),"n.a.")</x:f>
        <x:v>500</x:v>
      </x:c>
      <x:c r="H557" s="26" t="str">
        <x:f>'Inputs'!C11</x:f>
        <x:v>Card A</x:v>
      </x:c>
      <x:c r="I557" s="26" t="n">
        <x:f>S552</x:f>
        <x:v>0</x:v>
      </x:c>
      <x:c r="J557" s="29" t="n">
        <x:f>IF('Inputs'!$D$9="Ready",'Inputs'!E11,"n.a.")</x:f>
        <x:v>0.24</x:v>
      </x:c>
      <x:c r="K557" s="26" t="n">
        <x:f>IF('Inputs'!$D$9="Ready",'Inputs'!F11,"n.a.")</x:f>
        <x:v>35</x:v>
      </x:c>
      <x:c r="L557" s="29" t="n">
        <x:f>IF('Inputs'!$D$9="Ready",'Inputs'!G11,"n.a.")</x:f>
        <x:v>0.02</x:v>
      </x:c>
      <x:c r="M557" s="22" t="n">
        <x:f>IF(COUNT(I557:L557)=4,ROUND(I557*J557/12,2),"n.a.")</x:f>
        <x:v>0</x:v>
      </x:c>
      <x:c r="N557" s="22" t="n">
        <x:f>IF(COUNT(I557:M557)=5,MIN(I557+M557,ROUND(MAX(K557,I557*L557+M557),2)),"n.a.")</x:f>
        <x:v>0</x:v>
      </x:c>
      <x:c r="O557" s="30" t="n">
        <x:f>IF(COUNT($I$557:$I$561)&lt;&gt;5,"n.a.",IF(I557=0,6,IF('Inputs'!$D$5=1,COUNTIFS($I$557:$I$561,"&gt;0",$I$557:$I$561,"&lt;"&amp;I557)+COUNTIFS($I$557:I557,I557),COUNTIFS($I$557:$I$561,"&gt;0",$J$557:$J$561,"&gt;"&amp;J557)+COUNTIFS($I$557:I557,"&gt;0",$J$557:J557,J557))))</x:f>
        <x:v>6</x:v>
      </x:c>
      <x:c r="P557" s="22" t="n">
        <x:f>IF(T557="Ready",MIN(U557,MAX(0,G557-SUMIFS($U$557:$U$561,$O$557:$O$561,"&lt;"&amp;O557))),"n.a.")</x:f>
        <x:v>0</x:v>
      </x:c>
      <x:c r="Q557" s="22" t="n">
        <x:f>IF(T557="Ready",ROUND(N557+P557,2),"n.a.")</x:f>
        <x:v>0</x:v>
      </x:c>
      <x:c r="R557" s="22" t="n">
        <x:f>IF(T557="Ready",ROUND(Q557-M557,2),"n.a.")</x:f>
        <x:v>0</x:v>
      </x:c>
      <x:c r="S557" s="22" t="n">
        <x:f>IF(T557="Ready",MAX(0,ROUND(I557+M557-Q557,2)),"n.a.")</x:f>
        <x:v>0</x:v>
      </x:c>
      <x:c r="T557" s="22" t="str">
        <x:f>IF(AND(COUNT($I$557:$I$561)=5,COUNT(E557:F557)=2),IF(E557&gt;=F557,"Ready","Budget below minima"),"Check inputs")</x:f>
        <x:v>Ready</x:v>
      </x:c>
      <x:c r="U557" s="22" t="n">
        <x:f>IF(COUNT(I557,M557,N557)=3,MAX(0,ROUND(I557+M557-N557,2)),"n.a.")</x:f>
        <x:v>0</x:v>
      </x:c>
    </x:row>
    <x:row r="558" ht="22" customHeight="1">
      <x:c r="A558" s="2"/>
      <x:c r="B558" s="2"/>
      <x:c r="C558" s="27" t="n">
        <x:f>111</x:f>
        <x:v>111</x:v>
      </x:c>
      <x:c r="D558" s="28" t="n">
        <x:f>IF(ISNUMBER('Inputs'!$D$7),EDATE('Inputs'!$D$7,110),"n.a.")</x:f>
        <x:v>49675</x:v>
      </x:c>
      <x:c r="E558" s="26" t="n">
        <x:f>IF('Inputs'!$D$9&lt;&gt;"Ready","n.a.",IF(ISNUMBER('Inputs'!E129),IF('Inputs'!E129&gt;=0,'Inputs'!E129,"n.a."),IF('Inputs'!E129="",'Inputs'!$D$6,"n.a.")))</x:f>
        <x:v>500</x:v>
      </x:c>
      <x:c r="F558" s="22" t="n">
        <x:f>IF(COUNT($N$557:$N$561)=5,SUM($N$557:$N$561),"n.a.")</x:f>
        <x:v>0</x:v>
      </x:c>
      <x:c r="G558" s="22" t="n">
        <x:f>IF(COUNT(E558:F558)=2,MAX(0,E558-F558),"n.a.")</x:f>
        <x:v>500</x:v>
      </x:c>
      <x:c r="H558" s="26" t="str">
        <x:f>'Inputs'!C12</x:f>
        <x:v>Card B</x:v>
      </x:c>
      <x:c r="I558" s="26" t="n">
        <x:f>S553</x:f>
        <x:v>0</x:v>
      </x:c>
      <x:c r="J558" s="29" t="n">
        <x:f>IF('Inputs'!$D$9="Ready",'Inputs'!E12,"n.a.")</x:f>
        <x:v>0.18</x:v>
      </x:c>
      <x:c r="K558" s="26" t="n">
        <x:f>IF('Inputs'!$D$9="Ready",'Inputs'!F12,"n.a.")</x:f>
        <x:v>60</x:v>
      </x:c>
      <x:c r="L558" s="29" t="n">
        <x:f>IF('Inputs'!$D$9="Ready",'Inputs'!G12,"n.a.")</x:f>
        <x:v>0.02</x:v>
      </x:c>
      <x:c r="M558" s="22" t="n">
        <x:f>IF(COUNT(I558:L558)=4,ROUND(I558*J558/12,2),"n.a.")</x:f>
        <x:v>0</x:v>
      </x:c>
      <x:c r="N558" s="22" t="n">
        <x:f>IF(COUNT(I558:M558)=5,MIN(I558+M558,ROUND(MAX(K558,I558*L558+M558),2)),"n.a.")</x:f>
        <x:v>0</x:v>
      </x:c>
      <x:c r="O558" s="30" t="n">
        <x:f>IF(COUNT($I$557:$I$561)&lt;&gt;5,"n.a.",IF(I558=0,6,IF('Inputs'!$D$5=1,COUNTIFS($I$557:$I$561,"&gt;0",$I$557:$I$561,"&lt;"&amp;I558)+COUNTIFS($I$557:I558,I558),COUNTIFS($I$557:$I$561,"&gt;0",$J$557:$J$561,"&gt;"&amp;J558)+COUNTIFS($I$557:I558,"&gt;0",$J$557:J558,J558))))</x:f>
        <x:v>6</x:v>
      </x:c>
      <x:c r="P558" s="22" t="n">
        <x:f>IF(T558="Ready",MIN(U558,MAX(0,G558-SUMIFS($U$557:$U$561,$O$557:$O$561,"&lt;"&amp;O558))),"n.a.")</x:f>
        <x:v>0</x:v>
      </x:c>
      <x:c r="Q558" s="22" t="n">
        <x:f>IF(T558="Ready",ROUND(N558+P558,2),"n.a.")</x:f>
        <x:v>0</x:v>
      </x:c>
      <x:c r="R558" s="22" t="n">
        <x:f>IF(T558="Ready",ROUND(Q558-M558,2),"n.a.")</x:f>
        <x:v>0</x:v>
      </x:c>
      <x:c r="S558" s="22" t="n">
        <x:f>IF(T558="Ready",MAX(0,ROUND(I558+M558-Q558,2)),"n.a.")</x:f>
        <x:v>0</x:v>
      </x:c>
      <x:c r="T558" s="22" t="str">
        <x:f>IF(AND(COUNT($I$557:$I$561)=5,COUNT(E558:F558)=2),IF(E558&gt;=F558,"Ready","Budget below minima"),"Check inputs")</x:f>
        <x:v>Ready</x:v>
      </x:c>
      <x:c r="U558" s="22" t="n">
        <x:f>IF(COUNT(I558,M558,N558)=3,MAX(0,ROUND(I558+M558-N558,2)),"n.a.")</x:f>
        <x:v>0</x:v>
      </x:c>
    </x:row>
    <x:row r="559" ht="22" customHeight="1">
      <x:c r="A559" s="2"/>
      <x:c r="B559" s="2"/>
      <x:c r="C559" s="27" t="n">
        <x:f>111</x:f>
        <x:v>111</x:v>
      </x:c>
      <x:c r="D559" s="28" t="n">
        <x:f>IF(ISNUMBER('Inputs'!$D$7),EDATE('Inputs'!$D$7,110),"n.a.")</x:f>
        <x:v>49675</x:v>
      </x:c>
      <x:c r="E559" s="26" t="n">
        <x:f>IF('Inputs'!$D$9&lt;&gt;"Ready","n.a.",IF(ISNUMBER('Inputs'!E129),IF('Inputs'!E129&gt;=0,'Inputs'!E129,"n.a."),IF('Inputs'!E129="",'Inputs'!$D$6,"n.a.")))</x:f>
        <x:v>500</x:v>
      </x:c>
      <x:c r="F559" s="22" t="n">
        <x:f>IF(COUNT($N$557:$N$561)=5,SUM($N$557:$N$561),"n.a.")</x:f>
        <x:v>0</x:v>
      </x:c>
      <x:c r="G559" s="22" t="n">
        <x:f>IF(COUNT(E559:F559)=2,MAX(0,E559-F559),"n.a.")</x:f>
        <x:v>500</x:v>
      </x:c>
      <x:c r="H559" s="26" t="str">
        <x:f>'Inputs'!C13</x:f>
        <x:v>Loan C</x:v>
      </x:c>
      <x:c r="I559" s="26" t="n">
        <x:f>S554</x:f>
        <x:v>0</x:v>
      </x:c>
      <x:c r="J559" s="29" t="n">
        <x:f>IF('Inputs'!$D$9="Ready",'Inputs'!E13,"n.a.")</x:f>
        <x:v>0.08</x:v>
      </x:c>
      <x:c r="K559" s="26" t="n">
        <x:f>IF('Inputs'!$D$9="Ready",'Inputs'!F13,"n.a.")</x:f>
        <x:v>150</x:v>
      </x:c>
      <x:c r="L559" s="29" t="n">
        <x:f>IF('Inputs'!$D$9="Ready",'Inputs'!G13,"n.a.")</x:f>
        <x:v>0</x:v>
      </x:c>
      <x:c r="M559" s="22" t="n">
        <x:f>IF(COUNT(I559:L559)=4,ROUND(I559*J559/12,2),"n.a.")</x:f>
        <x:v>0</x:v>
      </x:c>
      <x:c r="N559" s="22" t="n">
        <x:f>IF(COUNT(I559:M559)=5,MIN(I559+M559,ROUND(MAX(K559,I559*L559+M559),2)),"n.a.")</x:f>
        <x:v>0</x:v>
      </x:c>
      <x:c r="O559" s="30" t="n">
        <x:f>IF(COUNT($I$557:$I$561)&lt;&gt;5,"n.a.",IF(I559=0,6,IF('Inputs'!$D$5=1,COUNTIFS($I$557:$I$561,"&gt;0",$I$557:$I$561,"&lt;"&amp;I559)+COUNTIFS($I$557:I559,I559),COUNTIFS($I$557:$I$561,"&gt;0",$J$557:$J$561,"&gt;"&amp;J559)+COUNTIFS($I$557:I559,"&gt;0",$J$557:J559,J559))))</x:f>
        <x:v>6</x:v>
      </x:c>
      <x:c r="P559" s="22" t="n">
        <x:f>IF(T559="Ready",MIN(U559,MAX(0,G559-SUMIFS($U$557:$U$561,$O$557:$O$561,"&lt;"&amp;O559))),"n.a.")</x:f>
        <x:v>0</x:v>
      </x:c>
      <x:c r="Q559" s="22" t="n">
        <x:f>IF(T559="Ready",ROUND(N559+P559,2),"n.a.")</x:f>
        <x:v>0</x:v>
      </x:c>
      <x:c r="R559" s="22" t="n">
        <x:f>IF(T559="Ready",ROUND(Q559-M559,2),"n.a.")</x:f>
        <x:v>0</x:v>
      </x:c>
      <x:c r="S559" s="22" t="n">
        <x:f>IF(T559="Ready",MAX(0,ROUND(I559+M559-Q559,2)),"n.a.")</x:f>
        <x:v>0</x:v>
      </x:c>
      <x:c r="T559" s="22" t="str">
        <x:f>IF(AND(COUNT($I$557:$I$561)=5,COUNT(E559:F559)=2),IF(E559&gt;=F559,"Ready","Budget below minima"),"Check inputs")</x:f>
        <x:v>Ready</x:v>
      </x:c>
      <x:c r="U559" s="22" t="n">
        <x:f>IF(COUNT(I559,M559,N559)=3,MAX(0,ROUND(I559+M559-N559,2)),"n.a.")</x:f>
        <x:v>0</x:v>
      </x:c>
    </x:row>
    <x:row r="560" ht="22" customHeight="1">
      <x:c r="A560" s="2"/>
      <x:c r="B560" s="2"/>
      <x:c r="C560" s="27" t="n">
        <x:f>111</x:f>
        <x:v>111</x:v>
      </x:c>
      <x:c r="D560" s="28" t="n">
        <x:f>IF(ISNUMBER('Inputs'!$D$7),EDATE('Inputs'!$D$7,110),"n.a.")</x:f>
        <x:v>49675</x:v>
      </x:c>
      <x:c r="E560" s="26" t="n">
        <x:f>IF('Inputs'!$D$9&lt;&gt;"Ready","n.a.",IF(ISNUMBER('Inputs'!E129),IF('Inputs'!E129&gt;=0,'Inputs'!E129,"n.a."),IF('Inputs'!E129="",'Inputs'!$D$6,"n.a.")))</x:f>
        <x:v>500</x:v>
      </x:c>
      <x:c r="F560" s="22" t="n">
        <x:f>IF(COUNT($N$557:$N$561)=5,SUM($N$557:$N$561),"n.a.")</x:f>
        <x:v>0</x:v>
      </x:c>
      <x:c r="G560" s="22" t="n">
        <x:f>IF(COUNT(E560:F560)=2,MAX(0,E560-F560),"n.a.")</x:f>
        <x:v>500</x:v>
      </x:c>
      <x:c r="H560" s="26" t="str">
        <x:f>'Inputs'!C14</x:f>
        <x:v>Unused 4</x:v>
      </x:c>
      <x:c r="I560" s="26" t="n">
        <x:f>S555</x:f>
        <x:v>0</x:v>
      </x:c>
      <x:c r="J560" s="29" t="n">
        <x:f>IF('Inputs'!$D$9="Ready",'Inputs'!E14,"n.a.")</x:f>
        <x:v>0</x:v>
      </x:c>
      <x:c r="K560" s="26" t="n">
        <x:f>IF('Inputs'!$D$9="Ready",'Inputs'!F14,"n.a.")</x:f>
        <x:v>0</x:v>
      </x:c>
      <x:c r="L560" s="29" t="n">
        <x:f>IF('Inputs'!$D$9="Ready",'Inputs'!G14,"n.a.")</x:f>
        <x:v>0</x:v>
      </x:c>
      <x:c r="M560" s="22" t="n">
        <x:f>IF(COUNT(I560:L560)=4,ROUND(I560*J560/12,2),"n.a.")</x:f>
        <x:v>0</x:v>
      </x:c>
      <x:c r="N560" s="22" t="n">
        <x:f>IF(COUNT(I560:M560)=5,MIN(I560+M560,ROUND(MAX(K560,I560*L560+M560),2)),"n.a.")</x:f>
        <x:v>0</x:v>
      </x:c>
      <x:c r="O560" s="30" t="n">
        <x:f>IF(COUNT($I$557:$I$561)&lt;&gt;5,"n.a.",IF(I560=0,6,IF('Inputs'!$D$5=1,COUNTIFS($I$557:$I$561,"&gt;0",$I$557:$I$561,"&lt;"&amp;I560)+COUNTIFS($I$557:I560,I560),COUNTIFS($I$557:$I$561,"&gt;0",$J$557:$J$561,"&gt;"&amp;J560)+COUNTIFS($I$557:I560,"&gt;0",$J$557:J560,J560))))</x:f>
        <x:v>6</x:v>
      </x:c>
      <x:c r="P560" s="22" t="n">
        <x:f>IF(T560="Ready",MIN(U560,MAX(0,G560-SUMIFS($U$557:$U$561,$O$557:$O$561,"&lt;"&amp;O560))),"n.a.")</x:f>
        <x:v>0</x:v>
      </x:c>
      <x:c r="Q560" s="22" t="n">
        <x:f>IF(T560="Ready",ROUND(N560+P560,2),"n.a.")</x:f>
        <x:v>0</x:v>
      </x:c>
      <x:c r="R560" s="22" t="n">
        <x:f>IF(T560="Ready",ROUND(Q560-M560,2),"n.a.")</x:f>
        <x:v>0</x:v>
      </x:c>
      <x:c r="S560" s="22" t="n">
        <x:f>IF(T560="Ready",MAX(0,ROUND(I560+M560-Q560,2)),"n.a.")</x:f>
        <x:v>0</x:v>
      </x:c>
      <x:c r="T560" s="22" t="str">
        <x:f>IF(AND(COUNT($I$557:$I$561)=5,COUNT(E560:F560)=2),IF(E560&gt;=F560,"Ready","Budget below minima"),"Check inputs")</x:f>
        <x:v>Ready</x:v>
      </x:c>
      <x:c r="U560" s="22" t="n">
        <x:f>IF(COUNT(I560,M560,N560)=3,MAX(0,ROUND(I560+M560-N560,2)),"n.a.")</x:f>
        <x:v>0</x:v>
      </x:c>
    </x:row>
    <x:row r="561" ht="22" customHeight="1">
      <x:c r="A561" s="2"/>
      <x:c r="B561" s="2"/>
      <x:c r="C561" s="27" t="n">
        <x:f>111</x:f>
        <x:v>111</x:v>
      </x:c>
      <x:c r="D561" s="28" t="n">
        <x:f>IF(ISNUMBER('Inputs'!$D$7),EDATE('Inputs'!$D$7,110),"n.a.")</x:f>
        <x:v>49675</x:v>
      </x:c>
      <x:c r="E561" s="26" t="n">
        <x:f>IF('Inputs'!$D$9&lt;&gt;"Ready","n.a.",IF(ISNUMBER('Inputs'!E129),IF('Inputs'!E129&gt;=0,'Inputs'!E129,"n.a."),IF('Inputs'!E129="",'Inputs'!$D$6,"n.a.")))</x:f>
        <x:v>500</x:v>
      </x:c>
      <x:c r="F561" s="22" t="n">
        <x:f>IF(COUNT($N$557:$N$561)=5,SUM($N$557:$N$561),"n.a.")</x:f>
        <x:v>0</x:v>
      </x:c>
      <x:c r="G561" s="22" t="n">
        <x:f>IF(COUNT(E561:F561)=2,MAX(0,E561-F561),"n.a.")</x:f>
        <x:v>500</x:v>
      </x:c>
      <x:c r="H561" s="26" t="str">
        <x:f>'Inputs'!C15</x:f>
        <x:v>Unused 5</x:v>
      </x:c>
      <x:c r="I561" s="26" t="n">
        <x:f>S556</x:f>
        <x:v>0</x:v>
      </x:c>
      <x:c r="J561" s="29" t="n">
        <x:f>IF('Inputs'!$D$9="Ready",'Inputs'!E15,"n.a.")</x:f>
        <x:v>0</x:v>
      </x:c>
      <x:c r="K561" s="26" t="n">
        <x:f>IF('Inputs'!$D$9="Ready",'Inputs'!F15,"n.a.")</x:f>
        <x:v>0</x:v>
      </x:c>
      <x:c r="L561" s="29" t="n">
        <x:f>IF('Inputs'!$D$9="Ready",'Inputs'!G15,"n.a.")</x:f>
        <x:v>0</x:v>
      </x:c>
      <x:c r="M561" s="22" t="n">
        <x:f>IF(COUNT(I561:L561)=4,ROUND(I561*J561/12,2),"n.a.")</x:f>
        <x:v>0</x:v>
      </x:c>
      <x:c r="N561" s="22" t="n">
        <x:f>IF(COUNT(I561:M561)=5,MIN(I561+M561,ROUND(MAX(K561,I561*L561+M561),2)),"n.a.")</x:f>
        <x:v>0</x:v>
      </x:c>
      <x:c r="O561" s="30" t="n">
        <x:f>IF(COUNT($I$557:$I$561)&lt;&gt;5,"n.a.",IF(I561=0,6,IF('Inputs'!$D$5=1,COUNTIFS($I$557:$I$561,"&gt;0",$I$557:$I$561,"&lt;"&amp;I561)+COUNTIFS($I$557:I561,I561),COUNTIFS($I$557:$I$561,"&gt;0",$J$557:$J$561,"&gt;"&amp;J561)+COUNTIFS($I$557:I561,"&gt;0",$J$557:J561,J561))))</x:f>
        <x:v>6</x:v>
      </x:c>
      <x:c r="P561" s="22" t="n">
        <x:f>IF(T561="Ready",MIN(U561,MAX(0,G561-SUMIFS($U$557:$U$561,$O$557:$O$561,"&lt;"&amp;O561))),"n.a.")</x:f>
        <x:v>0</x:v>
      </x:c>
      <x:c r="Q561" s="22" t="n">
        <x:f>IF(T561="Ready",ROUND(N561+P561,2),"n.a.")</x:f>
        <x:v>0</x:v>
      </x:c>
      <x:c r="R561" s="22" t="n">
        <x:f>IF(T561="Ready",ROUND(Q561-M561,2),"n.a.")</x:f>
        <x:v>0</x:v>
      </x:c>
      <x:c r="S561" s="22" t="n">
        <x:f>IF(T561="Ready",MAX(0,ROUND(I561+M561-Q561,2)),"n.a.")</x:f>
        <x:v>0</x:v>
      </x:c>
      <x:c r="T561" s="22" t="str">
        <x:f>IF(AND(COUNT($I$557:$I$561)=5,COUNT(E561:F561)=2),IF(E561&gt;=F561,"Ready","Budget below minima"),"Check inputs")</x:f>
        <x:v>Ready</x:v>
      </x:c>
      <x:c r="U561" s="22" t="n">
        <x:f>IF(COUNT(I561,M561,N561)=3,MAX(0,ROUND(I561+M561-N561,2)),"n.a.")</x:f>
        <x:v>0</x:v>
      </x:c>
    </x:row>
    <x:row r="562" ht="22" customHeight="1">
      <x:c r="A562" s="2"/>
      <x:c r="B562" s="2"/>
      <x:c r="C562" s="27" t="n">
        <x:f>112</x:f>
        <x:v>112</x:v>
      </x:c>
      <x:c r="D562" s="28" t="n">
        <x:f>IF(ISNUMBER('Inputs'!$D$7),EDATE('Inputs'!$D$7,111),"n.a.")</x:f>
        <x:v>49706</x:v>
      </x:c>
      <x:c r="E562" s="26" t="n">
        <x:f>IF('Inputs'!$D$9&lt;&gt;"Ready","n.a.",IF(ISNUMBER('Inputs'!E130),IF('Inputs'!E130&gt;=0,'Inputs'!E130,"n.a."),IF('Inputs'!E130="",'Inputs'!$D$6,"n.a.")))</x:f>
        <x:v>500</x:v>
      </x:c>
      <x:c r="F562" s="22" t="n">
        <x:f>IF(COUNT($N$562:$N$566)=5,SUM($N$562:$N$566),"n.a.")</x:f>
        <x:v>0</x:v>
      </x:c>
      <x:c r="G562" s="22" t="n">
        <x:f>IF(COUNT(E562:F562)=2,MAX(0,E562-F562),"n.a.")</x:f>
        <x:v>500</x:v>
      </x:c>
      <x:c r="H562" s="26" t="str">
        <x:f>'Inputs'!C11</x:f>
        <x:v>Card A</x:v>
      </x:c>
      <x:c r="I562" s="26" t="n">
        <x:f>S557</x:f>
        <x:v>0</x:v>
      </x:c>
      <x:c r="J562" s="29" t="n">
        <x:f>IF('Inputs'!$D$9="Ready",'Inputs'!E11,"n.a.")</x:f>
        <x:v>0.24</x:v>
      </x:c>
      <x:c r="K562" s="26" t="n">
        <x:f>IF('Inputs'!$D$9="Ready",'Inputs'!F11,"n.a.")</x:f>
        <x:v>35</x:v>
      </x:c>
      <x:c r="L562" s="29" t="n">
        <x:f>IF('Inputs'!$D$9="Ready",'Inputs'!G11,"n.a.")</x:f>
        <x:v>0.02</x:v>
      </x:c>
      <x:c r="M562" s="22" t="n">
        <x:f>IF(COUNT(I562:L562)=4,ROUND(I562*J562/12,2),"n.a.")</x:f>
        <x:v>0</x:v>
      </x:c>
      <x:c r="N562" s="22" t="n">
        <x:f>IF(COUNT(I562:M562)=5,MIN(I562+M562,ROUND(MAX(K562,I562*L562+M562),2)),"n.a.")</x:f>
        <x:v>0</x:v>
      </x:c>
      <x:c r="O562" s="30" t="n">
        <x:f>IF(COUNT($I$562:$I$566)&lt;&gt;5,"n.a.",IF(I562=0,6,IF('Inputs'!$D$5=1,COUNTIFS($I$562:$I$566,"&gt;0",$I$562:$I$566,"&lt;"&amp;I562)+COUNTIFS($I$562:I562,I562),COUNTIFS($I$562:$I$566,"&gt;0",$J$562:$J$566,"&gt;"&amp;J562)+COUNTIFS($I$562:I562,"&gt;0",$J$562:J562,J562))))</x:f>
        <x:v>6</x:v>
      </x:c>
      <x:c r="P562" s="22" t="n">
        <x:f>IF(T562="Ready",MIN(U562,MAX(0,G562-SUMIFS($U$562:$U$566,$O$562:$O$566,"&lt;"&amp;O562))),"n.a.")</x:f>
        <x:v>0</x:v>
      </x:c>
      <x:c r="Q562" s="22" t="n">
        <x:f>IF(T562="Ready",ROUND(N562+P562,2),"n.a.")</x:f>
        <x:v>0</x:v>
      </x:c>
      <x:c r="R562" s="22" t="n">
        <x:f>IF(T562="Ready",ROUND(Q562-M562,2),"n.a.")</x:f>
        <x:v>0</x:v>
      </x:c>
      <x:c r="S562" s="22" t="n">
        <x:f>IF(T562="Ready",MAX(0,ROUND(I562+M562-Q562,2)),"n.a.")</x:f>
        <x:v>0</x:v>
      </x:c>
      <x:c r="T562" s="22" t="str">
        <x:f>IF(AND(COUNT($I$562:$I$566)=5,COUNT(E562:F562)=2),IF(E562&gt;=F562,"Ready","Budget below minima"),"Check inputs")</x:f>
        <x:v>Ready</x:v>
      </x:c>
      <x:c r="U562" s="22" t="n">
        <x:f>IF(COUNT(I562,M562,N562)=3,MAX(0,ROUND(I562+M562-N562,2)),"n.a.")</x:f>
        <x:v>0</x:v>
      </x:c>
    </x:row>
    <x:row r="563" ht="22" customHeight="1">
      <x:c r="A563" s="2"/>
      <x:c r="B563" s="2"/>
      <x:c r="C563" s="27" t="n">
        <x:f>112</x:f>
        <x:v>112</x:v>
      </x:c>
      <x:c r="D563" s="28" t="n">
        <x:f>IF(ISNUMBER('Inputs'!$D$7),EDATE('Inputs'!$D$7,111),"n.a.")</x:f>
        <x:v>49706</x:v>
      </x:c>
      <x:c r="E563" s="26" t="n">
        <x:f>IF('Inputs'!$D$9&lt;&gt;"Ready","n.a.",IF(ISNUMBER('Inputs'!E130),IF('Inputs'!E130&gt;=0,'Inputs'!E130,"n.a."),IF('Inputs'!E130="",'Inputs'!$D$6,"n.a.")))</x:f>
        <x:v>500</x:v>
      </x:c>
      <x:c r="F563" s="22" t="n">
        <x:f>IF(COUNT($N$562:$N$566)=5,SUM($N$562:$N$566),"n.a.")</x:f>
        <x:v>0</x:v>
      </x:c>
      <x:c r="G563" s="22" t="n">
        <x:f>IF(COUNT(E563:F563)=2,MAX(0,E563-F563),"n.a.")</x:f>
        <x:v>500</x:v>
      </x:c>
      <x:c r="H563" s="26" t="str">
        <x:f>'Inputs'!C12</x:f>
        <x:v>Card B</x:v>
      </x:c>
      <x:c r="I563" s="26" t="n">
        <x:f>S558</x:f>
        <x:v>0</x:v>
      </x:c>
      <x:c r="J563" s="29" t="n">
        <x:f>IF('Inputs'!$D$9="Ready",'Inputs'!E12,"n.a.")</x:f>
        <x:v>0.18</x:v>
      </x:c>
      <x:c r="K563" s="26" t="n">
        <x:f>IF('Inputs'!$D$9="Ready",'Inputs'!F12,"n.a.")</x:f>
        <x:v>60</x:v>
      </x:c>
      <x:c r="L563" s="29" t="n">
        <x:f>IF('Inputs'!$D$9="Ready",'Inputs'!G12,"n.a.")</x:f>
        <x:v>0.02</x:v>
      </x:c>
      <x:c r="M563" s="22" t="n">
        <x:f>IF(COUNT(I563:L563)=4,ROUND(I563*J563/12,2),"n.a.")</x:f>
        <x:v>0</x:v>
      </x:c>
      <x:c r="N563" s="22" t="n">
        <x:f>IF(COUNT(I563:M563)=5,MIN(I563+M563,ROUND(MAX(K563,I563*L563+M563),2)),"n.a.")</x:f>
        <x:v>0</x:v>
      </x:c>
      <x:c r="O563" s="30" t="n">
        <x:f>IF(COUNT($I$562:$I$566)&lt;&gt;5,"n.a.",IF(I563=0,6,IF('Inputs'!$D$5=1,COUNTIFS($I$562:$I$566,"&gt;0",$I$562:$I$566,"&lt;"&amp;I563)+COUNTIFS($I$562:I563,I563),COUNTIFS($I$562:$I$566,"&gt;0",$J$562:$J$566,"&gt;"&amp;J563)+COUNTIFS($I$562:I563,"&gt;0",$J$562:J563,J563))))</x:f>
        <x:v>6</x:v>
      </x:c>
      <x:c r="P563" s="22" t="n">
        <x:f>IF(T563="Ready",MIN(U563,MAX(0,G563-SUMIFS($U$562:$U$566,$O$562:$O$566,"&lt;"&amp;O563))),"n.a.")</x:f>
        <x:v>0</x:v>
      </x:c>
      <x:c r="Q563" s="22" t="n">
        <x:f>IF(T563="Ready",ROUND(N563+P563,2),"n.a.")</x:f>
        <x:v>0</x:v>
      </x:c>
      <x:c r="R563" s="22" t="n">
        <x:f>IF(T563="Ready",ROUND(Q563-M563,2),"n.a.")</x:f>
        <x:v>0</x:v>
      </x:c>
      <x:c r="S563" s="22" t="n">
        <x:f>IF(T563="Ready",MAX(0,ROUND(I563+M563-Q563,2)),"n.a.")</x:f>
        <x:v>0</x:v>
      </x:c>
      <x:c r="T563" s="22" t="str">
        <x:f>IF(AND(COUNT($I$562:$I$566)=5,COUNT(E563:F563)=2),IF(E563&gt;=F563,"Ready","Budget below minima"),"Check inputs")</x:f>
        <x:v>Ready</x:v>
      </x:c>
      <x:c r="U563" s="22" t="n">
        <x:f>IF(COUNT(I563,M563,N563)=3,MAX(0,ROUND(I563+M563-N563,2)),"n.a.")</x:f>
        <x:v>0</x:v>
      </x:c>
    </x:row>
    <x:row r="564" ht="22" customHeight="1">
      <x:c r="A564" s="2"/>
      <x:c r="B564" s="2"/>
      <x:c r="C564" s="27" t="n">
        <x:f>112</x:f>
        <x:v>112</x:v>
      </x:c>
      <x:c r="D564" s="28" t="n">
        <x:f>IF(ISNUMBER('Inputs'!$D$7),EDATE('Inputs'!$D$7,111),"n.a.")</x:f>
        <x:v>49706</x:v>
      </x:c>
      <x:c r="E564" s="26" t="n">
        <x:f>IF('Inputs'!$D$9&lt;&gt;"Ready","n.a.",IF(ISNUMBER('Inputs'!E130),IF('Inputs'!E130&gt;=0,'Inputs'!E130,"n.a."),IF('Inputs'!E130="",'Inputs'!$D$6,"n.a.")))</x:f>
        <x:v>500</x:v>
      </x:c>
      <x:c r="F564" s="22" t="n">
        <x:f>IF(COUNT($N$562:$N$566)=5,SUM($N$562:$N$566),"n.a.")</x:f>
        <x:v>0</x:v>
      </x:c>
      <x:c r="G564" s="22" t="n">
        <x:f>IF(COUNT(E564:F564)=2,MAX(0,E564-F564),"n.a.")</x:f>
        <x:v>500</x:v>
      </x:c>
      <x:c r="H564" s="26" t="str">
        <x:f>'Inputs'!C13</x:f>
        <x:v>Loan C</x:v>
      </x:c>
      <x:c r="I564" s="26" t="n">
        <x:f>S559</x:f>
        <x:v>0</x:v>
      </x:c>
      <x:c r="J564" s="29" t="n">
        <x:f>IF('Inputs'!$D$9="Ready",'Inputs'!E13,"n.a.")</x:f>
        <x:v>0.08</x:v>
      </x:c>
      <x:c r="K564" s="26" t="n">
        <x:f>IF('Inputs'!$D$9="Ready",'Inputs'!F13,"n.a.")</x:f>
        <x:v>150</x:v>
      </x:c>
      <x:c r="L564" s="29" t="n">
        <x:f>IF('Inputs'!$D$9="Ready",'Inputs'!G13,"n.a.")</x:f>
        <x:v>0</x:v>
      </x:c>
      <x:c r="M564" s="22" t="n">
        <x:f>IF(COUNT(I564:L564)=4,ROUND(I564*J564/12,2),"n.a.")</x:f>
        <x:v>0</x:v>
      </x:c>
      <x:c r="N564" s="22" t="n">
        <x:f>IF(COUNT(I564:M564)=5,MIN(I564+M564,ROUND(MAX(K564,I564*L564+M564),2)),"n.a.")</x:f>
        <x:v>0</x:v>
      </x:c>
      <x:c r="O564" s="30" t="n">
        <x:f>IF(COUNT($I$562:$I$566)&lt;&gt;5,"n.a.",IF(I564=0,6,IF('Inputs'!$D$5=1,COUNTIFS($I$562:$I$566,"&gt;0",$I$562:$I$566,"&lt;"&amp;I564)+COUNTIFS($I$562:I564,I564),COUNTIFS($I$562:$I$566,"&gt;0",$J$562:$J$566,"&gt;"&amp;J564)+COUNTIFS($I$562:I564,"&gt;0",$J$562:J564,J564))))</x:f>
        <x:v>6</x:v>
      </x:c>
      <x:c r="P564" s="22" t="n">
        <x:f>IF(T564="Ready",MIN(U564,MAX(0,G564-SUMIFS($U$562:$U$566,$O$562:$O$566,"&lt;"&amp;O564))),"n.a.")</x:f>
        <x:v>0</x:v>
      </x:c>
      <x:c r="Q564" s="22" t="n">
        <x:f>IF(T564="Ready",ROUND(N564+P564,2),"n.a.")</x:f>
        <x:v>0</x:v>
      </x:c>
      <x:c r="R564" s="22" t="n">
        <x:f>IF(T564="Ready",ROUND(Q564-M564,2),"n.a.")</x:f>
        <x:v>0</x:v>
      </x:c>
      <x:c r="S564" s="22" t="n">
        <x:f>IF(T564="Ready",MAX(0,ROUND(I564+M564-Q564,2)),"n.a.")</x:f>
        <x:v>0</x:v>
      </x:c>
      <x:c r="T564" s="22" t="str">
        <x:f>IF(AND(COUNT($I$562:$I$566)=5,COUNT(E564:F564)=2),IF(E564&gt;=F564,"Ready","Budget below minima"),"Check inputs")</x:f>
        <x:v>Ready</x:v>
      </x:c>
      <x:c r="U564" s="22" t="n">
        <x:f>IF(COUNT(I564,M564,N564)=3,MAX(0,ROUND(I564+M564-N564,2)),"n.a.")</x:f>
        <x:v>0</x:v>
      </x:c>
    </x:row>
    <x:row r="565" ht="22" customHeight="1">
      <x:c r="A565" s="2"/>
      <x:c r="B565" s="2"/>
      <x:c r="C565" s="27" t="n">
        <x:f>112</x:f>
        <x:v>112</x:v>
      </x:c>
      <x:c r="D565" s="28" t="n">
        <x:f>IF(ISNUMBER('Inputs'!$D$7),EDATE('Inputs'!$D$7,111),"n.a.")</x:f>
        <x:v>49706</x:v>
      </x:c>
      <x:c r="E565" s="26" t="n">
        <x:f>IF('Inputs'!$D$9&lt;&gt;"Ready","n.a.",IF(ISNUMBER('Inputs'!E130),IF('Inputs'!E130&gt;=0,'Inputs'!E130,"n.a."),IF('Inputs'!E130="",'Inputs'!$D$6,"n.a.")))</x:f>
        <x:v>500</x:v>
      </x:c>
      <x:c r="F565" s="22" t="n">
        <x:f>IF(COUNT($N$562:$N$566)=5,SUM($N$562:$N$566),"n.a.")</x:f>
        <x:v>0</x:v>
      </x:c>
      <x:c r="G565" s="22" t="n">
        <x:f>IF(COUNT(E565:F565)=2,MAX(0,E565-F565),"n.a.")</x:f>
        <x:v>500</x:v>
      </x:c>
      <x:c r="H565" s="26" t="str">
        <x:f>'Inputs'!C14</x:f>
        <x:v>Unused 4</x:v>
      </x:c>
      <x:c r="I565" s="26" t="n">
        <x:f>S560</x:f>
        <x:v>0</x:v>
      </x:c>
      <x:c r="J565" s="29" t="n">
        <x:f>IF('Inputs'!$D$9="Ready",'Inputs'!E14,"n.a.")</x:f>
        <x:v>0</x:v>
      </x:c>
      <x:c r="K565" s="26" t="n">
        <x:f>IF('Inputs'!$D$9="Ready",'Inputs'!F14,"n.a.")</x:f>
        <x:v>0</x:v>
      </x:c>
      <x:c r="L565" s="29" t="n">
        <x:f>IF('Inputs'!$D$9="Ready",'Inputs'!G14,"n.a.")</x:f>
        <x:v>0</x:v>
      </x:c>
      <x:c r="M565" s="22" t="n">
        <x:f>IF(COUNT(I565:L565)=4,ROUND(I565*J565/12,2),"n.a.")</x:f>
        <x:v>0</x:v>
      </x:c>
      <x:c r="N565" s="22" t="n">
        <x:f>IF(COUNT(I565:M565)=5,MIN(I565+M565,ROUND(MAX(K565,I565*L565+M565),2)),"n.a.")</x:f>
        <x:v>0</x:v>
      </x:c>
      <x:c r="O565" s="30" t="n">
        <x:f>IF(COUNT($I$562:$I$566)&lt;&gt;5,"n.a.",IF(I565=0,6,IF('Inputs'!$D$5=1,COUNTIFS($I$562:$I$566,"&gt;0",$I$562:$I$566,"&lt;"&amp;I565)+COUNTIFS($I$562:I565,I565),COUNTIFS($I$562:$I$566,"&gt;0",$J$562:$J$566,"&gt;"&amp;J565)+COUNTIFS($I$562:I565,"&gt;0",$J$562:J565,J565))))</x:f>
        <x:v>6</x:v>
      </x:c>
      <x:c r="P565" s="22" t="n">
        <x:f>IF(T565="Ready",MIN(U565,MAX(0,G565-SUMIFS($U$562:$U$566,$O$562:$O$566,"&lt;"&amp;O565))),"n.a.")</x:f>
        <x:v>0</x:v>
      </x:c>
      <x:c r="Q565" s="22" t="n">
        <x:f>IF(T565="Ready",ROUND(N565+P565,2),"n.a.")</x:f>
        <x:v>0</x:v>
      </x:c>
      <x:c r="R565" s="22" t="n">
        <x:f>IF(T565="Ready",ROUND(Q565-M565,2),"n.a.")</x:f>
        <x:v>0</x:v>
      </x:c>
      <x:c r="S565" s="22" t="n">
        <x:f>IF(T565="Ready",MAX(0,ROUND(I565+M565-Q565,2)),"n.a.")</x:f>
        <x:v>0</x:v>
      </x:c>
      <x:c r="T565" s="22" t="str">
        <x:f>IF(AND(COUNT($I$562:$I$566)=5,COUNT(E565:F565)=2),IF(E565&gt;=F565,"Ready","Budget below minima"),"Check inputs")</x:f>
        <x:v>Ready</x:v>
      </x:c>
      <x:c r="U565" s="22" t="n">
        <x:f>IF(COUNT(I565,M565,N565)=3,MAX(0,ROUND(I565+M565-N565,2)),"n.a.")</x:f>
        <x:v>0</x:v>
      </x:c>
    </x:row>
    <x:row r="566" ht="22" customHeight="1">
      <x:c r="A566" s="2"/>
      <x:c r="B566" s="2"/>
      <x:c r="C566" s="27" t="n">
        <x:f>112</x:f>
        <x:v>112</x:v>
      </x:c>
      <x:c r="D566" s="28" t="n">
        <x:f>IF(ISNUMBER('Inputs'!$D$7),EDATE('Inputs'!$D$7,111),"n.a.")</x:f>
        <x:v>49706</x:v>
      </x:c>
      <x:c r="E566" s="26" t="n">
        <x:f>IF('Inputs'!$D$9&lt;&gt;"Ready","n.a.",IF(ISNUMBER('Inputs'!E130),IF('Inputs'!E130&gt;=0,'Inputs'!E130,"n.a."),IF('Inputs'!E130="",'Inputs'!$D$6,"n.a.")))</x:f>
        <x:v>500</x:v>
      </x:c>
      <x:c r="F566" s="22" t="n">
        <x:f>IF(COUNT($N$562:$N$566)=5,SUM($N$562:$N$566),"n.a.")</x:f>
        <x:v>0</x:v>
      </x:c>
      <x:c r="G566" s="22" t="n">
        <x:f>IF(COUNT(E566:F566)=2,MAX(0,E566-F566),"n.a.")</x:f>
        <x:v>500</x:v>
      </x:c>
      <x:c r="H566" s="26" t="str">
        <x:f>'Inputs'!C15</x:f>
        <x:v>Unused 5</x:v>
      </x:c>
      <x:c r="I566" s="26" t="n">
        <x:f>S561</x:f>
        <x:v>0</x:v>
      </x:c>
      <x:c r="J566" s="29" t="n">
        <x:f>IF('Inputs'!$D$9="Ready",'Inputs'!E15,"n.a.")</x:f>
        <x:v>0</x:v>
      </x:c>
      <x:c r="K566" s="26" t="n">
        <x:f>IF('Inputs'!$D$9="Ready",'Inputs'!F15,"n.a.")</x:f>
        <x:v>0</x:v>
      </x:c>
      <x:c r="L566" s="29" t="n">
        <x:f>IF('Inputs'!$D$9="Ready",'Inputs'!G15,"n.a.")</x:f>
        <x:v>0</x:v>
      </x:c>
      <x:c r="M566" s="22" t="n">
        <x:f>IF(COUNT(I566:L566)=4,ROUND(I566*J566/12,2),"n.a.")</x:f>
        <x:v>0</x:v>
      </x:c>
      <x:c r="N566" s="22" t="n">
        <x:f>IF(COUNT(I566:M566)=5,MIN(I566+M566,ROUND(MAX(K566,I566*L566+M566),2)),"n.a.")</x:f>
        <x:v>0</x:v>
      </x:c>
      <x:c r="O566" s="30" t="n">
        <x:f>IF(COUNT($I$562:$I$566)&lt;&gt;5,"n.a.",IF(I566=0,6,IF('Inputs'!$D$5=1,COUNTIFS($I$562:$I$566,"&gt;0",$I$562:$I$566,"&lt;"&amp;I566)+COUNTIFS($I$562:I566,I566),COUNTIFS($I$562:$I$566,"&gt;0",$J$562:$J$566,"&gt;"&amp;J566)+COUNTIFS($I$562:I566,"&gt;0",$J$562:J566,J566))))</x:f>
        <x:v>6</x:v>
      </x:c>
      <x:c r="P566" s="22" t="n">
        <x:f>IF(T566="Ready",MIN(U566,MAX(0,G566-SUMIFS($U$562:$U$566,$O$562:$O$566,"&lt;"&amp;O566))),"n.a.")</x:f>
        <x:v>0</x:v>
      </x:c>
      <x:c r="Q566" s="22" t="n">
        <x:f>IF(T566="Ready",ROUND(N566+P566,2),"n.a.")</x:f>
        <x:v>0</x:v>
      </x:c>
      <x:c r="R566" s="22" t="n">
        <x:f>IF(T566="Ready",ROUND(Q566-M566,2),"n.a.")</x:f>
        <x:v>0</x:v>
      </x:c>
      <x:c r="S566" s="22" t="n">
        <x:f>IF(T566="Ready",MAX(0,ROUND(I566+M566-Q566,2)),"n.a.")</x:f>
        <x:v>0</x:v>
      </x:c>
      <x:c r="T566" s="22" t="str">
        <x:f>IF(AND(COUNT($I$562:$I$566)=5,COUNT(E566:F566)=2),IF(E566&gt;=F566,"Ready","Budget below minima"),"Check inputs")</x:f>
        <x:v>Ready</x:v>
      </x:c>
      <x:c r="U566" s="22" t="n">
        <x:f>IF(COUNT(I566,M566,N566)=3,MAX(0,ROUND(I566+M566-N566,2)),"n.a.")</x:f>
        <x:v>0</x:v>
      </x:c>
    </x:row>
    <x:row r="567" ht="22" customHeight="1">
      <x:c r="A567" s="2"/>
      <x:c r="B567" s="2"/>
      <x:c r="C567" s="27" t="n">
        <x:f>113</x:f>
        <x:v>113</x:v>
      </x:c>
      <x:c r="D567" s="28" t="n">
        <x:f>IF(ISNUMBER('Inputs'!$D$7),EDATE('Inputs'!$D$7,112),"n.a.")</x:f>
        <x:v>49735</x:v>
      </x:c>
      <x:c r="E567" s="26" t="n">
        <x:f>IF('Inputs'!$D$9&lt;&gt;"Ready","n.a.",IF(ISNUMBER('Inputs'!E131),IF('Inputs'!E131&gt;=0,'Inputs'!E131,"n.a."),IF('Inputs'!E131="",'Inputs'!$D$6,"n.a.")))</x:f>
        <x:v>500</x:v>
      </x:c>
      <x:c r="F567" s="22" t="n">
        <x:f>IF(COUNT($N$567:$N$571)=5,SUM($N$567:$N$571),"n.a.")</x:f>
        <x:v>0</x:v>
      </x:c>
      <x:c r="G567" s="22" t="n">
        <x:f>IF(COUNT(E567:F567)=2,MAX(0,E567-F567),"n.a.")</x:f>
        <x:v>500</x:v>
      </x:c>
      <x:c r="H567" s="26" t="str">
        <x:f>'Inputs'!C11</x:f>
        <x:v>Card A</x:v>
      </x:c>
      <x:c r="I567" s="26" t="n">
        <x:f>S562</x:f>
        <x:v>0</x:v>
      </x:c>
      <x:c r="J567" s="29" t="n">
        <x:f>IF('Inputs'!$D$9="Ready",'Inputs'!E11,"n.a.")</x:f>
        <x:v>0.24</x:v>
      </x:c>
      <x:c r="K567" s="26" t="n">
        <x:f>IF('Inputs'!$D$9="Ready",'Inputs'!F11,"n.a.")</x:f>
        <x:v>35</x:v>
      </x:c>
      <x:c r="L567" s="29" t="n">
        <x:f>IF('Inputs'!$D$9="Ready",'Inputs'!G11,"n.a.")</x:f>
        <x:v>0.02</x:v>
      </x:c>
      <x:c r="M567" s="22" t="n">
        <x:f>IF(COUNT(I567:L567)=4,ROUND(I567*J567/12,2),"n.a.")</x:f>
        <x:v>0</x:v>
      </x:c>
      <x:c r="N567" s="22" t="n">
        <x:f>IF(COUNT(I567:M567)=5,MIN(I567+M567,ROUND(MAX(K567,I567*L567+M567),2)),"n.a.")</x:f>
        <x:v>0</x:v>
      </x:c>
      <x:c r="O567" s="30" t="n">
        <x:f>IF(COUNT($I$567:$I$571)&lt;&gt;5,"n.a.",IF(I567=0,6,IF('Inputs'!$D$5=1,COUNTIFS($I$567:$I$571,"&gt;0",$I$567:$I$571,"&lt;"&amp;I567)+COUNTIFS($I$567:I567,I567),COUNTIFS($I$567:$I$571,"&gt;0",$J$567:$J$571,"&gt;"&amp;J567)+COUNTIFS($I$567:I567,"&gt;0",$J$567:J567,J567))))</x:f>
        <x:v>6</x:v>
      </x:c>
      <x:c r="P567" s="22" t="n">
        <x:f>IF(T567="Ready",MIN(U567,MAX(0,G567-SUMIFS($U$567:$U$571,$O$567:$O$571,"&lt;"&amp;O567))),"n.a.")</x:f>
        <x:v>0</x:v>
      </x:c>
      <x:c r="Q567" s="22" t="n">
        <x:f>IF(T567="Ready",ROUND(N567+P567,2),"n.a.")</x:f>
        <x:v>0</x:v>
      </x:c>
      <x:c r="R567" s="22" t="n">
        <x:f>IF(T567="Ready",ROUND(Q567-M567,2),"n.a.")</x:f>
        <x:v>0</x:v>
      </x:c>
      <x:c r="S567" s="22" t="n">
        <x:f>IF(T567="Ready",MAX(0,ROUND(I567+M567-Q567,2)),"n.a.")</x:f>
        <x:v>0</x:v>
      </x:c>
      <x:c r="T567" s="22" t="str">
        <x:f>IF(AND(COUNT($I$567:$I$571)=5,COUNT(E567:F567)=2),IF(E567&gt;=F567,"Ready","Budget below minima"),"Check inputs")</x:f>
        <x:v>Ready</x:v>
      </x:c>
      <x:c r="U567" s="22" t="n">
        <x:f>IF(COUNT(I567,M567,N567)=3,MAX(0,ROUND(I567+M567-N567,2)),"n.a.")</x:f>
        <x:v>0</x:v>
      </x:c>
    </x:row>
    <x:row r="568" ht="22" customHeight="1">
      <x:c r="A568" s="2"/>
      <x:c r="B568" s="2"/>
      <x:c r="C568" s="27" t="n">
        <x:f>113</x:f>
        <x:v>113</x:v>
      </x:c>
      <x:c r="D568" s="28" t="n">
        <x:f>IF(ISNUMBER('Inputs'!$D$7),EDATE('Inputs'!$D$7,112),"n.a.")</x:f>
        <x:v>49735</x:v>
      </x:c>
      <x:c r="E568" s="26" t="n">
        <x:f>IF('Inputs'!$D$9&lt;&gt;"Ready","n.a.",IF(ISNUMBER('Inputs'!E131),IF('Inputs'!E131&gt;=0,'Inputs'!E131,"n.a."),IF('Inputs'!E131="",'Inputs'!$D$6,"n.a.")))</x:f>
        <x:v>500</x:v>
      </x:c>
      <x:c r="F568" s="22" t="n">
        <x:f>IF(COUNT($N$567:$N$571)=5,SUM($N$567:$N$571),"n.a.")</x:f>
        <x:v>0</x:v>
      </x:c>
      <x:c r="G568" s="22" t="n">
        <x:f>IF(COUNT(E568:F568)=2,MAX(0,E568-F568),"n.a.")</x:f>
        <x:v>500</x:v>
      </x:c>
      <x:c r="H568" s="26" t="str">
        <x:f>'Inputs'!C12</x:f>
        <x:v>Card B</x:v>
      </x:c>
      <x:c r="I568" s="26" t="n">
        <x:f>S563</x:f>
        <x:v>0</x:v>
      </x:c>
      <x:c r="J568" s="29" t="n">
        <x:f>IF('Inputs'!$D$9="Ready",'Inputs'!E12,"n.a.")</x:f>
        <x:v>0.18</x:v>
      </x:c>
      <x:c r="K568" s="26" t="n">
        <x:f>IF('Inputs'!$D$9="Ready",'Inputs'!F12,"n.a.")</x:f>
        <x:v>60</x:v>
      </x:c>
      <x:c r="L568" s="29" t="n">
        <x:f>IF('Inputs'!$D$9="Ready",'Inputs'!G12,"n.a.")</x:f>
        <x:v>0.02</x:v>
      </x:c>
      <x:c r="M568" s="22" t="n">
        <x:f>IF(COUNT(I568:L568)=4,ROUND(I568*J568/12,2),"n.a.")</x:f>
        <x:v>0</x:v>
      </x:c>
      <x:c r="N568" s="22" t="n">
        <x:f>IF(COUNT(I568:M568)=5,MIN(I568+M568,ROUND(MAX(K568,I568*L568+M568),2)),"n.a.")</x:f>
        <x:v>0</x:v>
      </x:c>
      <x:c r="O568" s="30" t="n">
        <x:f>IF(COUNT($I$567:$I$571)&lt;&gt;5,"n.a.",IF(I568=0,6,IF('Inputs'!$D$5=1,COUNTIFS($I$567:$I$571,"&gt;0",$I$567:$I$571,"&lt;"&amp;I568)+COUNTIFS($I$567:I568,I568),COUNTIFS($I$567:$I$571,"&gt;0",$J$567:$J$571,"&gt;"&amp;J568)+COUNTIFS($I$567:I568,"&gt;0",$J$567:J568,J568))))</x:f>
        <x:v>6</x:v>
      </x:c>
      <x:c r="P568" s="22" t="n">
        <x:f>IF(T568="Ready",MIN(U568,MAX(0,G568-SUMIFS($U$567:$U$571,$O$567:$O$571,"&lt;"&amp;O568))),"n.a.")</x:f>
        <x:v>0</x:v>
      </x:c>
      <x:c r="Q568" s="22" t="n">
        <x:f>IF(T568="Ready",ROUND(N568+P568,2),"n.a.")</x:f>
        <x:v>0</x:v>
      </x:c>
      <x:c r="R568" s="22" t="n">
        <x:f>IF(T568="Ready",ROUND(Q568-M568,2),"n.a.")</x:f>
        <x:v>0</x:v>
      </x:c>
      <x:c r="S568" s="22" t="n">
        <x:f>IF(T568="Ready",MAX(0,ROUND(I568+M568-Q568,2)),"n.a.")</x:f>
        <x:v>0</x:v>
      </x:c>
      <x:c r="T568" s="22" t="str">
        <x:f>IF(AND(COUNT($I$567:$I$571)=5,COUNT(E568:F568)=2),IF(E568&gt;=F568,"Ready","Budget below minima"),"Check inputs")</x:f>
        <x:v>Ready</x:v>
      </x:c>
      <x:c r="U568" s="22" t="n">
        <x:f>IF(COUNT(I568,M568,N568)=3,MAX(0,ROUND(I568+M568-N568,2)),"n.a.")</x:f>
        <x:v>0</x:v>
      </x:c>
    </x:row>
    <x:row r="569" ht="22" customHeight="1">
      <x:c r="A569" s="2"/>
      <x:c r="B569" s="2"/>
      <x:c r="C569" s="27" t="n">
        <x:f>113</x:f>
        <x:v>113</x:v>
      </x:c>
      <x:c r="D569" s="28" t="n">
        <x:f>IF(ISNUMBER('Inputs'!$D$7),EDATE('Inputs'!$D$7,112),"n.a.")</x:f>
        <x:v>49735</x:v>
      </x:c>
      <x:c r="E569" s="26" t="n">
        <x:f>IF('Inputs'!$D$9&lt;&gt;"Ready","n.a.",IF(ISNUMBER('Inputs'!E131),IF('Inputs'!E131&gt;=0,'Inputs'!E131,"n.a."),IF('Inputs'!E131="",'Inputs'!$D$6,"n.a.")))</x:f>
        <x:v>500</x:v>
      </x:c>
      <x:c r="F569" s="22" t="n">
        <x:f>IF(COUNT($N$567:$N$571)=5,SUM($N$567:$N$571),"n.a.")</x:f>
        <x:v>0</x:v>
      </x:c>
      <x:c r="G569" s="22" t="n">
        <x:f>IF(COUNT(E569:F569)=2,MAX(0,E569-F569),"n.a.")</x:f>
        <x:v>500</x:v>
      </x:c>
      <x:c r="H569" s="26" t="str">
        <x:f>'Inputs'!C13</x:f>
        <x:v>Loan C</x:v>
      </x:c>
      <x:c r="I569" s="26" t="n">
        <x:f>S564</x:f>
        <x:v>0</x:v>
      </x:c>
      <x:c r="J569" s="29" t="n">
        <x:f>IF('Inputs'!$D$9="Ready",'Inputs'!E13,"n.a.")</x:f>
        <x:v>0.08</x:v>
      </x:c>
      <x:c r="K569" s="26" t="n">
        <x:f>IF('Inputs'!$D$9="Ready",'Inputs'!F13,"n.a.")</x:f>
        <x:v>150</x:v>
      </x:c>
      <x:c r="L569" s="29" t="n">
        <x:f>IF('Inputs'!$D$9="Ready",'Inputs'!G13,"n.a.")</x:f>
        <x:v>0</x:v>
      </x:c>
      <x:c r="M569" s="22" t="n">
        <x:f>IF(COUNT(I569:L569)=4,ROUND(I569*J569/12,2),"n.a.")</x:f>
        <x:v>0</x:v>
      </x:c>
      <x:c r="N569" s="22" t="n">
        <x:f>IF(COUNT(I569:M569)=5,MIN(I569+M569,ROUND(MAX(K569,I569*L569+M569),2)),"n.a.")</x:f>
        <x:v>0</x:v>
      </x:c>
      <x:c r="O569" s="30" t="n">
        <x:f>IF(COUNT($I$567:$I$571)&lt;&gt;5,"n.a.",IF(I569=0,6,IF('Inputs'!$D$5=1,COUNTIFS($I$567:$I$571,"&gt;0",$I$567:$I$571,"&lt;"&amp;I569)+COUNTIFS($I$567:I569,I569),COUNTIFS($I$567:$I$571,"&gt;0",$J$567:$J$571,"&gt;"&amp;J569)+COUNTIFS($I$567:I569,"&gt;0",$J$567:J569,J569))))</x:f>
        <x:v>6</x:v>
      </x:c>
      <x:c r="P569" s="22" t="n">
        <x:f>IF(T569="Ready",MIN(U569,MAX(0,G569-SUMIFS($U$567:$U$571,$O$567:$O$571,"&lt;"&amp;O569))),"n.a.")</x:f>
        <x:v>0</x:v>
      </x:c>
      <x:c r="Q569" s="22" t="n">
        <x:f>IF(T569="Ready",ROUND(N569+P569,2),"n.a.")</x:f>
        <x:v>0</x:v>
      </x:c>
      <x:c r="R569" s="22" t="n">
        <x:f>IF(T569="Ready",ROUND(Q569-M569,2),"n.a.")</x:f>
        <x:v>0</x:v>
      </x:c>
      <x:c r="S569" s="22" t="n">
        <x:f>IF(T569="Ready",MAX(0,ROUND(I569+M569-Q569,2)),"n.a.")</x:f>
        <x:v>0</x:v>
      </x:c>
      <x:c r="T569" s="22" t="str">
        <x:f>IF(AND(COUNT($I$567:$I$571)=5,COUNT(E569:F569)=2),IF(E569&gt;=F569,"Ready","Budget below minima"),"Check inputs")</x:f>
        <x:v>Ready</x:v>
      </x:c>
      <x:c r="U569" s="22" t="n">
        <x:f>IF(COUNT(I569,M569,N569)=3,MAX(0,ROUND(I569+M569-N569,2)),"n.a.")</x:f>
        <x:v>0</x:v>
      </x:c>
    </x:row>
    <x:row r="570" ht="22" customHeight="1">
      <x:c r="A570" s="2"/>
      <x:c r="B570" s="2"/>
      <x:c r="C570" s="27" t="n">
        <x:f>113</x:f>
        <x:v>113</x:v>
      </x:c>
      <x:c r="D570" s="28" t="n">
        <x:f>IF(ISNUMBER('Inputs'!$D$7),EDATE('Inputs'!$D$7,112),"n.a.")</x:f>
        <x:v>49735</x:v>
      </x:c>
      <x:c r="E570" s="26" t="n">
        <x:f>IF('Inputs'!$D$9&lt;&gt;"Ready","n.a.",IF(ISNUMBER('Inputs'!E131),IF('Inputs'!E131&gt;=0,'Inputs'!E131,"n.a."),IF('Inputs'!E131="",'Inputs'!$D$6,"n.a.")))</x:f>
        <x:v>500</x:v>
      </x:c>
      <x:c r="F570" s="22" t="n">
        <x:f>IF(COUNT($N$567:$N$571)=5,SUM($N$567:$N$571),"n.a.")</x:f>
        <x:v>0</x:v>
      </x:c>
      <x:c r="G570" s="22" t="n">
        <x:f>IF(COUNT(E570:F570)=2,MAX(0,E570-F570),"n.a.")</x:f>
        <x:v>500</x:v>
      </x:c>
      <x:c r="H570" s="26" t="str">
        <x:f>'Inputs'!C14</x:f>
        <x:v>Unused 4</x:v>
      </x:c>
      <x:c r="I570" s="26" t="n">
        <x:f>S565</x:f>
        <x:v>0</x:v>
      </x:c>
      <x:c r="J570" s="29" t="n">
        <x:f>IF('Inputs'!$D$9="Ready",'Inputs'!E14,"n.a.")</x:f>
        <x:v>0</x:v>
      </x:c>
      <x:c r="K570" s="26" t="n">
        <x:f>IF('Inputs'!$D$9="Ready",'Inputs'!F14,"n.a.")</x:f>
        <x:v>0</x:v>
      </x:c>
      <x:c r="L570" s="29" t="n">
        <x:f>IF('Inputs'!$D$9="Ready",'Inputs'!G14,"n.a.")</x:f>
        <x:v>0</x:v>
      </x:c>
      <x:c r="M570" s="22" t="n">
        <x:f>IF(COUNT(I570:L570)=4,ROUND(I570*J570/12,2),"n.a.")</x:f>
        <x:v>0</x:v>
      </x:c>
      <x:c r="N570" s="22" t="n">
        <x:f>IF(COUNT(I570:M570)=5,MIN(I570+M570,ROUND(MAX(K570,I570*L570+M570),2)),"n.a.")</x:f>
        <x:v>0</x:v>
      </x:c>
      <x:c r="O570" s="30" t="n">
        <x:f>IF(COUNT($I$567:$I$571)&lt;&gt;5,"n.a.",IF(I570=0,6,IF('Inputs'!$D$5=1,COUNTIFS($I$567:$I$571,"&gt;0",$I$567:$I$571,"&lt;"&amp;I570)+COUNTIFS($I$567:I570,I570),COUNTIFS($I$567:$I$571,"&gt;0",$J$567:$J$571,"&gt;"&amp;J570)+COUNTIFS($I$567:I570,"&gt;0",$J$567:J570,J570))))</x:f>
        <x:v>6</x:v>
      </x:c>
      <x:c r="P570" s="22" t="n">
        <x:f>IF(T570="Ready",MIN(U570,MAX(0,G570-SUMIFS($U$567:$U$571,$O$567:$O$571,"&lt;"&amp;O570))),"n.a.")</x:f>
        <x:v>0</x:v>
      </x:c>
      <x:c r="Q570" s="22" t="n">
        <x:f>IF(T570="Ready",ROUND(N570+P570,2),"n.a.")</x:f>
        <x:v>0</x:v>
      </x:c>
      <x:c r="R570" s="22" t="n">
        <x:f>IF(T570="Ready",ROUND(Q570-M570,2),"n.a.")</x:f>
        <x:v>0</x:v>
      </x:c>
      <x:c r="S570" s="22" t="n">
        <x:f>IF(T570="Ready",MAX(0,ROUND(I570+M570-Q570,2)),"n.a.")</x:f>
        <x:v>0</x:v>
      </x:c>
      <x:c r="T570" s="22" t="str">
        <x:f>IF(AND(COUNT($I$567:$I$571)=5,COUNT(E570:F570)=2),IF(E570&gt;=F570,"Ready","Budget below minima"),"Check inputs")</x:f>
        <x:v>Ready</x:v>
      </x:c>
      <x:c r="U570" s="22" t="n">
        <x:f>IF(COUNT(I570,M570,N570)=3,MAX(0,ROUND(I570+M570-N570,2)),"n.a.")</x:f>
        <x:v>0</x:v>
      </x:c>
    </x:row>
    <x:row r="571" ht="22" customHeight="1">
      <x:c r="A571" s="2"/>
      <x:c r="B571" s="2"/>
      <x:c r="C571" s="27" t="n">
        <x:f>113</x:f>
        <x:v>113</x:v>
      </x:c>
      <x:c r="D571" s="28" t="n">
        <x:f>IF(ISNUMBER('Inputs'!$D$7),EDATE('Inputs'!$D$7,112),"n.a.")</x:f>
        <x:v>49735</x:v>
      </x:c>
      <x:c r="E571" s="26" t="n">
        <x:f>IF('Inputs'!$D$9&lt;&gt;"Ready","n.a.",IF(ISNUMBER('Inputs'!E131),IF('Inputs'!E131&gt;=0,'Inputs'!E131,"n.a."),IF('Inputs'!E131="",'Inputs'!$D$6,"n.a.")))</x:f>
        <x:v>500</x:v>
      </x:c>
      <x:c r="F571" s="22" t="n">
        <x:f>IF(COUNT($N$567:$N$571)=5,SUM($N$567:$N$571),"n.a.")</x:f>
        <x:v>0</x:v>
      </x:c>
      <x:c r="G571" s="22" t="n">
        <x:f>IF(COUNT(E571:F571)=2,MAX(0,E571-F571),"n.a.")</x:f>
        <x:v>500</x:v>
      </x:c>
      <x:c r="H571" s="26" t="str">
        <x:f>'Inputs'!C15</x:f>
        <x:v>Unused 5</x:v>
      </x:c>
      <x:c r="I571" s="26" t="n">
        <x:f>S566</x:f>
        <x:v>0</x:v>
      </x:c>
      <x:c r="J571" s="29" t="n">
        <x:f>IF('Inputs'!$D$9="Ready",'Inputs'!E15,"n.a.")</x:f>
        <x:v>0</x:v>
      </x:c>
      <x:c r="K571" s="26" t="n">
        <x:f>IF('Inputs'!$D$9="Ready",'Inputs'!F15,"n.a.")</x:f>
        <x:v>0</x:v>
      </x:c>
      <x:c r="L571" s="29" t="n">
        <x:f>IF('Inputs'!$D$9="Ready",'Inputs'!G15,"n.a.")</x:f>
        <x:v>0</x:v>
      </x:c>
      <x:c r="M571" s="22" t="n">
        <x:f>IF(COUNT(I571:L571)=4,ROUND(I571*J571/12,2),"n.a.")</x:f>
        <x:v>0</x:v>
      </x:c>
      <x:c r="N571" s="22" t="n">
        <x:f>IF(COUNT(I571:M571)=5,MIN(I571+M571,ROUND(MAX(K571,I571*L571+M571),2)),"n.a.")</x:f>
        <x:v>0</x:v>
      </x:c>
      <x:c r="O571" s="30" t="n">
        <x:f>IF(COUNT($I$567:$I$571)&lt;&gt;5,"n.a.",IF(I571=0,6,IF('Inputs'!$D$5=1,COUNTIFS($I$567:$I$571,"&gt;0",$I$567:$I$571,"&lt;"&amp;I571)+COUNTIFS($I$567:I571,I571),COUNTIFS($I$567:$I$571,"&gt;0",$J$567:$J$571,"&gt;"&amp;J571)+COUNTIFS($I$567:I571,"&gt;0",$J$567:J571,J571))))</x:f>
        <x:v>6</x:v>
      </x:c>
      <x:c r="P571" s="22" t="n">
        <x:f>IF(T571="Ready",MIN(U571,MAX(0,G571-SUMIFS($U$567:$U$571,$O$567:$O$571,"&lt;"&amp;O571))),"n.a.")</x:f>
        <x:v>0</x:v>
      </x:c>
      <x:c r="Q571" s="22" t="n">
        <x:f>IF(T571="Ready",ROUND(N571+P571,2),"n.a.")</x:f>
        <x:v>0</x:v>
      </x:c>
      <x:c r="R571" s="22" t="n">
        <x:f>IF(T571="Ready",ROUND(Q571-M571,2),"n.a.")</x:f>
        <x:v>0</x:v>
      </x:c>
      <x:c r="S571" s="22" t="n">
        <x:f>IF(T571="Ready",MAX(0,ROUND(I571+M571-Q571,2)),"n.a.")</x:f>
        <x:v>0</x:v>
      </x:c>
      <x:c r="T571" s="22" t="str">
        <x:f>IF(AND(COUNT($I$567:$I$571)=5,COUNT(E571:F571)=2),IF(E571&gt;=F571,"Ready","Budget below minima"),"Check inputs")</x:f>
        <x:v>Ready</x:v>
      </x:c>
      <x:c r="U571" s="22" t="n">
        <x:f>IF(COUNT(I571,M571,N571)=3,MAX(0,ROUND(I571+M571-N571,2)),"n.a.")</x:f>
        <x:v>0</x:v>
      </x:c>
    </x:row>
    <x:row r="572" ht="22" customHeight="1">
      <x:c r="A572" s="2"/>
      <x:c r="B572" s="2"/>
      <x:c r="C572" s="27" t="n">
        <x:f>114</x:f>
        <x:v>114</x:v>
      </x:c>
      <x:c r="D572" s="28" t="n">
        <x:f>IF(ISNUMBER('Inputs'!$D$7),EDATE('Inputs'!$D$7,113),"n.a.")</x:f>
        <x:v>49766</x:v>
      </x:c>
      <x:c r="E572" s="26" t="n">
        <x:f>IF('Inputs'!$D$9&lt;&gt;"Ready","n.a.",IF(ISNUMBER('Inputs'!E132),IF('Inputs'!E132&gt;=0,'Inputs'!E132,"n.a."),IF('Inputs'!E132="",'Inputs'!$D$6,"n.a.")))</x:f>
        <x:v>500</x:v>
      </x:c>
      <x:c r="F572" s="22" t="n">
        <x:f>IF(COUNT($N$572:$N$576)=5,SUM($N$572:$N$576),"n.a.")</x:f>
        <x:v>0</x:v>
      </x:c>
      <x:c r="G572" s="22" t="n">
        <x:f>IF(COUNT(E572:F572)=2,MAX(0,E572-F572),"n.a.")</x:f>
        <x:v>500</x:v>
      </x:c>
      <x:c r="H572" s="26" t="str">
        <x:f>'Inputs'!C11</x:f>
        <x:v>Card A</x:v>
      </x:c>
      <x:c r="I572" s="26" t="n">
        <x:f>S567</x:f>
        <x:v>0</x:v>
      </x:c>
      <x:c r="J572" s="29" t="n">
        <x:f>IF('Inputs'!$D$9="Ready",'Inputs'!E11,"n.a.")</x:f>
        <x:v>0.24</x:v>
      </x:c>
      <x:c r="K572" s="26" t="n">
        <x:f>IF('Inputs'!$D$9="Ready",'Inputs'!F11,"n.a.")</x:f>
        <x:v>35</x:v>
      </x:c>
      <x:c r="L572" s="29" t="n">
        <x:f>IF('Inputs'!$D$9="Ready",'Inputs'!G11,"n.a.")</x:f>
        <x:v>0.02</x:v>
      </x:c>
      <x:c r="M572" s="22" t="n">
        <x:f>IF(COUNT(I572:L572)=4,ROUND(I572*J572/12,2),"n.a.")</x:f>
        <x:v>0</x:v>
      </x:c>
      <x:c r="N572" s="22" t="n">
        <x:f>IF(COUNT(I572:M572)=5,MIN(I572+M572,ROUND(MAX(K572,I572*L572+M572),2)),"n.a.")</x:f>
        <x:v>0</x:v>
      </x:c>
      <x:c r="O572" s="30" t="n">
        <x:f>IF(COUNT($I$572:$I$576)&lt;&gt;5,"n.a.",IF(I572=0,6,IF('Inputs'!$D$5=1,COUNTIFS($I$572:$I$576,"&gt;0",$I$572:$I$576,"&lt;"&amp;I572)+COUNTIFS($I$572:I572,I572),COUNTIFS($I$572:$I$576,"&gt;0",$J$572:$J$576,"&gt;"&amp;J572)+COUNTIFS($I$572:I572,"&gt;0",$J$572:J572,J572))))</x:f>
        <x:v>6</x:v>
      </x:c>
      <x:c r="P572" s="22" t="n">
        <x:f>IF(T572="Ready",MIN(U572,MAX(0,G572-SUMIFS($U$572:$U$576,$O$572:$O$576,"&lt;"&amp;O572))),"n.a.")</x:f>
        <x:v>0</x:v>
      </x:c>
      <x:c r="Q572" s="22" t="n">
        <x:f>IF(T572="Ready",ROUND(N572+P572,2),"n.a.")</x:f>
        <x:v>0</x:v>
      </x:c>
      <x:c r="R572" s="22" t="n">
        <x:f>IF(T572="Ready",ROUND(Q572-M572,2),"n.a.")</x:f>
        <x:v>0</x:v>
      </x:c>
      <x:c r="S572" s="22" t="n">
        <x:f>IF(T572="Ready",MAX(0,ROUND(I572+M572-Q572,2)),"n.a.")</x:f>
        <x:v>0</x:v>
      </x:c>
      <x:c r="T572" s="22" t="str">
        <x:f>IF(AND(COUNT($I$572:$I$576)=5,COUNT(E572:F572)=2),IF(E572&gt;=F572,"Ready","Budget below minima"),"Check inputs")</x:f>
        <x:v>Ready</x:v>
      </x:c>
      <x:c r="U572" s="22" t="n">
        <x:f>IF(COUNT(I572,M572,N572)=3,MAX(0,ROUND(I572+M572-N572,2)),"n.a.")</x:f>
        <x:v>0</x:v>
      </x:c>
    </x:row>
    <x:row r="573" ht="22" customHeight="1">
      <x:c r="A573" s="2"/>
      <x:c r="B573" s="2"/>
      <x:c r="C573" s="27" t="n">
        <x:f>114</x:f>
        <x:v>114</x:v>
      </x:c>
      <x:c r="D573" s="28" t="n">
        <x:f>IF(ISNUMBER('Inputs'!$D$7),EDATE('Inputs'!$D$7,113),"n.a.")</x:f>
        <x:v>49766</x:v>
      </x:c>
      <x:c r="E573" s="26" t="n">
        <x:f>IF('Inputs'!$D$9&lt;&gt;"Ready","n.a.",IF(ISNUMBER('Inputs'!E132),IF('Inputs'!E132&gt;=0,'Inputs'!E132,"n.a."),IF('Inputs'!E132="",'Inputs'!$D$6,"n.a.")))</x:f>
        <x:v>500</x:v>
      </x:c>
      <x:c r="F573" s="22" t="n">
        <x:f>IF(COUNT($N$572:$N$576)=5,SUM($N$572:$N$576),"n.a.")</x:f>
        <x:v>0</x:v>
      </x:c>
      <x:c r="G573" s="22" t="n">
        <x:f>IF(COUNT(E573:F573)=2,MAX(0,E573-F573),"n.a.")</x:f>
        <x:v>500</x:v>
      </x:c>
      <x:c r="H573" s="26" t="str">
        <x:f>'Inputs'!C12</x:f>
        <x:v>Card B</x:v>
      </x:c>
      <x:c r="I573" s="26" t="n">
        <x:f>S568</x:f>
        <x:v>0</x:v>
      </x:c>
      <x:c r="J573" s="29" t="n">
        <x:f>IF('Inputs'!$D$9="Ready",'Inputs'!E12,"n.a.")</x:f>
        <x:v>0.18</x:v>
      </x:c>
      <x:c r="K573" s="26" t="n">
        <x:f>IF('Inputs'!$D$9="Ready",'Inputs'!F12,"n.a.")</x:f>
        <x:v>60</x:v>
      </x:c>
      <x:c r="L573" s="29" t="n">
        <x:f>IF('Inputs'!$D$9="Ready",'Inputs'!G12,"n.a.")</x:f>
        <x:v>0.02</x:v>
      </x:c>
      <x:c r="M573" s="22" t="n">
        <x:f>IF(COUNT(I573:L573)=4,ROUND(I573*J573/12,2),"n.a.")</x:f>
        <x:v>0</x:v>
      </x:c>
      <x:c r="N573" s="22" t="n">
        <x:f>IF(COUNT(I573:M573)=5,MIN(I573+M573,ROUND(MAX(K573,I573*L573+M573),2)),"n.a.")</x:f>
        <x:v>0</x:v>
      </x:c>
      <x:c r="O573" s="30" t="n">
        <x:f>IF(COUNT($I$572:$I$576)&lt;&gt;5,"n.a.",IF(I573=0,6,IF('Inputs'!$D$5=1,COUNTIFS($I$572:$I$576,"&gt;0",$I$572:$I$576,"&lt;"&amp;I573)+COUNTIFS($I$572:I573,I573),COUNTIFS($I$572:$I$576,"&gt;0",$J$572:$J$576,"&gt;"&amp;J573)+COUNTIFS($I$572:I573,"&gt;0",$J$572:J573,J573))))</x:f>
        <x:v>6</x:v>
      </x:c>
      <x:c r="P573" s="22" t="n">
        <x:f>IF(T573="Ready",MIN(U573,MAX(0,G573-SUMIFS($U$572:$U$576,$O$572:$O$576,"&lt;"&amp;O573))),"n.a.")</x:f>
        <x:v>0</x:v>
      </x:c>
      <x:c r="Q573" s="22" t="n">
        <x:f>IF(T573="Ready",ROUND(N573+P573,2),"n.a.")</x:f>
        <x:v>0</x:v>
      </x:c>
      <x:c r="R573" s="22" t="n">
        <x:f>IF(T573="Ready",ROUND(Q573-M573,2),"n.a.")</x:f>
        <x:v>0</x:v>
      </x:c>
      <x:c r="S573" s="22" t="n">
        <x:f>IF(T573="Ready",MAX(0,ROUND(I573+M573-Q573,2)),"n.a.")</x:f>
        <x:v>0</x:v>
      </x:c>
      <x:c r="T573" s="22" t="str">
        <x:f>IF(AND(COUNT($I$572:$I$576)=5,COUNT(E573:F573)=2),IF(E573&gt;=F573,"Ready","Budget below minima"),"Check inputs")</x:f>
        <x:v>Ready</x:v>
      </x:c>
      <x:c r="U573" s="22" t="n">
        <x:f>IF(COUNT(I573,M573,N573)=3,MAX(0,ROUND(I573+M573-N573,2)),"n.a.")</x:f>
        <x:v>0</x:v>
      </x:c>
    </x:row>
    <x:row r="574" ht="22" customHeight="1">
      <x:c r="A574" s="2"/>
      <x:c r="B574" s="2"/>
      <x:c r="C574" s="27" t="n">
        <x:f>114</x:f>
        <x:v>114</x:v>
      </x:c>
      <x:c r="D574" s="28" t="n">
        <x:f>IF(ISNUMBER('Inputs'!$D$7),EDATE('Inputs'!$D$7,113),"n.a.")</x:f>
        <x:v>49766</x:v>
      </x:c>
      <x:c r="E574" s="26" t="n">
        <x:f>IF('Inputs'!$D$9&lt;&gt;"Ready","n.a.",IF(ISNUMBER('Inputs'!E132),IF('Inputs'!E132&gt;=0,'Inputs'!E132,"n.a."),IF('Inputs'!E132="",'Inputs'!$D$6,"n.a.")))</x:f>
        <x:v>500</x:v>
      </x:c>
      <x:c r="F574" s="22" t="n">
        <x:f>IF(COUNT($N$572:$N$576)=5,SUM($N$572:$N$576),"n.a.")</x:f>
        <x:v>0</x:v>
      </x:c>
      <x:c r="G574" s="22" t="n">
        <x:f>IF(COUNT(E574:F574)=2,MAX(0,E574-F574),"n.a.")</x:f>
        <x:v>500</x:v>
      </x:c>
      <x:c r="H574" s="26" t="str">
        <x:f>'Inputs'!C13</x:f>
        <x:v>Loan C</x:v>
      </x:c>
      <x:c r="I574" s="26" t="n">
        <x:f>S569</x:f>
        <x:v>0</x:v>
      </x:c>
      <x:c r="J574" s="29" t="n">
        <x:f>IF('Inputs'!$D$9="Ready",'Inputs'!E13,"n.a.")</x:f>
        <x:v>0.08</x:v>
      </x:c>
      <x:c r="K574" s="26" t="n">
        <x:f>IF('Inputs'!$D$9="Ready",'Inputs'!F13,"n.a.")</x:f>
        <x:v>150</x:v>
      </x:c>
      <x:c r="L574" s="29" t="n">
        <x:f>IF('Inputs'!$D$9="Ready",'Inputs'!G13,"n.a.")</x:f>
        <x:v>0</x:v>
      </x:c>
      <x:c r="M574" s="22" t="n">
        <x:f>IF(COUNT(I574:L574)=4,ROUND(I574*J574/12,2),"n.a.")</x:f>
        <x:v>0</x:v>
      </x:c>
      <x:c r="N574" s="22" t="n">
        <x:f>IF(COUNT(I574:M574)=5,MIN(I574+M574,ROUND(MAX(K574,I574*L574+M574),2)),"n.a.")</x:f>
        <x:v>0</x:v>
      </x:c>
      <x:c r="O574" s="30" t="n">
        <x:f>IF(COUNT($I$572:$I$576)&lt;&gt;5,"n.a.",IF(I574=0,6,IF('Inputs'!$D$5=1,COUNTIFS($I$572:$I$576,"&gt;0",$I$572:$I$576,"&lt;"&amp;I574)+COUNTIFS($I$572:I574,I574),COUNTIFS($I$572:$I$576,"&gt;0",$J$572:$J$576,"&gt;"&amp;J574)+COUNTIFS($I$572:I574,"&gt;0",$J$572:J574,J574))))</x:f>
        <x:v>6</x:v>
      </x:c>
      <x:c r="P574" s="22" t="n">
        <x:f>IF(T574="Ready",MIN(U574,MAX(0,G574-SUMIFS($U$572:$U$576,$O$572:$O$576,"&lt;"&amp;O574))),"n.a.")</x:f>
        <x:v>0</x:v>
      </x:c>
      <x:c r="Q574" s="22" t="n">
        <x:f>IF(T574="Ready",ROUND(N574+P574,2),"n.a.")</x:f>
        <x:v>0</x:v>
      </x:c>
      <x:c r="R574" s="22" t="n">
        <x:f>IF(T574="Ready",ROUND(Q574-M574,2),"n.a.")</x:f>
        <x:v>0</x:v>
      </x:c>
      <x:c r="S574" s="22" t="n">
        <x:f>IF(T574="Ready",MAX(0,ROUND(I574+M574-Q574,2)),"n.a.")</x:f>
        <x:v>0</x:v>
      </x:c>
      <x:c r="T574" s="22" t="str">
        <x:f>IF(AND(COUNT($I$572:$I$576)=5,COUNT(E574:F574)=2),IF(E574&gt;=F574,"Ready","Budget below minima"),"Check inputs")</x:f>
        <x:v>Ready</x:v>
      </x:c>
      <x:c r="U574" s="22" t="n">
        <x:f>IF(COUNT(I574,M574,N574)=3,MAX(0,ROUND(I574+M574-N574,2)),"n.a.")</x:f>
        <x:v>0</x:v>
      </x:c>
    </x:row>
    <x:row r="575" ht="22" customHeight="1">
      <x:c r="A575" s="2"/>
      <x:c r="B575" s="2"/>
      <x:c r="C575" s="27" t="n">
        <x:f>114</x:f>
        <x:v>114</x:v>
      </x:c>
      <x:c r="D575" s="28" t="n">
        <x:f>IF(ISNUMBER('Inputs'!$D$7),EDATE('Inputs'!$D$7,113),"n.a.")</x:f>
        <x:v>49766</x:v>
      </x:c>
      <x:c r="E575" s="26" t="n">
        <x:f>IF('Inputs'!$D$9&lt;&gt;"Ready","n.a.",IF(ISNUMBER('Inputs'!E132),IF('Inputs'!E132&gt;=0,'Inputs'!E132,"n.a."),IF('Inputs'!E132="",'Inputs'!$D$6,"n.a.")))</x:f>
        <x:v>500</x:v>
      </x:c>
      <x:c r="F575" s="22" t="n">
        <x:f>IF(COUNT($N$572:$N$576)=5,SUM($N$572:$N$576),"n.a.")</x:f>
        <x:v>0</x:v>
      </x:c>
      <x:c r="G575" s="22" t="n">
        <x:f>IF(COUNT(E575:F575)=2,MAX(0,E575-F575),"n.a.")</x:f>
        <x:v>500</x:v>
      </x:c>
      <x:c r="H575" s="26" t="str">
        <x:f>'Inputs'!C14</x:f>
        <x:v>Unused 4</x:v>
      </x:c>
      <x:c r="I575" s="26" t="n">
        <x:f>S570</x:f>
        <x:v>0</x:v>
      </x:c>
      <x:c r="J575" s="29" t="n">
        <x:f>IF('Inputs'!$D$9="Ready",'Inputs'!E14,"n.a.")</x:f>
        <x:v>0</x:v>
      </x:c>
      <x:c r="K575" s="26" t="n">
        <x:f>IF('Inputs'!$D$9="Ready",'Inputs'!F14,"n.a.")</x:f>
        <x:v>0</x:v>
      </x:c>
      <x:c r="L575" s="29" t="n">
        <x:f>IF('Inputs'!$D$9="Ready",'Inputs'!G14,"n.a.")</x:f>
        <x:v>0</x:v>
      </x:c>
      <x:c r="M575" s="22" t="n">
        <x:f>IF(COUNT(I575:L575)=4,ROUND(I575*J575/12,2),"n.a.")</x:f>
        <x:v>0</x:v>
      </x:c>
      <x:c r="N575" s="22" t="n">
        <x:f>IF(COUNT(I575:M575)=5,MIN(I575+M575,ROUND(MAX(K575,I575*L575+M575),2)),"n.a.")</x:f>
        <x:v>0</x:v>
      </x:c>
      <x:c r="O575" s="30" t="n">
        <x:f>IF(COUNT($I$572:$I$576)&lt;&gt;5,"n.a.",IF(I575=0,6,IF('Inputs'!$D$5=1,COUNTIFS($I$572:$I$576,"&gt;0",$I$572:$I$576,"&lt;"&amp;I575)+COUNTIFS($I$572:I575,I575),COUNTIFS($I$572:$I$576,"&gt;0",$J$572:$J$576,"&gt;"&amp;J575)+COUNTIFS($I$572:I575,"&gt;0",$J$572:J575,J575))))</x:f>
        <x:v>6</x:v>
      </x:c>
      <x:c r="P575" s="22" t="n">
        <x:f>IF(T575="Ready",MIN(U575,MAX(0,G575-SUMIFS($U$572:$U$576,$O$572:$O$576,"&lt;"&amp;O575))),"n.a.")</x:f>
        <x:v>0</x:v>
      </x:c>
      <x:c r="Q575" s="22" t="n">
        <x:f>IF(T575="Ready",ROUND(N575+P575,2),"n.a.")</x:f>
        <x:v>0</x:v>
      </x:c>
      <x:c r="R575" s="22" t="n">
        <x:f>IF(T575="Ready",ROUND(Q575-M575,2),"n.a.")</x:f>
        <x:v>0</x:v>
      </x:c>
      <x:c r="S575" s="22" t="n">
        <x:f>IF(T575="Ready",MAX(0,ROUND(I575+M575-Q575,2)),"n.a.")</x:f>
        <x:v>0</x:v>
      </x:c>
      <x:c r="T575" s="22" t="str">
        <x:f>IF(AND(COUNT($I$572:$I$576)=5,COUNT(E575:F575)=2),IF(E575&gt;=F575,"Ready","Budget below minima"),"Check inputs")</x:f>
        <x:v>Ready</x:v>
      </x:c>
      <x:c r="U575" s="22" t="n">
        <x:f>IF(COUNT(I575,M575,N575)=3,MAX(0,ROUND(I575+M575-N575,2)),"n.a.")</x:f>
        <x:v>0</x:v>
      </x:c>
    </x:row>
    <x:row r="576" ht="22" customHeight="1">
      <x:c r="A576" s="2"/>
      <x:c r="B576" s="2"/>
      <x:c r="C576" s="27" t="n">
        <x:f>114</x:f>
        <x:v>114</x:v>
      </x:c>
      <x:c r="D576" s="28" t="n">
        <x:f>IF(ISNUMBER('Inputs'!$D$7),EDATE('Inputs'!$D$7,113),"n.a.")</x:f>
        <x:v>49766</x:v>
      </x:c>
      <x:c r="E576" s="26" t="n">
        <x:f>IF('Inputs'!$D$9&lt;&gt;"Ready","n.a.",IF(ISNUMBER('Inputs'!E132),IF('Inputs'!E132&gt;=0,'Inputs'!E132,"n.a."),IF('Inputs'!E132="",'Inputs'!$D$6,"n.a.")))</x:f>
        <x:v>500</x:v>
      </x:c>
      <x:c r="F576" s="22" t="n">
        <x:f>IF(COUNT($N$572:$N$576)=5,SUM($N$572:$N$576),"n.a.")</x:f>
        <x:v>0</x:v>
      </x:c>
      <x:c r="G576" s="22" t="n">
        <x:f>IF(COUNT(E576:F576)=2,MAX(0,E576-F576),"n.a.")</x:f>
        <x:v>500</x:v>
      </x:c>
      <x:c r="H576" s="26" t="str">
        <x:f>'Inputs'!C15</x:f>
        <x:v>Unused 5</x:v>
      </x:c>
      <x:c r="I576" s="26" t="n">
        <x:f>S571</x:f>
        <x:v>0</x:v>
      </x:c>
      <x:c r="J576" s="29" t="n">
        <x:f>IF('Inputs'!$D$9="Ready",'Inputs'!E15,"n.a.")</x:f>
        <x:v>0</x:v>
      </x:c>
      <x:c r="K576" s="26" t="n">
        <x:f>IF('Inputs'!$D$9="Ready",'Inputs'!F15,"n.a.")</x:f>
        <x:v>0</x:v>
      </x:c>
      <x:c r="L576" s="29" t="n">
        <x:f>IF('Inputs'!$D$9="Ready",'Inputs'!G15,"n.a.")</x:f>
        <x:v>0</x:v>
      </x:c>
      <x:c r="M576" s="22" t="n">
        <x:f>IF(COUNT(I576:L576)=4,ROUND(I576*J576/12,2),"n.a.")</x:f>
        <x:v>0</x:v>
      </x:c>
      <x:c r="N576" s="22" t="n">
        <x:f>IF(COUNT(I576:M576)=5,MIN(I576+M576,ROUND(MAX(K576,I576*L576+M576),2)),"n.a.")</x:f>
        <x:v>0</x:v>
      </x:c>
      <x:c r="O576" s="30" t="n">
        <x:f>IF(COUNT($I$572:$I$576)&lt;&gt;5,"n.a.",IF(I576=0,6,IF('Inputs'!$D$5=1,COUNTIFS($I$572:$I$576,"&gt;0",$I$572:$I$576,"&lt;"&amp;I576)+COUNTIFS($I$572:I576,I576),COUNTIFS($I$572:$I$576,"&gt;0",$J$572:$J$576,"&gt;"&amp;J576)+COUNTIFS($I$572:I576,"&gt;0",$J$572:J576,J576))))</x:f>
        <x:v>6</x:v>
      </x:c>
      <x:c r="P576" s="22" t="n">
        <x:f>IF(T576="Ready",MIN(U576,MAX(0,G576-SUMIFS($U$572:$U$576,$O$572:$O$576,"&lt;"&amp;O576))),"n.a.")</x:f>
        <x:v>0</x:v>
      </x:c>
      <x:c r="Q576" s="22" t="n">
        <x:f>IF(T576="Ready",ROUND(N576+P576,2),"n.a.")</x:f>
        <x:v>0</x:v>
      </x:c>
      <x:c r="R576" s="22" t="n">
        <x:f>IF(T576="Ready",ROUND(Q576-M576,2),"n.a.")</x:f>
        <x:v>0</x:v>
      </x:c>
      <x:c r="S576" s="22" t="n">
        <x:f>IF(T576="Ready",MAX(0,ROUND(I576+M576-Q576,2)),"n.a.")</x:f>
        <x:v>0</x:v>
      </x:c>
      <x:c r="T576" s="22" t="str">
        <x:f>IF(AND(COUNT($I$572:$I$576)=5,COUNT(E576:F576)=2),IF(E576&gt;=F576,"Ready","Budget below minima"),"Check inputs")</x:f>
        <x:v>Ready</x:v>
      </x:c>
      <x:c r="U576" s="22" t="n">
        <x:f>IF(COUNT(I576,M576,N576)=3,MAX(0,ROUND(I576+M576-N576,2)),"n.a.")</x:f>
        <x:v>0</x:v>
      </x:c>
    </x:row>
    <x:row r="577" ht="22" customHeight="1">
      <x:c r="A577" s="2"/>
      <x:c r="B577" s="2"/>
      <x:c r="C577" s="27" t="n">
        <x:f>115</x:f>
        <x:v>115</x:v>
      </x:c>
      <x:c r="D577" s="28" t="n">
        <x:f>IF(ISNUMBER('Inputs'!$D$7),EDATE('Inputs'!$D$7,114),"n.a.")</x:f>
        <x:v>49796</x:v>
      </x:c>
      <x:c r="E577" s="26" t="n">
        <x:f>IF('Inputs'!$D$9&lt;&gt;"Ready","n.a.",IF(ISNUMBER('Inputs'!E133),IF('Inputs'!E133&gt;=0,'Inputs'!E133,"n.a."),IF('Inputs'!E133="",'Inputs'!$D$6,"n.a.")))</x:f>
        <x:v>500</x:v>
      </x:c>
      <x:c r="F577" s="22" t="n">
        <x:f>IF(COUNT($N$577:$N$581)=5,SUM($N$577:$N$581),"n.a.")</x:f>
        <x:v>0</x:v>
      </x:c>
      <x:c r="G577" s="22" t="n">
        <x:f>IF(COUNT(E577:F577)=2,MAX(0,E577-F577),"n.a.")</x:f>
        <x:v>500</x:v>
      </x:c>
      <x:c r="H577" s="26" t="str">
        <x:f>'Inputs'!C11</x:f>
        <x:v>Card A</x:v>
      </x:c>
      <x:c r="I577" s="26" t="n">
        <x:f>S572</x:f>
        <x:v>0</x:v>
      </x:c>
      <x:c r="J577" s="29" t="n">
        <x:f>IF('Inputs'!$D$9="Ready",'Inputs'!E11,"n.a.")</x:f>
        <x:v>0.24</x:v>
      </x:c>
      <x:c r="K577" s="26" t="n">
        <x:f>IF('Inputs'!$D$9="Ready",'Inputs'!F11,"n.a.")</x:f>
        <x:v>35</x:v>
      </x:c>
      <x:c r="L577" s="29" t="n">
        <x:f>IF('Inputs'!$D$9="Ready",'Inputs'!G11,"n.a.")</x:f>
        <x:v>0.02</x:v>
      </x:c>
      <x:c r="M577" s="22" t="n">
        <x:f>IF(COUNT(I577:L577)=4,ROUND(I577*J577/12,2),"n.a.")</x:f>
        <x:v>0</x:v>
      </x:c>
      <x:c r="N577" s="22" t="n">
        <x:f>IF(COUNT(I577:M577)=5,MIN(I577+M577,ROUND(MAX(K577,I577*L577+M577),2)),"n.a.")</x:f>
        <x:v>0</x:v>
      </x:c>
      <x:c r="O577" s="30" t="n">
        <x:f>IF(COUNT($I$577:$I$581)&lt;&gt;5,"n.a.",IF(I577=0,6,IF('Inputs'!$D$5=1,COUNTIFS($I$577:$I$581,"&gt;0",$I$577:$I$581,"&lt;"&amp;I577)+COUNTIFS($I$577:I577,I577),COUNTIFS($I$577:$I$581,"&gt;0",$J$577:$J$581,"&gt;"&amp;J577)+COUNTIFS($I$577:I577,"&gt;0",$J$577:J577,J577))))</x:f>
        <x:v>6</x:v>
      </x:c>
      <x:c r="P577" s="22" t="n">
        <x:f>IF(T577="Ready",MIN(U577,MAX(0,G577-SUMIFS($U$577:$U$581,$O$577:$O$581,"&lt;"&amp;O577))),"n.a.")</x:f>
        <x:v>0</x:v>
      </x:c>
      <x:c r="Q577" s="22" t="n">
        <x:f>IF(T577="Ready",ROUND(N577+P577,2),"n.a.")</x:f>
        <x:v>0</x:v>
      </x:c>
      <x:c r="R577" s="22" t="n">
        <x:f>IF(T577="Ready",ROUND(Q577-M577,2),"n.a.")</x:f>
        <x:v>0</x:v>
      </x:c>
      <x:c r="S577" s="22" t="n">
        <x:f>IF(T577="Ready",MAX(0,ROUND(I577+M577-Q577,2)),"n.a.")</x:f>
        <x:v>0</x:v>
      </x:c>
      <x:c r="T577" s="22" t="str">
        <x:f>IF(AND(COUNT($I$577:$I$581)=5,COUNT(E577:F577)=2),IF(E577&gt;=F577,"Ready","Budget below minima"),"Check inputs")</x:f>
        <x:v>Ready</x:v>
      </x:c>
      <x:c r="U577" s="22" t="n">
        <x:f>IF(COUNT(I577,M577,N577)=3,MAX(0,ROUND(I577+M577-N577,2)),"n.a.")</x:f>
        <x:v>0</x:v>
      </x:c>
    </x:row>
    <x:row r="578" ht="22" customHeight="1">
      <x:c r="A578" s="2"/>
      <x:c r="B578" s="2"/>
      <x:c r="C578" s="27" t="n">
        <x:f>115</x:f>
        <x:v>115</x:v>
      </x:c>
      <x:c r="D578" s="28" t="n">
        <x:f>IF(ISNUMBER('Inputs'!$D$7),EDATE('Inputs'!$D$7,114),"n.a.")</x:f>
        <x:v>49796</x:v>
      </x:c>
      <x:c r="E578" s="26" t="n">
        <x:f>IF('Inputs'!$D$9&lt;&gt;"Ready","n.a.",IF(ISNUMBER('Inputs'!E133),IF('Inputs'!E133&gt;=0,'Inputs'!E133,"n.a."),IF('Inputs'!E133="",'Inputs'!$D$6,"n.a.")))</x:f>
        <x:v>500</x:v>
      </x:c>
      <x:c r="F578" s="22" t="n">
        <x:f>IF(COUNT($N$577:$N$581)=5,SUM($N$577:$N$581),"n.a.")</x:f>
        <x:v>0</x:v>
      </x:c>
      <x:c r="G578" s="22" t="n">
        <x:f>IF(COUNT(E578:F578)=2,MAX(0,E578-F578),"n.a.")</x:f>
        <x:v>500</x:v>
      </x:c>
      <x:c r="H578" s="26" t="str">
        <x:f>'Inputs'!C12</x:f>
        <x:v>Card B</x:v>
      </x:c>
      <x:c r="I578" s="26" t="n">
        <x:f>S573</x:f>
        <x:v>0</x:v>
      </x:c>
      <x:c r="J578" s="29" t="n">
        <x:f>IF('Inputs'!$D$9="Ready",'Inputs'!E12,"n.a.")</x:f>
        <x:v>0.18</x:v>
      </x:c>
      <x:c r="K578" s="26" t="n">
        <x:f>IF('Inputs'!$D$9="Ready",'Inputs'!F12,"n.a.")</x:f>
        <x:v>60</x:v>
      </x:c>
      <x:c r="L578" s="29" t="n">
        <x:f>IF('Inputs'!$D$9="Ready",'Inputs'!G12,"n.a.")</x:f>
        <x:v>0.02</x:v>
      </x:c>
      <x:c r="M578" s="22" t="n">
        <x:f>IF(COUNT(I578:L578)=4,ROUND(I578*J578/12,2),"n.a.")</x:f>
        <x:v>0</x:v>
      </x:c>
      <x:c r="N578" s="22" t="n">
        <x:f>IF(COUNT(I578:M578)=5,MIN(I578+M578,ROUND(MAX(K578,I578*L578+M578),2)),"n.a.")</x:f>
        <x:v>0</x:v>
      </x:c>
      <x:c r="O578" s="30" t="n">
        <x:f>IF(COUNT($I$577:$I$581)&lt;&gt;5,"n.a.",IF(I578=0,6,IF('Inputs'!$D$5=1,COUNTIFS($I$577:$I$581,"&gt;0",$I$577:$I$581,"&lt;"&amp;I578)+COUNTIFS($I$577:I578,I578),COUNTIFS($I$577:$I$581,"&gt;0",$J$577:$J$581,"&gt;"&amp;J578)+COUNTIFS($I$577:I578,"&gt;0",$J$577:J578,J578))))</x:f>
        <x:v>6</x:v>
      </x:c>
      <x:c r="P578" s="22" t="n">
        <x:f>IF(T578="Ready",MIN(U578,MAX(0,G578-SUMIFS($U$577:$U$581,$O$577:$O$581,"&lt;"&amp;O578))),"n.a.")</x:f>
        <x:v>0</x:v>
      </x:c>
      <x:c r="Q578" s="22" t="n">
        <x:f>IF(T578="Ready",ROUND(N578+P578,2),"n.a.")</x:f>
        <x:v>0</x:v>
      </x:c>
      <x:c r="R578" s="22" t="n">
        <x:f>IF(T578="Ready",ROUND(Q578-M578,2),"n.a.")</x:f>
        <x:v>0</x:v>
      </x:c>
      <x:c r="S578" s="22" t="n">
        <x:f>IF(T578="Ready",MAX(0,ROUND(I578+M578-Q578,2)),"n.a.")</x:f>
        <x:v>0</x:v>
      </x:c>
      <x:c r="T578" s="22" t="str">
        <x:f>IF(AND(COUNT($I$577:$I$581)=5,COUNT(E578:F578)=2),IF(E578&gt;=F578,"Ready","Budget below minima"),"Check inputs")</x:f>
        <x:v>Ready</x:v>
      </x:c>
      <x:c r="U578" s="22" t="n">
        <x:f>IF(COUNT(I578,M578,N578)=3,MAX(0,ROUND(I578+M578-N578,2)),"n.a.")</x:f>
        <x:v>0</x:v>
      </x:c>
    </x:row>
    <x:row r="579" ht="22" customHeight="1">
      <x:c r="A579" s="2"/>
      <x:c r="B579" s="2"/>
      <x:c r="C579" s="27" t="n">
        <x:f>115</x:f>
        <x:v>115</x:v>
      </x:c>
      <x:c r="D579" s="28" t="n">
        <x:f>IF(ISNUMBER('Inputs'!$D$7),EDATE('Inputs'!$D$7,114),"n.a.")</x:f>
        <x:v>49796</x:v>
      </x:c>
      <x:c r="E579" s="26" t="n">
        <x:f>IF('Inputs'!$D$9&lt;&gt;"Ready","n.a.",IF(ISNUMBER('Inputs'!E133),IF('Inputs'!E133&gt;=0,'Inputs'!E133,"n.a."),IF('Inputs'!E133="",'Inputs'!$D$6,"n.a.")))</x:f>
        <x:v>500</x:v>
      </x:c>
      <x:c r="F579" s="22" t="n">
        <x:f>IF(COUNT($N$577:$N$581)=5,SUM($N$577:$N$581),"n.a.")</x:f>
        <x:v>0</x:v>
      </x:c>
      <x:c r="G579" s="22" t="n">
        <x:f>IF(COUNT(E579:F579)=2,MAX(0,E579-F579),"n.a.")</x:f>
        <x:v>500</x:v>
      </x:c>
      <x:c r="H579" s="26" t="str">
        <x:f>'Inputs'!C13</x:f>
        <x:v>Loan C</x:v>
      </x:c>
      <x:c r="I579" s="26" t="n">
        <x:f>S574</x:f>
        <x:v>0</x:v>
      </x:c>
      <x:c r="J579" s="29" t="n">
        <x:f>IF('Inputs'!$D$9="Ready",'Inputs'!E13,"n.a.")</x:f>
        <x:v>0.08</x:v>
      </x:c>
      <x:c r="K579" s="26" t="n">
        <x:f>IF('Inputs'!$D$9="Ready",'Inputs'!F13,"n.a.")</x:f>
        <x:v>150</x:v>
      </x:c>
      <x:c r="L579" s="29" t="n">
        <x:f>IF('Inputs'!$D$9="Ready",'Inputs'!G13,"n.a.")</x:f>
        <x:v>0</x:v>
      </x:c>
      <x:c r="M579" s="22" t="n">
        <x:f>IF(COUNT(I579:L579)=4,ROUND(I579*J579/12,2),"n.a.")</x:f>
        <x:v>0</x:v>
      </x:c>
      <x:c r="N579" s="22" t="n">
        <x:f>IF(COUNT(I579:M579)=5,MIN(I579+M579,ROUND(MAX(K579,I579*L579+M579),2)),"n.a.")</x:f>
        <x:v>0</x:v>
      </x:c>
      <x:c r="O579" s="30" t="n">
        <x:f>IF(COUNT($I$577:$I$581)&lt;&gt;5,"n.a.",IF(I579=0,6,IF('Inputs'!$D$5=1,COUNTIFS($I$577:$I$581,"&gt;0",$I$577:$I$581,"&lt;"&amp;I579)+COUNTIFS($I$577:I579,I579),COUNTIFS($I$577:$I$581,"&gt;0",$J$577:$J$581,"&gt;"&amp;J579)+COUNTIFS($I$577:I579,"&gt;0",$J$577:J579,J579))))</x:f>
        <x:v>6</x:v>
      </x:c>
      <x:c r="P579" s="22" t="n">
        <x:f>IF(T579="Ready",MIN(U579,MAX(0,G579-SUMIFS($U$577:$U$581,$O$577:$O$581,"&lt;"&amp;O579))),"n.a.")</x:f>
        <x:v>0</x:v>
      </x:c>
      <x:c r="Q579" s="22" t="n">
        <x:f>IF(T579="Ready",ROUND(N579+P579,2),"n.a.")</x:f>
        <x:v>0</x:v>
      </x:c>
      <x:c r="R579" s="22" t="n">
        <x:f>IF(T579="Ready",ROUND(Q579-M579,2),"n.a.")</x:f>
        <x:v>0</x:v>
      </x:c>
      <x:c r="S579" s="22" t="n">
        <x:f>IF(T579="Ready",MAX(0,ROUND(I579+M579-Q579,2)),"n.a.")</x:f>
        <x:v>0</x:v>
      </x:c>
      <x:c r="T579" s="22" t="str">
        <x:f>IF(AND(COUNT($I$577:$I$581)=5,COUNT(E579:F579)=2),IF(E579&gt;=F579,"Ready","Budget below minima"),"Check inputs")</x:f>
        <x:v>Ready</x:v>
      </x:c>
      <x:c r="U579" s="22" t="n">
        <x:f>IF(COUNT(I579,M579,N579)=3,MAX(0,ROUND(I579+M579-N579,2)),"n.a.")</x:f>
        <x:v>0</x:v>
      </x:c>
    </x:row>
    <x:row r="580" ht="22" customHeight="1">
      <x:c r="A580" s="2"/>
      <x:c r="B580" s="2"/>
      <x:c r="C580" s="27" t="n">
        <x:f>115</x:f>
        <x:v>115</x:v>
      </x:c>
      <x:c r="D580" s="28" t="n">
        <x:f>IF(ISNUMBER('Inputs'!$D$7),EDATE('Inputs'!$D$7,114),"n.a.")</x:f>
        <x:v>49796</x:v>
      </x:c>
      <x:c r="E580" s="26" t="n">
        <x:f>IF('Inputs'!$D$9&lt;&gt;"Ready","n.a.",IF(ISNUMBER('Inputs'!E133),IF('Inputs'!E133&gt;=0,'Inputs'!E133,"n.a."),IF('Inputs'!E133="",'Inputs'!$D$6,"n.a.")))</x:f>
        <x:v>500</x:v>
      </x:c>
      <x:c r="F580" s="22" t="n">
        <x:f>IF(COUNT($N$577:$N$581)=5,SUM($N$577:$N$581),"n.a.")</x:f>
        <x:v>0</x:v>
      </x:c>
      <x:c r="G580" s="22" t="n">
        <x:f>IF(COUNT(E580:F580)=2,MAX(0,E580-F580),"n.a.")</x:f>
        <x:v>500</x:v>
      </x:c>
      <x:c r="H580" s="26" t="str">
        <x:f>'Inputs'!C14</x:f>
        <x:v>Unused 4</x:v>
      </x:c>
      <x:c r="I580" s="26" t="n">
        <x:f>S575</x:f>
        <x:v>0</x:v>
      </x:c>
      <x:c r="J580" s="29" t="n">
        <x:f>IF('Inputs'!$D$9="Ready",'Inputs'!E14,"n.a.")</x:f>
        <x:v>0</x:v>
      </x:c>
      <x:c r="K580" s="26" t="n">
        <x:f>IF('Inputs'!$D$9="Ready",'Inputs'!F14,"n.a.")</x:f>
        <x:v>0</x:v>
      </x:c>
      <x:c r="L580" s="29" t="n">
        <x:f>IF('Inputs'!$D$9="Ready",'Inputs'!G14,"n.a.")</x:f>
        <x:v>0</x:v>
      </x:c>
      <x:c r="M580" s="22" t="n">
        <x:f>IF(COUNT(I580:L580)=4,ROUND(I580*J580/12,2),"n.a.")</x:f>
        <x:v>0</x:v>
      </x:c>
      <x:c r="N580" s="22" t="n">
        <x:f>IF(COUNT(I580:M580)=5,MIN(I580+M580,ROUND(MAX(K580,I580*L580+M580),2)),"n.a.")</x:f>
        <x:v>0</x:v>
      </x:c>
      <x:c r="O580" s="30" t="n">
        <x:f>IF(COUNT($I$577:$I$581)&lt;&gt;5,"n.a.",IF(I580=0,6,IF('Inputs'!$D$5=1,COUNTIFS($I$577:$I$581,"&gt;0",$I$577:$I$581,"&lt;"&amp;I580)+COUNTIFS($I$577:I580,I580),COUNTIFS($I$577:$I$581,"&gt;0",$J$577:$J$581,"&gt;"&amp;J580)+COUNTIFS($I$577:I580,"&gt;0",$J$577:J580,J580))))</x:f>
        <x:v>6</x:v>
      </x:c>
      <x:c r="P580" s="22" t="n">
        <x:f>IF(T580="Ready",MIN(U580,MAX(0,G580-SUMIFS($U$577:$U$581,$O$577:$O$581,"&lt;"&amp;O580))),"n.a.")</x:f>
        <x:v>0</x:v>
      </x:c>
      <x:c r="Q580" s="22" t="n">
        <x:f>IF(T580="Ready",ROUND(N580+P580,2),"n.a.")</x:f>
        <x:v>0</x:v>
      </x:c>
      <x:c r="R580" s="22" t="n">
        <x:f>IF(T580="Ready",ROUND(Q580-M580,2),"n.a.")</x:f>
        <x:v>0</x:v>
      </x:c>
      <x:c r="S580" s="22" t="n">
        <x:f>IF(T580="Ready",MAX(0,ROUND(I580+M580-Q580,2)),"n.a.")</x:f>
        <x:v>0</x:v>
      </x:c>
      <x:c r="T580" s="22" t="str">
        <x:f>IF(AND(COUNT($I$577:$I$581)=5,COUNT(E580:F580)=2),IF(E580&gt;=F580,"Ready","Budget below minima"),"Check inputs")</x:f>
        <x:v>Ready</x:v>
      </x:c>
      <x:c r="U580" s="22" t="n">
        <x:f>IF(COUNT(I580,M580,N580)=3,MAX(0,ROUND(I580+M580-N580,2)),"n.a.")</x:f>
        <x:v>0</x:v>
      </x:c>
    </x:row>
    <x:row r="581" ht="22" customHeight="1">
      <x:c r="A581" s="2"/>
      <x:c r="B581" s="2"/>
      <x:c r="C581" s="27" t="n">
        <x:f>115</x:f>
        <x:v>115</x:v>
      </x:c>
      <x:c r="D581" s="28" t="n">
        <x:f>IF(ISNUMBER('Inputs'!$D$7),EDATE('Inputs'!$D$7,114),"n.a.")</x:f>
        <x:v>49796</x:v>
      </x:c>
      <x:c r="E581" s="26" t="n">
        <x:f>IF('Inputs'!$D$9&lt;&gt;"Ready","n.a.",IF(ISNUMBER('Inputs'!E133),IF('Inputs'!E133&gt;=0,'Inputs'!E133,"n.a."),IF('Inputs'!E133="",'Inputs'!$D$6,"n.a.")))</x:f>
        <x:v>500</x:v>
      </x:c>
      <x:c r="F581" s="22" t="n">
        <x:f>IF(COUNT($N$577:$N$581)=5,SUM($N$577:$N$581),"n.a.")</x:f>
        <x:v>0</x:v>
      </x:c>
      <x:c r="G581" s="22" t="n">
        <x:f>IF(COUNT(E581:F581)=2,MAX(0,E581-F581),"n.a.")</x:f>
        <x:v>500</x:v>
      </x:c>
      <x:c r="H581" s="26" t="str">
        <x:f>'Inputs'!C15</x:f>
        <x:v>Unused 5</x:v>
      </x:c>
      <x:c r="I581" s="26" t="n">
        <x:f>S576</x:f>
        <x:v>0</x:v>
      </x:c>
      <x:c r="J581" s="29" t="n">
        <x:f>IF('Inputs'!$D$9="Ready",'Inputs'!E15,"n.a.")</x:f>
        <x:v>0</x:v>
      </x:c>
      <x:c r="K581" s="26" t="n">
        <x:f>IF('Inputs'!$D$9="Ready",'Inputs'!F15,"n.a.")</x:f>
        <x:v>0</x:v>
      </x:c>
      <x:c r="L581" s="29" t="n">
        <x:f>IF('Inputs'!$D$9="Ready",'Inputs'!G15,"n.a.")</x:f>
        <x:v>0</x:v>
      </x:c>
      <x:c r="M581" s="22" t="n">
        <x:f>IF(COUNT(I581:L581)=4,ROUND(I581*J581/12,2),"n.a.")</x:f>
        <x:v>0</x:v>
      </x:c>
      <x:c r="N581" s="22" t="n">
        <x:f>IF(COUNT(I581:M581)=5,MIN(I581+M581,ROUND(MAX(K581,I581*L581+M581),2)),"n.a.")</x:f>
        <x:v>0</x:v>
      </x:c>
      <x:c r="O581" s="30" t="n">
        <x:f>IF(COUNT($I$577:$I$581)&lt;&gt;5,"n.a.",IF(I581=0,6,IF('Inputs'!$D$5=1,COUNTIFS($I$577:$I$581,"&gt;0",$I$577:$I$581,"&lt;"&amp;I581)+COUNTIFS($I$577:I581,I581),COUNTIFS($I$577:$I$581,"&gt;0",$J$577:$J$581,"&gt;"&amp;J581)+COUNTIFS($I$577:I581,"&gt;0",$J$577:J581,J581))))</x:f>
        <x:v>6</x:v>
      </x:c>
      <x:c r="P581" s="22" t="n">
        <x:f>IF(T581="Ready",MIN(U581,MAX(0,G581-SUMIFS($U$577:$U$581,$O$577:$O$581,"&lt;"&amp;O581))),"n.a.")</x:f>
        <x:v>0</x:v>
      </x:c>
      <x:c r="Q581" s="22" t="n">
        <x:f>IF(T581="Ready",ROUND(N581+P581,2),"n.a.")</x:f>
        <x:v>0</x:v>
      </x:c>
      <x:c r="R581" s="22" t="n">
        <x:f>IF(T581="Ready",ROUND(Q581-M581,2),"n.a.")</x:f>
        <x:v>0</x:v>
      </x:c>
      <x:c r="S581" s="22" t="n">
        <x:f>IF(T581="Ready",MAX(0,ROUND(I581+M581-Q581,2)),"n.a.")</x:f>
        <x:v>0</x:v>
      </x:c>
      <x:c r="T581" s="22" t="str">
        <x:f>IF(AND(COUNT($I$577:$I$581)=5,COUNT(E581:F581)=2),IF(E581&gt;=F581,"Ready","Budget below minima"),"Check inputs")</x:f>
        <x:v>Ready</x:v>
      </x:c>
      <x:c r="U581" s="22" t="n">
        <x:f>IF(COUNT(I581,M581,N581)=3,MAX(0,ROUND(I581+M581-N581,2)),"n.a.")</x:f>
        <x:v>0</x:v>
      </x:c>
    </x:row>
    <x:row r="582" ht="22" customHeight="1">
      <x:c r="A582" s="2"/>
      <x:c r="B582" s="2"/>
      <x:c r="C582" s="27" t="n">
        <x:f>116</x:f>
        <x:v>116</x:v>
      </x:c>
      <x:c r="D582" s="28" t="n">
        <x:f>IF(ISNUMBER('Inputs'!$D$7),EDATE('Inputs'!$D$7,115),"n.a.")</x:f>
        <x:v>49827</x:v>
      </x:c>
      <x:c r="E582" s="26" t="n">
        <x:f>IF('Inputs'!$D$9&lt;&gt;"Ready","n.a.",IF(ISNUMBER('Inputs'!E134),IF('Inputs'!E134&gt;=0,'Inputs'!E134,"n.a."),IF('Inputs'!E134="",'Inputs'!$D$6,"n.a.")))</x:f>
        <x:v>500</x:v>
      </x:c>
      <x:c r="F582" s="22" t="n">
        <x:f>IF(COUNT($N$582:$N$586)=5,SUM($N$582:$N$586),"n.a.")</x:f>
        <x:v>0</x:v>
      </x:c>
      <x:c r="G582" s="22" t="n">
        <x:f>IF(COUNT(E582:F582)=2,MAX(0,E582-F582),"n.a.")</x:f>
        <x:v>500</x:v>
      </x:c>
      <x:c r="H582" s="26" t="str">
        <x:f>'Inputs'!C11</x:f>
        <x:v>Card A</x:v>
      </x:c>
      <x:c r="I582" s="26" t="n">
        <x:f>S577</x:f>
        <x:v>0</x:v>
      </x:c>
      <x:c r="J582" s="29" t="n">
        <x:f>IF('Inputs'!$D$9="Ready",'Inputs'!E11,"n.a.")</x:f>
        <x:v>0.24</x:v>
      </x:c>
      <x:c r="K582" s="26" t="n">
        <x:f>IF('Inputs'!$D$9="Ready",'Inputs'!F11,"n.a.")</x:f>
        <x:v>35</x:v>
      </x:c>
      <x:c r="L582" s="29" t="n">
        <x:f>IF('Inputs'!$D$9="Ready",'Inputs'!G11,"n.a.")</x:f>
        <x:v>0.02</x:v>
      </x:c>
      <x:c r="M582" s="22" t="n">
        <x:f>IF(COUNT(I582:L582)=4,ROUND(I582*J582/12,2),"n.a.")</x:f>
        <x:v>0</x:v>
      </x:c>
      <x:c r="N582" s="22" t="n">
        <x:f>IF(COUNT(I582:M582)=5,MIN(I582+M582,ROUND(MAX(K582,I582*L582+M582),2)),"n.a.")</x:f>
        <x:v>0</x:v>
      </x:c>
      <x:c r="O582" s="30" t="n">
        <x:f>IF(COUNT($I$582:$I$586)&lt;&gt;5,"n.a.",IF(I582=0,6,IF('Inputs'!$D$5=1,COUNTIFS($I$582:$I$586,"&gt;0",$I$582:$I$586,"&lt;"&amp;I582)+COUNTIFS($I$582:I582,I582),COUNTIFS($I$582:$I$586,"&gt;0",$J$582:$J$586,"&gt;"&amp;J582)+COUNTIFS($I$582:I582,"&gt;0",$J$582:J582,J582))))</x:f>
        <x:v>6</x:v>
      </x:c>
      <x:c r="P582" s="22" t="n">
        <x:f>IF(T582="Ready",MIN(U582,MAX(0,G582-SUMIFS($U$582:$U$586,$O$582:$O$586,"&lt;"&amp;O582))),"n.a.")</x:f>
        <x:v>0</x:v>
      </x:c>
      <x:c r="Q582" s="22" t="n">
        <x:f>IF(T582="Ready",ROUND(N582+P582,2),"n.a.")</x:f>
        <x:v>0</x:v>
      </x:c>
      <x:c r="R582" s="22" t="n">
        <x:f>IF(T582="Ready",ROUND(Q582-M582,2),"n.a.")</x:f>
        <x:v>0</x:v>
      </x:c>
      <x:c r="S582" s="22" t="n">
        <x:f>IF(T582="Ready",MAX(0,ROUND(I582+M582-Q582,2)),"n.a.")</x:f>
        <x:v>0</x:v>
      </x:c>
      <x:c r="T582" s="22" t="str">
        <x:f>IF(AND(COUNT($I$582:$I$586)=5,COUNT(E582:F582)=2),IF(E582&gt;=F582,"Ready","Budget below minima"),"Check inputs")</x:f>
        <x:v>Ready</x:v>
      </x:c>
      <x:c r="U582" s="22" t="n">
        <x:f>IF(COUNT(I582,M582,N582)=3,MAX(0,ROUND(I582+M582-N582,2)),"n.a.")</x:f>
        <x:v>0</x:v>
      </x:c>
    </x:row>
    <x:row r="583" ht="22" customHeight="1">
      <x:c r="A583" s="2"/>
      <x:c r="B583" s="2"/>
      <x:c r="C583" s="27" t="n">
        <x:f>116</x:f>
        <x:v>116</x:v>
      </x:c>
      <x:c r="D583" s="28" t="n">
        <x:f>IF(ISNUMBER('Inputs'!$D$7),EDATE('Inputs'!$D$7,115),"n.a.")</x:f>
        <x:v>49827</x:v>
      </x:c>
      <x:c r="E583" s="26" t="n">
        <x:f>IF('Inputs'!$D$9&lt;&gt;"Ready","n.a.",IF(ISNUMBER('Inputs'!E134),IF('Inputs'!E134&gt;=0,'Inputs'!E134,"n.a."),IF('Inputs'!E134="",'Inputs'!$D$6,"n.a.")))</x:f>
        <x:v>500</x:v>
      </x:c>
      <x:c r="F583" s="22" t="n">
        <x:f>IF(COUNT($N$582:$N$586)=5,SUM($N$582:$N$586),"n.a.")</x:f>
        <x:v>0</x:v>
      </x:c>
      <x:c r="G583" s="22" t="n">
        <x:f>IF(COUNT(E583:F583)=2,MAX(0,E583-F583),"n.a.")</x:f>
        <x:v>500</x:v>
      </x:c>
      <x:c r="H583" s="26" t="str">
        <x:f>'Inputs'!C12</x:f>
        <x:v>Card B</x:v>
      </x:c>
      <x:c r="I583" s="26" t="n">
        <x:f>S578</x:f>
        <x:v>0</x:v>
      </x:c>
      <x:c r="J583" s="29" t="n">
        <x:f>IF('Inputs'!$D$9="Ready",'Inputs'!E12,"n.a.")</x:f>
        <x:v>0.18</x:v>
      </x:c>
      <x:c r="K583" s="26" t="n">
        <x:f>IF('Inputs'!$D$9="Ready",'Inputs'!F12,"n.a.")</x:f>
        <x:v>60</x:v>
      </x:c>
      <x:c r="L583" s="29" t="n">
        <x:f>IF('Inputs'!$D$9="Ready",'Inputs'!G12,"n.a.")</x:f>
        <x:v>0.02</x:v>
      </x:c>
      <x:c r="M583" s="22" t="n">
        <x:f>IF(COUNT(I583:L583)=4,ROUND(I583*J583/12,2),"n.a.")</x:f>
        <x:v>0</x:v>
      </x:c>
      <x:c r="N583" s="22" t="n">
        <x:f>IF(COUNT(I583:M583)=5,MIN(I583+M583,ROUND(MAX(K583,I583*L583+M583),2)),"n.a.")</x:f>
        <x:v>0</x:v>
      </x:c>
      <x:c r="O583" s="30" t="n">
        <x:f>IF(COUNT($I$582:$I$586)&lt;&gt;5,"n.a.",IF(I583=0,6,IF('Inputs'!$D$5=1,COUNTIFS($I$582:$I$586,"&gt;0",$I$582:$I$586,"&lt;"&amp;I583)+COUNTIFS($I$582:I583,I583),COUNTIFS($I$582:$I$586,"&gt;0",$J$582:$J$586,"&gt;"&amp;J583)+COUNTIFS($I$582:I583,"&gt;0",$J$582:J583,J583))))</x:f>
        <x:v>6</x:v>
      </x:c>
      <x:c r="P583" s="22" t="n">
        <x:f>IF(T583="Ready",MIN(U583,MAX(0,G583-SUMIFS($U$582:$U$586,$O$582:$O$586,"&lt;"&amp;O583))),"n.a.")</x:f>
        <x:v>0</x:v>
      </x:c>
      <x:c r="Q583" s="22" t="n">
        <x:f>IF(T583="Ready",ROUND(N583+P583,2),"n.a.")</x:f>
        <x:v>0</x:v>
      </x:c>
      <x:c r="R583" s="22" t="n">
        <x:f>IF(T583="Ready",ROUND(Q583-M583,2),"n.a.")</x:f>
        <x:v>0</x:v>
      </x:c>
      <x:c r="S583" s="22" t="n">
        <x:f>IF(T583="Ready",MAX(0,ROUND(I583+M583-Q583,2)),"n.a.")</x:f>
        <x:v>0</x:v>
      </x:c>
      <x:c r="T583" s="22" t="str">
        <x:f>IF(AND(COUNT($I$582:$I$586)=5,COUNT(E583:F583)=2),IF(E583&gt;=F583,"Ready","Budget below minima"),"Check inputs")</x:f>
        <x:v>Ready</x:v>
      </x:c>
      <x:c r="U583" s="22" t="n">
        <x:f>IF(COUNT(I583,M583,N583)=3,MAX(0,ROUND(I583+M583-N583,2)),"n.a.")</x:f>
        <x:v>0</x:v>
      </x:c>
    </x:row>
    <x:row r="584" ht="22" customHeight="1">
      <x:c r="A584" s="2"/>
      <x:c r="B584" s="2"/>
      <x:c r="C584" s="27" t="n">
        <x:f>116</x:f>
        <x:v>116</x:v>
      </x:c>
      <x:c r="D584" s="28" t="n">
        <x:f>IF(ISNUMBER('Inputs'!$D$7),EDATE('Inputs'!$D$7,115),"n.a.")</x:f>
        <x:v>49827</x:v>
      </x:c>
      <x:c r="E584" s="26" t="n">
        <x:f>IF('Inputs'!$D$9&lt;&gt;"Ready","n.a.",IF(ISNUMBER('Inputs'!E134),IF('Inputs'!E134&gt;=0,'Inputs'!E134,"n.a."),IF('Inputs'!E134="",'Inputs'!$D$6,"n.a.")))</x:f>
        <x:v>500</x:v>
      </x:c>
      <x:c r="F584" s="22" t="n">
        <x:f>IF(COUNT($N$582:$N$586)=5,SUM($N$582:$N$586),"n.a.")</x:f>
        <x:v>0</x:v>
      </x:c>
      <x:c r="G584" s="22" t="n">
        <x:f>IF(COUNT(E584:F584)=2,MAX(0,E584-F584),"n.a.")</x:f>
        <x:v>500</x:v>
      </x:c>
      <x:c r="H584" s="26" t="str">
        <x:f>'Inputs'!C13</x:f>
        <x:v>Loan C</x:v>
      </x:c>
      <x:c r="I584" s="26" t="n">
        <x:f>S579</x:f>
        <x:v>0</x:v>
      </x:c>
      <x:c r="J584" s="29" t="n">
        <x:f>IF('Inputs'!$D$9="Ready",'Inputs'!E13,"n.a.")</x:f>
        <x:v>0.08</x:v>
      </x:c>
      <x:c r="K584" s="26" t="n">
        <x:f>IF('Inputs'!$D$9="Ready",'Inputs'!F13,"n.a.")</x:f>
        <x:v>150</x:v>
      </x:c>
      <x:c r="L584" s="29" t="n">
        <x:f>IF('Inputs'!$D$9="Ready",'Inputs'!G13,"n.a.")</x:f>
        <x:v>0</x:v>
      </x:c>
      <x:c r="M584" s="22" t="n">
        <x:f>IF(COUNT(I584:L584)=4,ROUND(I584*J584/12,2),"n.a.")</x:f>
        <x:v>0</x:v>
      </x:c>
      <x:c r="N584" s="22" t="n">
        <x:f>IF(COUNT(I584:M584)=5,MIN(I584+M584,ROUND(MAX(K584,I584*L584+M584),2)),"n.a.")</x:f>
        <x:v>0</x:v>
      </x:c>
      <x:c r="O584" s="30" t="n">
        <x:f>IF(COUNT($I$582:$I$586)&lt;&gt;5,"n.a.",IF(I584=0,6,IF('Inputs'!$D$5=1,COUNTIFS($I$582:$I$586,"&gt;0",$I$582:$I$586,"&lt;"&amp;I584)+COUNTIFS($I$582:I584,I584),COUNTIFS($I$582:$I$586,"&gt;0",$J$582:$J$586,"&gt;"&amp;J584)+COUNTIFS($I$582:I584,"&gt;0",$J$582:J584,J584))))</x:f>
        <x:v>6</x:v>
      </x:c>
      <x:c r="P584" s="22" t="n">
        <x:f>IF(T584="Ready",MIN(U584,MAX(0,G584-SUMIFS($U$582:$U$586,$O$582:$O$586,"&lt;"&amp;O584))),"n.a.")</x:f>
        <x:v>0</x:v>
      </x:c>
      <x:c r="Q584" s="22" t="n">
        <x:f>IF(T584="Ready",ROUND(N584+P584,2),"n.a.")</x:f>
        <x:v>0</x:v>
      </x:c>
      <x:c r="R584" s="22" t="n">
        <x:f>IF(T584="Ready",ROUND(Q584-M584,2),"n.a.")</x:f>
        <x:v>0</x:v>
      </x:c>
      <x:c r="S584" s="22" t="n">
        <x:f>IF(T584="Ready",MAX(0,ROUND(I584+M584-Q584,2)),"n.a.")</x:f>
        <x:v>0</x:v>
      </x:c>
      <x:c r="T584" s="22" t="str">
        <x:f>IF(AND(COUNT($I$582:$I$586)=5,COUNT(E584:F584)=2),IF(E584&gt;=F584,"Ready","Budget below minima"),"Check inputs")</x:f>
        <x:v>Ready</x:v>
      </x:c>
      <x:c r="U584" s="22" t="n">
        <x:f>IF(COUNT(I584,M584,N584)=3,MAX(0,ROUND(I584+M584-N584,2)),"n.a.")</x:f>
        <x:v>0</x:v>
      </x:c>
    </x:row>
    <x:row r="585" ht="22" customHeight="1">
      <x:c r="A585" s="2"/>
      <x:c r="B585" s="2"/>
      <x:c r="C585" s="27" t="n">
        <x:f>116</x:f>
        <x:v>116</x:v>
      </x:c>
      <x:c r="D585" s="28" t="n">
        <x:f>IF(ISNUMBER('Inputs'!$D$7),EDATE('Inputs'!$D$7,115),"n.a.")</x:f>
        <x:v>49827</x:v>
      </x:c>
      <x:c r="E585" s="26" t="n">
        <x:f>IF('Inputs'!$D$9&lt;&gt;"Ready","n.a.",IF(ISNUMBER('Inputs'!E134),IF('Inputs'!E134&gt;=0,'Inputs'!E134,"n.a."),IF('Inputs'!E134="",'Inputs'!$D$6,"n.a.")))</x:f>
        <x:v>500</x:v>
      </x:c>
      <x:c r="F585" s="22" t="n">
        <x:f>IF(COUNT($N$582:$N$586)=5,SUM($N$582:$N$586),"n.a.")</x:f>
        <x:v>0</x:v>
      </x:c>
      <x:c r="G585" s="22" t="n">
        <x:f>IF(COUNT(E585:F585)=2,MAX(0,E585-F585),"n.a.")</x:f>
        <x:v>500</x:v>
      </x:c>
      <x:c r="H585" s="26" t="str">
        <x:f>'Inputs'!C14</x:f>
        <x:v>Unused 4</x:v>
      </x:c>
      <x:c r="I585" s="26" t="n">
        <x:f>S580</x:f>
        <x:v>0</x:v>
      </x:c>
      <x:c r="J585" s="29" t="n">
        <x:f>IF('Inputs'!$D$9="Ready",'Inputs'!E14,"n.a.")</x:f>
        <x:v>0</x:v>
      </x:c>
      <x:c r="K585" s="26" t="n">
        <x:f>IF('Inputs'!$D$9="Ready",'Inputs'!F14,"n.a.")</x:f>
        <x:v>0</x:v>
      </x:c>
      <x:c r="L585" s="29" t="n">
        <x:f>IF('Inputs'!$D$9="Ready",'Inputs'!G14,"n.a.")</x:f>
        <x:v>0</x:v>
      </x:c>
      <x:c r="M585" s="22" t="n">
        <x:f>IF(COUNT(I585:L585)=4,ROUND(I585*J585/12,2),"n.a.")</x:f>
        <x:v>0</x:v>
      </x:c>
      <x:c r="N585" s="22" t="n">
        <x:f>IF(COUNT(I585:M585)=5,MIN(I585+M585,ROUND(MAX(K585,I585*L585+M585),2)),"n.a.")</x:f>
        <x:v>0</x:v>
      </x:c>
      <x:c r="O585" s="30" t="n">
        <x:f>IF(COUNT($I$582:$I$586)&lt;&gt;5,"n.a.",IF(I585=0,6,IF('Inputs'!$D$5=1,COUNTIFS($I$582:$I$586,"&gt;0",$I$582:$I$586,"&lt;"&amp;I585)+COUNTIFS($I$582:I585,I585),COUNTIFS($I$582:$I$586,"&gt;0",$J$582:$J$586,"&gt;"&amp;J585)+COUNTIFS($I$582:I585,"&gt;0",$J$582:J585,J585))))</x:f>
        <x:v>6</x:v>
      </x:c>
      <x:c r="P585" s="22" t="n">
        <x:f>IF(T585="Ready",MIN(U585,MAX(0,G585-SUMIFS($U$582:$U$586,$O$582:$O$586,"&lt;"&amp;O585))),"n.a.")</x:f>
        <x:v>0</x:v>
      </x:c>
      <x:c r="Q585" s="22" t="n">
        <x:f>IF(T585="Ready",ROUND(N585+P585,2),"n.a.")</x:f>
        <x:v>0</x:v>
      </x:c>
      <x:c r="R585" s="22" t="n">
        <x:f>IF(T585="Ready",ROUND(Q585-M585,2),"n.a.")</x:f>
        <x:v>0</x:v>
      </x:c>
      <x:c r="S585" s="22" t="n">
        <x:f>IF(T585="Ready",MAX(0,ROUND(I585+M585-Q585,2)),"n.a.")</x:f>
        <x:v>0</x:v>
      </x:c>
      <x:c r="T585" s="22" t="str">
        <x:f>IF(AND(COUNT($I$582:$I$586)=5,COUNT(E585:F585)=2),IF(E585&gt;=F585,"Ready","Budget below minima"),"Check inputs")</x:f>
        <x:v>Ready</x:v>
      </x:c>
      <x:c r="U585" s="22" t="n">
        <x:f>IF(COUNT(I585,M585,N585)=3,MAX(0,ROUND(I585+M585-N585,2)),"n.a.")</x:f>
        <x:v>0</x:v>
      </x:c>
    </x:row>
    <x:row r="586" ht="22" customHeight="1">
      <x:c r="A586" s="2"/>
      <x:c r="B586" s="2"/>
      <x:c r="C586" s="27" t="n">
        <x:f>116</x:f>
        <x:v>116</x:v>
      </x:c>
      <x:c r="D586" s="28" t="n">
        <x:f>IF(ISNUMBER('Inputs'!$D$7),EDATE('Inputs'!$D$7,115),"n.a.")</x:f>
        <x:v>49827</x:v>
      </x:c>
      <x:c r="E586" s="26" t="n">
        <x:f>IF('Inputs'!$D$9&lt;&gt;"Ready","n.a.",IF(ISNUMBER('Inputs'!E134),IF('Inputs'!E134&gt;=0,'Inputs'!E134,"n.a."),IF('Inputs'!E134="",'Inputs'!$D$6,"n.a.")))</x:f>
        <x:v>500</x:v>
      </x:c>
      <x:c r="F586" s="22" t="n">
        <x:f>IF(COUNT($N$582:$N$586)=5,SUM($N$582:$N$586),"n.a.")</x:f>
        <x:v>0</x:v>
      </x:c>
      <x:c r="G586" s="22" t="n">
        <x:f>IF(COUNT(E586:F586)=2,MAX(0,E586-F586),"n.a.")</x:f>
        <x:v>500</x:v>
      </x:c>
      <x:c r="H586" s="26" t="str">
        <x:f>'Inputs'!C15</x:f>
        <x:v>Unused 5</x:v>
      </x:c>
      <x:c r="I586" s="26" t="n">
        <x:f>S581</x:f>
        <x:v>0</x:v>
      </x:c>
      <x:c r="J586" s="29" t="n">
        <x:f>IF('Inputs'!$D$9="Ready",'Inputs'!E15,"n.a.")</x:f>
        <x:v>0</x:v>
      </x:c>
      <x:c r="K586" s="26" t="n">
        <x:f>IF('Inputs'!$D$9="Ready",'Inputs'!F15,"n.a.")</x:f>
        <x:v>0</x:v>
      </x:c>
      <x:c r="L586" s="29" t="n">
        <x:f>IF('Inputs'!$D$9="Ready",'Inputs'!G15,"n.a.")</x:f>
        <x:v>0</x:v>
      </x:c>
      <x:c r="M586" s="22" t="n">
        <x:f>IF(COUNT(I586:L586)=4,ROUND(I586*J586/12,2),"n.a.")</x:f>
        <x:v>0</x:v>
      </x:c>
      <x:c r="N586" s="22" t="n">
        <x:f>IF(COUNT(I586:M586)=5,MIN(I586+M586,ROUND(MAX(K586,I586*L586+M586),2)),"n.a.")</x:f>
        <x:v>0</x:v>
      </x:c>
      <x:c r="O586" s="30" t="n">
        <x:f>IF(COUNT($I$582:$I$586)&lt;&gt;5,"n.a.",IF(I586=0,6,IF('Inputs'!$D$5=1,COUNTIFS($I$582:$I$586,"&gt;0",$I$582:$I$586,"&lt;"&amp;I586)+COUNTIFS($I$582:I586,I586),COUNTIFS($I$582:$I$586,"&gt;0",$J$582:$J$586,"&gt;"&amp;J586)+COUNTIFS($I$582:I586,"&gt;0",$J$582:J586,J586))))</x:f>
        <x:v>6</x:v>
      </x:c>
      <x:c r="P586" s="22" t="n">
        <x:f>IF(T586="Ready",MIN(U586,MAX(0,G586-SUMIFS($U$582:$U$586,$O$582:$O$586,"&lt;"&amp;O586))),"n.a.")</x:f>
        <x:v>0</x:v>
      </x:c>
      <x:c r="Q586" s="22" t="n">
        <x:f>IF(T586="Ready",ROUND(N586+P586,2),"n.a.")</x:f>
        <x:v>0</x:v>
      </x:c>
      <x:c r="R586" s="22" t="n">
        <x:f>IF(T586="Ready",ROUND(Q586-M586,2),"n.a.")</x:f>
        <x:v>0</x:v>
      </x:c>
      <x:c r="S586" s="22" t="n">
        <x:f>IF(T586="Ready",MAX(0,ROUND(I586+M586-Q586,2)),"n.a.")</x:f>
        <x:v>0</x:v>
      </x:c>
      <x:c r="T586" s="22" t="str">
        <x:f>IF(AND(COUNT($I$582:$I$586)=5,COUNT(E586:F586)=2),IF(E586&gt;=F586,"Ready","Budget below minima"),"Check inputs")</x:f>
        <x:v>Ready</x:v>
      </x:c>
      <x:c r="U586" s="22" t="n">
        <x:f>IF(COUNT(I586,M586,N586)=3,MAX(0,ROUND(I586+M586-N586,2)),"n.a.")</x:f>
        <x:v>0</x:v>
      </x:c>
    </x:row>
    <x:row r="587" ht="22" customHeight="1">
      <x:c r="A587" s="2"/>
      <x:c r="B587" s="2"/>
      <x:c r="C587" s="27" t="n">
        <x:f>117</x:f>
        <x:v>117</x:v>
      </x:c>
      <x:c r="D587" s="28" t="n">
        <x:f>IF(ISNUMBER('Inputs'!$D$7),EDATE('Inputs'!$D$7,116),"n.a.")</x:f>
        <x:v>49857</x:v>
      </x:c>
      <x:c r="E587" s="26" t="n">
        <x:f>IF('Inputs'!$D$9&lt;&gt;"Ready","n.a.",IF(ISNUMBER('Inputs'!E135),IF('Inputs'!E135&gt;=0,'Inputs'!E135,"n.a."),IF('Inputs'!E135="",'Inputs'!$D$6,"n.a.")))</x:f>
        <x:v>500</x:v>
      </x:c>
      <x:c r="F587" s="22" t="n">
        <x:f>IF(COUNT($N$587:$N$591)=5,SUM($N$587:$N$591),"n.a.")</x:f>
        <x:v>0</x:v>
      </x:c>
      <x:c r="G587" s="22" t="n">
        <x:f>IF(COUNT(E587:F587)=2,MAX(0,E587-F587),"n.a.")</x:f>
        <x:v>500</x:v>
      </x:c>
      <x:c r="H587" s="26" t="str">
        <x:f>'Inputs'!C11</x:f>
        <x:v>Card A</x:v>
      </x:c>
      <x:c r="I587" s="26" t="n">
        <x:f>S582</x:f>
        <x:v>0</x:v>
      </x:c>
      <x:c r="J587" s="29" t="n">
        <x:f>IF('Inputs'!$D$9="Ready",'Inputs'!E11,"n.a.")</x:f>
        <x:v>0.24</x:v>
      </x:c>
      <x:c r="K587" s="26" t="n">
        <x:f>IF('Inputs'!$D$9="Ready",'Inputs'!F11,"n.a.")</x:f>
        <x:v>35</x:v>
      </x:c>
      <x:c r="L587" s="29" t="n">
        <x:f>IF('Inputs'!$D$9="Ready",'Inputs'!G11,"n.a.")</x:f>
        <x:v>0.02</x:v>
      </x:c>
      <x:c r="M587" s="22" t="n">
        <x:f>IF(COUNT(I587:L587)=4,ROUND(I587*J587/12,2),"n.a.")</x:f>
        <x:v>0</x:v>
      </x:c>
      <x:c r="N587" s="22" t="n">
        <x:f>IF(COUNT(I587:M587)=5,MIN(I587+M587,ROUND(MAX(K587,I587*L587+M587),2)),"n.a.")</x:f>
        <x:v>0</x:v>
      </x:c>
      <x:c r="O587" s="30" t="n">
        <x:f>IF(COUNT($I$587:$I$591)&lt;&gt;5,"n.a.",IF(I587=0,6,IF('Inputs'!$D$5=1,COUNTIFS($I$587:$I$591,"&gt;0",$I$587:$I$591,"&lt;"&amp;I587)+COUNTIFS($I$587:I587,I587),COUNTIFS($I$587:$I$591,"&gt;0",$J$587:$J$591,"&gt;"&amp;J587)+COUNTIFS($I$587:I587,"&gt;0",$J$587:J587,J587))))</x:f>
        <x:v>6</x:v>
      </x:c>
      <x:c r="P587" s="22" t="n">
        <x:f>IF(T587="Ready",MIN(U587,MAX(0,G587-SUMIFS($U$587:$U$591,$O$587:$O$591,"&lt;"&amp;O587))),"n.a.")</x:f>
        <x:v>0</x:v>
      </x:c>
      <x:c r="Q587" s="22" t="n">
        <x:f>IF(T587="Ready",ROUND(N587+P587,2),"n.a.")</x:f>
        <x:v>0</x:v>
      </x:c>
      <x:c r="R587" s="22" t="n">
        <x:f>IF(T587="Ready",ROUND(Q587-M587,2),"n.a.")</x:f>
        <x:v>0</x:v>
      </x:c>
      <x:c r="S587" s="22" t="n">
        <x:f>IF(T587="Ready",MAX(0,ROUND(I587+M587-Q587,2)),"n.a.")</x:f>
        <x:v>0</x:v>
      </x:c>
      <x:c r="T587" s="22" t="str">
        <x:f>IF(AND(COUNT($I$587:$I$591)=5,COUNT(E587:F587)=2),IF(E587&gt;=F587,"Ready","Budget below minima"),"Check inputs")</x:f>
        <x:v>Ready</x:v>
      </x:c>
      <x:c r="U587" s="22" t="n">
        <x:f>IF(COUNT(I587,M587,N587)=3,MAX(0,ROUND(I587+M587-N587,2)),"n.a.")</x:f>
        <x:v>0</x:v>
      </x:c>
    </x:row>
    <x:row r="588" ht="22" customHeight="1">
      <x:c r="A588" s="2"/>
      <x:c r="B588" s="2"/>
      <x:c r="C588" s="27" t="n">
        <x:f>117</x:f>
        <x:v>117</x:v>
      </x:c>
      <x:c r="D588" s="28" t="n">
        <x:f>IF(ISNUMBER('Inputs'!$D$7),EDATE('Inputs'!$D$7,116),"n.a.")</x:f>
        <x:v>49857</x:v>
      </x:c>
      <x:c r="E588" s="26" t="n">
        <x:f>IF('Inputs'!$D$9&lt;&gt;"Ready","n.a.",IF(ISNUMBER('Inputs'!E135),IF('Inputs'!E135&gt;=0,'Inputs'!E135,"n.a."),IF('Inputs'!E135="",'Inputs'!$D$6,"n.a.")))</x:f>
        <x:v>500</x:v>
      </x:c>
      <x:c r="F588" s="22" t="n">
        <x:f>IF(COUNT($N$587:$N$591)=5,SUM($N$587:$N$591),"n.a.")</x:f>
        <x:v>0</x:v>
      </x:c>
      <x:c r="G588" s="22" t="n">
        <x:f>IF(COUNT(E588:F588)=2,MAX(0,E588-F588),"n.a.")</x:f>
        <x:v>500</x:v>
      </x:c>
      <x:c r="H588" s="26" t="str">
        <x:f>'Inputs'!C12</x:f>
        <x:v>Card B</x:v>
      </x:c>
      <x:c r="I588" s="26" t="n">
        <x:f>S583</x:f>
        <x:v>0</x:v>
      </x:c>
      <x:c r="J588" s="29" t="n">
        <x:f>IF('Inputs'!$D$9="Ready",'Inputs'!E12,"n.a.")</x:f>
        <x:v>0.18</x:v>
      </x:c>
      <x:c r="K588" s="26" t="n">
        <x:f>IF('Inputs'!$D$9="Ready",'Inputs'!F12,"n.a.")</x:f>
        <x:v>60</x:v>
      </x:c>
      <x:c r="L588" s="29" t="n">
        <x:f>IF('Inputs'!$D$9="Ready",'Inputs'!G12,"n.a.")</x:f>
        <x:v>0.02</x:v>
      </x:c>
      <x:c r="M588" s="22" t="n">
        <x:f>IF(COUNT(I588:L588)=4,ROUND(I588*J588/12,2),"n.a.")</x:f>
        <x:v>0</x:v>
      </x:c>
      <x:c r="N588" s="22" t="n">
        <x:f>IF(COUNT(I588:M588)=5,MIN(I588+M588,ROUND(MAX(K588,I588*L588+M588),2)),"n.a.")</x:f>
        <x:v>0</x:v>
      </x:c>
      <x:c r="O588" s="30" t="n">
        <x:f>IF(COUNT($I$587:$I$591)&lt;&gt;5,"n.a.",IF(I588=0,6,IF('Inputs'!$D$5=1,COUNTIFS($I$587:$I$591,"&gt;0",$I$587:$I$591,"&lt;"&amp;I588)+COUNTIFS($I$587:I588,I588),COUNTIFS($I$587:$I$591,"&gt;0",$J$587:$J$591,"&gt;"&amp;J588)+COUNTIFS($I$587:I588,"&gt;0",$J$587:J588,J588))))</x:f>
        <x:v>6</x:v>
      </x:c>
      <x:c r="P588" s="22" t="n">
        <x:f>IF(T588="Ready",MIN(U588,MAX(0,G588-SUMIFS($U$587:$U$591,$O$587:$O$591,"&lt;"&amp;O588))),"n.a.")</x:f>
        <x:v>0</x:v>
      </x:c>
      <x:c r="Q588" s="22" t="n">
        <x:f>IF(T588="Ready",ROUND(N588+P588,2),"n.a.")</x:f>
        <x:v>0</x:v>
      </x:c>
      <x:c r="R588" s="22" t="n">
        <x:f>IF(T588="Ready",ROUND(Q588-M588,2),"n.a.")</x:f>
        <x:v>0</x:v>
      </x:c>
      <x:c r="S588" s="22" t="n">
        <x:f>IF(T588="Ready",MAX(0,ROUND(I588+M588-Q588,2)),"n.a.")</x:f>
        <x:v>0</x:v>
      </x:c>
      <x:c r="T588" s="22" t="str">
        <x:f>IF(AND(COUNT($I$587:$I$591)=5,COUNT(E588:F588)=2),IF(E588&gt;=F588,"Ready","Budget below minima"),"Check inputs")</x:f>
        <x:v>Ready</x:v>
      </x:c>
      <x:c r="U588" s="22" t="n">
        <x:f>IF(COUNT(I588,M588,N588)=3,MAX(0,ROUND(I588+M588-N588,2)),"n.a.")</x:f>
        <x:v>0</x:v>
      </x:c>
    </x:row>
    <x:row r="589" ht="22" customHeight="1">
      <x:c r="A589" s="2"/>
      <x:c r="B589" s="2"/>
      <x:c r="C589" s="27" t="n">
        <x:f>117</x:f>
        <x:v>117</x:v>
      </x:c>
      <x:c r="D589" s="28" t="n">
        <x:f>IF(ISNUMBER('Inputs'!$D$7),EDATE('Inputs'!$D$7,116),"n.a.")</x:f>
        <x:v>49857</x:v>
      </x:c>
      <x:c r="E589" s="26" t="n">
        <x:f>IF('Inputs'!$D$9&lt;&gt;"Ready","n.a.",IF(ISNUMBER('Inputs'!E135),IF('Inputs'!E135&gt;=0,'Inputs'!E135,"n.a."),IF('Inputs'!E135="",'Inputs'!$D$6,"n.a.")))</x:f>
        <x:v>500</x:v>
      </x:c>
      <x:c r="F589" s="22" t="n">
        <x:f>IF(COUNT($N$587:$N$591)=5,SUM($N$587:$N$591),"n.a.")</x:f>
        <x:v>0</x:v>
      </x:c>
      <x:c r="G589" s="22" t="n">
        <x:f>IF(COUNT(E589:F589)=2,MAX(0,E589-F589),"n.a.")</x:f>
        <x:v>500</x:v>
      </x:c>
      <x:c r="H589" s="26" t="str">
        <x:f>'Inputs'!C13</x:f>
        <x:v>Loan C</x:v>
      </x:c>
      <x:c r="I589" s="26" t="n">
        <x:f>S584</x:f>
        <x:v>0</x:v>
      </x:c>
      <x:c r="J589" s="29" t="n">
        <x:f>IF('Inputs'!$D$9="Ready",'Inputs'!E13,"n.a.")</x:f>
        <x:v>0.08</x:v>
      </x:c>
      <x:c r="K589" s="26" t="n">
        <x:f>IF('Inputs'!$D$9="Ready",'Inputs'!F13,"n.a.")</x:f>
        <x:v>150</x:v>
      </x:c>
      <x:c r="L589" s="29" t="n">
        <x:f>IF('Inputs'!$D$9="Ready",'Inputs'!G13,"n.a.")</x:f>
        <x:v>0</x:v>
      </x:c>
      <x:c r="M589" s="22" t="n">
        <x:f>IF(COUNT(I589:L589)=4,ROUND(I589*J589/12,2),"n.a.")</x:f>
        <x:v>0</x:v>
      </x:c>
      <x:c r="N589" s="22" t="n">
        <x:f>IF(COUNT(I589:M589)=5,MIN(I589+M589,ROUND(MAX(K589,I589*L589+M589),2)),"n.a.")</x:f>
        <x:v>0</x:v>
      </x:c>
      <x:c r="O589" s="30" t="n">
        <x:f>IF(COUNT($I$587:$I$591)&lt;&gt;5,"n.a.",IF(I589=0,6,IF('Inputs'!$D$5=1,COUNTIFS($I$587:$I$591,"&gt;0",$I$587:$I$591,"&lt;"&amp;I589)+COUNTIFS($I$587:I589,I589),COUNTIFS($I$587:$I$591,"&gt;0",$J$587:$J$591,"&gt;"&amp;J589)+COUNTIFS($I$587:I589,"&gt;0",$J$587:J589,J589))))</x:f>
        <x:v>6</x:v>
      </x:c>
      <x:c r="P589" s="22" t="n">
        <x:f>IF(T589="Ready",MIN(U589,MAX(0,G589-SUMIFS($U$587:$U$591,$O$587:$O$591,"&lt;"&amp;O589))),"n.a.")</x:f>
        <x:v>0</x:v>
      </x:c>
      <x:c r="Q589" s="22" t="n">
        <x:f>IF(T589="Ready",ROUND(N589+P589,2),"n.a.")</x:f>
        <x:v>0</x:v>
      </x:c>
      <x:c r="R589" s="22" t="n">
        <x:f>IF(T589="Ready",ROUND(Q589-M589,2),"n.a.")</x:f>
        <x:v>0</x:v>
      </x:c>
      <x:c r="S589" s="22" t="n">
        <x:f>IF(T589="Ready",MAX(0,ROUND(I589+M589-Q589,2)),"n.a.")</x:f>
        <x:v>0</x:v>
      </x:c>
      <x:c r="T589" s="22" t="str">
        <x:f>IF(AND(COUNT($I$587:$I$591)=5,COUNT(E589:F589)=2),IF(E589&gt;=F589,"Ready","Budget below minima"),"Check inputs")</x:f>
        <x:v>Ready</x:v>
      </x:c>
      <x:c r="U589" s="22" t="n">
        <x:f>IF(COUNT(I589,M589,N589)=3,MAX(0,ROUND(I589+M589-N589,2)),"n.a.")</x:f>
        <x:v>0</x:v>
      </x:c>
    </x:row>
    <x:row r="590" ht="22" customHeight="1">
      <x:c r="A590" s="2"/>
      <x:c r="B590" s="2"/>
      <x:c r="C590" s="27" t="n">
        <x:f>117</x:f>
        <x:v>117</x:v>
      </x:c>
      <x:c r="D590" s="28" t="n">
        <x:f>IF(ISNUMBER('Inputs'!$D$7),EDATE('Inputs'!$D$7,116),"n.a.")</x:f>
        <x:v>49857</x:v>
      </x:c>
      <x:c r="E590" s="26" t="n">
        <x:f>IF('Inputs'!$D$9&lt;&gt;"Ready","n.a.",IF(ISNUMBER('Inputs'!E135),IF('Inputs'!E135&gt;=0,'Inputs'!E135,"n.a."),IF('Inputs'!E135="",'Inputs'!$D$6,"n.a.")))</x:f>
        <x:v>500</x:v>
      </x:c>
      <x:c r="F590" s="22" t="n">
        <x:f>IF(COUNT($N$587:$N$591)=5,SUM($N$587:$N$591),"n.a.")</x:f>
        <x:v>0</x:v>
      </x:c>
      <x:c r="G590" s="22" t="n">
        <x:f>IF(COUNT(E590:F590)=2,MAX(0,E590-F590),"n.a.")</x:f>
        <x:v>500</x:v>
      </x:c>
      <x:c r="H590" s="26" t="str">
        <x:f>'Inputs'!C14</x:f>
        <x:v>Unused 4</x:v>
      </x:c>
      <x:c r="I590" s="26" t="n">
        <x:f>S585</x:f>
        <x:v>0</x:v>
      </x:c>
      <x:c r="J590" s="29" t="n">
        <x:f>IF('Inputs'!$D$9="Ready",'Inputs'!E14,"n.a.")</x:f>
        <x:v>0</x:v>
      </x:c>
      <x:c r="K590" s="26" t="n">
        <x:f>IF('Inputs'!$D$9="Ready",'Inputs'!F14,"n.a.")</x:f>
        <x:v>0</x:v>
      </x:c>
      <x:c r="L590" s="29" t="n">
        <x:f>IF('Inputs'!$D$9="Ready",'Inputs'!G14,"n.a.")</x:f>
        <x:v>0</x:v>
      </x:c>
      <x:c r="M590" s="22" t="n">
        <x:f>IF(COUNT(I590:L590)=4,ROUND(I590*J590/12,2),"n.a.")</x:f>
        <x:v>0</x:v>
      </x:c>
      <x:c r="N590" s="22" t="n">
        <x:f>IF(COUNT(I590:M590)=5,MIN(I590+M590,ROUND(MAX(K590,I590*L590+M590),2)),"n.a.")</x:f>
        <x:v>0</x:v>
      </x:c>
      <x:c r="O590" s="30" t="n">
        <x:f>IF(COUNT($I$587:$I$591)&lt;&gt;5,"n.a.",IF(I590=0,6,IF('Inputs'!$D$5=1,COUNTIFS($I$587:$I$591,"&gt;0",$I$587:$I$591,"&lt;"&amp;I590)+COUNTIFS($I$587:I590,I590),COUNTIFS($I$587:$I$591,"&gt;0",$J$587:$J$591,"&gt;"&amp;J590)+COUNTIFS($I$587:I590,"&gt;0",$J$587:J590,J590))))</x:f>
        <x:v>6</x:v>
      </x:c>
      <x:c r="P590" s="22" t="n">
        <x:f>IF(T590="Ready",MIN(U590,MAX(0,G590-SUMIFS($U$587:$U$591,$O$587:$O$591,"&lt;"&amp;O590))),"n.a.")</x:f>
        <x:v>0</x:v>
      </x:c>
      <x:c r="Q590" s="22" t="n">
        <x:f>IF(T590="Ready",ROUND(N590+P590,2),"n.a.")</x:f>
        <x:v>0</x:v>
      </x:c>
      <x:c r="R590" s="22" t="n">
        <x:f>IF(T590="Ready",ROUND(Q590-M590,2),"n.a.")</x:f>
        <x:v>0</x:v>
      </x:c>
      <x:c r="S590" s="22" t="n">
        <x:f>IF(T590="Ready",MAX(0,ROUND(I590+M590-Q590,2)),"n.a.")</x:f>
        <x:v>0</x:v>
      </x:c>
      <x:c r="T590" s="22" t="str">
        <x:f>IF(AND(COUNT($I$587:$I$591)=5,COUNT(E590:F590)=2),IF(E590&gt;=F590,"Ready","Budget below minima"),"Check inputs")</x:f>
        <x:v>Ready</x:v>
      </x:c>
      <x:c r="U590" s="22" t="n">
        <x:f>IF(COUNT(I590,M590,N590)=3,MAX(0,ROUND(I590+M590-N590,2)),"n.a.")</x:f>
        <x:v>0</x:v>
      </x:c>
    </x:row>
    <x:row r="591" ht="22" customHeight="1">
      <x:c r="A591" s="2"/>
      <x:c r="B591" s="2"/>
      <x:c r="C591" s="27" t="n">
        <x:f>117</x:f>
        <x:v>117</x:v>
      </x:c>
      <x:c r="D591" s="28" t="n">
        <x:f>IF(ISNUMBER('Inputs'!$D$7),EDATE('Inputs'!$D$7,116),"n.a.")</x:f>
        <x:v>49857</x:v>
      </x:c>
      <x:c r="E591" s="26" t="n">
        <x:f>IF('Inputs'!$D$9&lt;&gt;"Ready","n.a.",IF(ISNUMBER('Inputs'!E135),IF('Inputs'!E135&gt;=0,'Inputs'!E135,"n.a."),IF('Inputs'!E135="",'Inputs'!$D$6,"n.a.")))</x:f>
        <x:v>500</x:v>
      </x:c>
      <x:c r="F591" s="22" t="n">
        <x:f>IF(COUNT($N$587:$N$591)=5,SUM($N$587:$N$591),"n.a.")</x:f>
        <x:v>0</x:v>
      </x:c>
      <x:c r="G591" s="22" t="n">
        <x:f>IF(COUNT(E591:F591)=2,MAX(0,E591-F591),"n.a.")</x:f>
        <x:v>500</x:v>
      </x:c>
      <x:c r="H591" s="26" t="str">
        <x:f>'Inputs'!C15</x:f>
        <x:v>Unused 5</x:v>
      </x:c>
      <x:c r="I591" s="26" t="n">
        <x:f>S586</x:f>
        <x:v>0</x:v>
      </x:c>
      <x:c r="J591" s="29" t="n">
        <x:f>IF('Inputs'!$D$9="Ready",'Inputs'!E15,"n.a.")</x:f>
        <x:v>0</x:v>
      </x:c>
      <x:c r="K591" s="26" t="n">
        <x:f>IF('Inputs'!$D$9="Ready",'Inputs'!F15,"n.a.")</x:f>
        <x:v>0</x:v>
      </x:c>
      <x:c r="L591" s="29" t="n">
        <x:f>IF('Inputs'!$D$9="Ready",'Inputs'!G15,"n.a.")</x:f>
        <x:v>0</x:v>
      </x:c>
      <x:c r="M591" s="22" t="n">
        <x:f>IF(COUNT(I591:L591)=4,ROUND(I591*J591/12,2),"n.a.")</x:f>
        <x:v>0</x:v>
      </x:c>
      <x:c r="N591" s="22" t="n">
        <x:f>IF(COUNT(I591:M591)=5,MIN(I591+M591,ROUND(MAX(K591,I591*L591+M591),2)),"n.a.")</x:f>
        <x:v>0</x:v>
      </x:c>
      <x:c r="O591" s="30" t="n">
        <x:f>IF(COUNT($I$587:$I$591)&lt;&gt;5,"n.a.",IF(I591=0,6,IF('Inputs'!$D$5=1,COUNTIFS($I$587:$I$591,"&gt;0",$I$587:$I$591,"&lt;"&amp;I591)+COUNTIFS($I$587:I591,I591),COUNTIFS($I$587:$I$591,"&gt;0",$J$587:$J$591,"&gt;"&amp;J591)+COUNTIFS($I$587:I591,"&gt;0",$J$587:J591,J591))))</x:f>
        <x:v>6</x:v>
      </x:c>
      <x:c r="P591" s="22" t="n">
        <x:f>IF(T591="Ready",MIN(U591,MAX(0,G591-SUMIFS($U$587:$U$591,$O$587:$O$591,"&lt;"&amp;O591))),"n.a.")</x:f>
        <x:v>0</x:v>
      </x:c>
      <x:c r="Q591" s="22" t="n">
        <x:f>IF(T591="Ready",ROUND(N591+P591,2),"n.a.")</x:f>
        <x:v>0</x:v>
      </x:c>
      <x:c r="R591" s="22" t="n">
        <x:f>IF(T591="Ready",ROUND(Q591-M591,2),"n.a.")</x:f>
        <x:v>0</x:v>
      </x:c>
      <x:c r="S591" s="22" t="n">
        <x:f>IF(T591="Ready",MAX(0,ROUND(I591+M591-Q591,2)),"n.a.")</x:f>
        <x:v>0</x:v>
      </x:c>
      <x:c r="T591" s="22" t="str">
        <x:f>IF(AND(COUNT($I$587:$I$591)=5,COUNT(E591:F591)=2),IF(E591&gt;=F591,"Ready","Budget below minima"),"Check inputs")</x:f>
        <x:v>Ready</x:v>
      </x:c>
      <x:c r="U591" s="22" t="n">
        <x:f>IF(COUNT(I591,M591,N591)=3,MAX(0,ROUND(I591+M591-N591,2)),"n.a.")</x:f>
        <x:v>0</x:v>
      </x:c>
    </x:row>
    <x:row r="592" ht="22" customHeight="1">
      <x:c r="A592" s="2"/>
      <x:c r="B592" s="2"/>
      <x:c r="C592" s="27" t="n">
        <x:f>118</x:f>
        <x:v>118</x:v>
      </x:c>
      <x:c r="D592" s="28" t="n">
        <x:f>IF(ISNUMBER('Inputs'!$D$7),EDATE('Inputs'!$D$7,117),"n.a.")</x:f>
        <x:v>49888</x:v>
      </x:c>
      <x:c r="E592" s="26" t="n">
        <x:f>IF('Inputs'!$D$9&lt;&gt;"Ready","n.a.",IF(ISNUMBER('Inputs'!E136),IF('Inputs'!E136&gt;=0,'Inputs'!E136,"n.a."),IF('Inputs'!E136="",'Inputs'!$D$6,"n.a.")))</x:f>
        <x:v>500</x:v>
      </x:c>
      <x:c r="F592" s="22" t="n">
        <x:f>IF(COUNT($N$592:$N$596)=5,SUM($N$592:$N$596),"n.a.")</x:f>
        <x:v>0</x:v>
      </x:c>
      <x:c r="G592" s="22" t="n">
        <x:f>IF(COUNT(E592:F592)=2,MAX(0,E592-F592),"n.a.")</x:f>
        <x:v>500</x:v>
      </x:c>
      <x:c r="H592" s="26" t="str">
        <x:f>'Inputs'!C11</x:f>
        <x:v>Card A</x:v>
      </x:c>
      <x:c r="I592" s="26" t="n">
        <x:f>S587</x:f>
        <x:v>0</x:v>
      </x:c>
      <x:c r="J592" s="29" t="n">
        <x:f>IF('Inputs'!$D$9="Ready",'Inputs'!E11,"n.a.")</x:f>
        <x:v>0.24</x:v>
      </x:c>
      <x:c r="K592" s="26" t="n">
        <x:f>IF('Inputs'!$D$9="Ready",'Inputs'!F11,"n.a.")</x:f>
        <x:v>35</x:v>
      </x:c>
      <x:c r="L592" s="29" t="n">
        <x:f>IF('Inputs'!$D$9="Ready",'Inputs'!G11,"n.a.")</x:f>
        <x:v>0.02</x:v>
      </x:c>
      <x:c r="M592" s="22" t="n">
        <x:f>IF(COUNT(I592:L592)=4,ROUND(I592*J592/12,2),"n.a.")</x:f>
        <x:v>0</x:v>
      </x:c>
      <x:c r="N592" s="22" t="n">
        <x:f>IF(COUNT(I592:M592)=5,MIN(I592+M592,ROUND(MAX(K592,I592*L592+M592),2)),"n.a.")</x:f>
        <x:v>0</x:v>
      </x:c>
      <x:c r="O592" s="30" t="n">
        <x:f>IF(COUNT($I$592:$I$596)&lt;&gt;5,"n.a.",IF(I592=0,6,IF('Inputs'!$D$5=1,COUNTIFS($I$592:$I$596,"&gt;0",$I$592:$I$596,"&lt;"&amp;I592)+COUNTIFS($I$592:I592,I592),COUNTIFS($I$592:$I$596,"&gt;0",$J$592:$J$596,"&gt;"&amp;J592)+COUNTIFS($I$592:I592,"&gt;0",$J$592:J592,J592))))</x:f>
        <x:v>6</x:v>
      </x:c>
      <x:c r="P592" s="22" t="n">
        <x:f>IF(T592="Ready",MIN(U592,MAX(0,G592-SUMIFS($U$592:$U$596,$O$592:$O$596,"&lt;"&amp;O592))),"n.a.")</x:f>
        <x:v>0</x:v>
      </x:c>
      <x:c r="Q592" s="22" t="n">
        <x:f>IF(T592="Ready",ROUND(N592+P592,2),"n.a.")</x:f>
        <x:v>0</x:v>
      </x:c>
      <x:c r="R592" s="22" t="n">
        <x:f>IF(T592="Ready",ROUND(Q592-M592,2),"n.a.")</x:f>
        <x:v>0</x:v>
      </x:c>
      <x:c r="S592" s="22" t="n">
        <x:f>IF(T592="Ready",MAX(0,ROUND(I592+M592-Q592,2)),"n.a.")</x:f>
        <x:v>0</x:v>
      </x:c>
      <x:c r="T592" s="22" t="str">
        <x:f>IF(AND(COUNT($I$592:$I$596)=5,COUNT(E592:F592)=2),IF(E592&gt;=F592,"Ready","Budget below minima"),"Check inputs")</x:f>
        <x:v>Ready</x:v>
      </x:c>
      <x:c r="U592" s="22" t="n">
        <x:f>IF(COUNT(I592,M592,N592)=3,MAX(0,ROUND(I592+M592-N592,2)),"n.a.")</x:f>
        <x:v>0</x:v>
      </x:c>
    </x:row>
    <x:row r="593" ht="22" customHeight="1">
      <x:c r="A593" s="2"/>
      <x:c r="B593" s="2"/>
      <x:c r="C593" s="27" t="n">
        <x:f>118</x:f>
        <x:v>118</x:v>
      </x:c>
      <x:c r="D593" s="28" t="n">
        <x:f>IF(ISNUMBER('Inputs'!$D$7),EDATE('Inputs'!$D$7,117),"n.a.")</x:f>
        <x:v>49888</x:v>
      </x:c>
      <x:c r="E593" s="26" t="n">
        <x:f>IF('Inputs'!$D$9&lt;&gt;"Ready","n.a.",IF(ISNUMBER('Inputs'!E136),IF('Inputs'!E136&gt;=0,'Inputs'!E136,"n.a."),IF('Inputs'!E136="",'Inputs'!$D$6,"n.a.")))</x:f>
        <x:v>500</x:v>
      </x:c>
      <x:c r="F593" s="22" t="n">
        <x:f>IF(COUNT($N$592:$N$596)=5,SUM($N$592:$N$596),"n.a.")</x:f>
        <x:v>0</x:v>
      </x:c>
      <x:c r="G593" s="22" t="n">
        <x:f>IF(COUNT(E593:F593)=2,MAX(0,E593-F593),"n.a.")</x:f>
        <x:v>500</x:v>
      </x:c>
      <x:c r="H593" s="26" t="str">
        <x:f>'Inputs'!C12</x:f>
        <x:v>Card B</x:v>
      </x:c>
      <x:c r="I593" s="26" t="n">
        <x:f>S588</x:f>
        <x:v>0</x:v>
      </x:c>
      <x:c r="J593" s="29" t="n">
        <x:f>IF('Inputs'!$D$9="Ready",'Inputs'!E12,"n.a.")</x:f>
        <x:v>0.18</x:v>
      </x:c>
      <x:c r="K593" s="26" t="n">
        <x:f>IF('Inputs'!$D$9="Ready",'Inputs'!F12,"n.a.")</x:f>
        <x:v>60</x:v>
      </x:c>
      <x:c r="L593" s="29" t="n">
        <x:f>IF('Inputs'!$D$9="Ready",'Inputs'!G12,"n.a.")</x:f>
        <x:v>0.02</x:v>
      </x:c>
      <x:c r="M593" s="22" t="n">
        <x:f>IF(COUNT(I593:L593)=4,ROUND(I593*J593/12,2),"n.a.")</x:f>
        <x:v>0</x:v>
      </x:c>
      <x:c r="N593" s="22" t="n">
        <x:f>IF(COUNT(I593:M593)=5,MIN(I593+M593,ROUND(MAX(K593,I593*L593+M593),2)),"n.a.")</x:f>
        <x:v>0</x:v>
      </x:c>
      <x:c r="O593" s="30" t="n">
        <x:f>IF(COUNT($I$592:$I$596)&lt;&gt;5,"n.a.",IF(I593=0,6,IF('Inputs'!$D$5=1,COUNTIFS($I$592:$I$596,"&gt;0",$I$592:$I$596,"&lt;"&amp;I593)+COUNTIFS($I$592:I593,I593),COUNTIFS($I$592:$I$596,"&gt;0",$J$592:$J$596,"&gt;"&amp;J593)+COUNTIFS($I$592:I593,"&gt;0",$J$592:J593,J593))))</x:f>
        <x:v>6</x:v>
      </x:c>
      <x:c r="P593" s="22" t="n">
        <x:f>IF(T593="Ready",MIN(U593,MAX(0,G593-SUMIFS($U$592:$U$596,$O$592:$O$596,"&lt;"&amp;O593))),"n.a.")</x:f>
        <x:v>0</x:v>
      </x:c>
      <x:c r="Q593" s="22" t="n">
        <x:f>IF(T593="Ready",ROUND(N593+P593,2),"n.a.")</x:f>
        <x:v>0</x:v>
      </x:c>
      <x:c r="R593" s="22" t="n">
        <x:f>IF(T593="Ready",ROUND(Q593-M593,2),"n.a.")</x:f>
        <x:v>0</x:v>
      </x:c>
      <x:c r="S593" s="22" t="n">
        <x:f>IF(T593="Ready",MAX(0,ROUND(I593+M593-Q593,2)),"n.a.")</x:f>
        <x:v>0</x:v>
      </x:c>
      <x:c r="T593" s="22" t="str">
        <x:f>IF(AND(COUNT($I$592:$I$596)=5,COUNT(E593:F593)=2),IF(E593&gt;=F593,"Ready","Budget below minima"),"Check inputs")</x:f>
        <x:v>Ready</x:v>
      </x:c>
      <x:c r="U593" s="22" t="n">
        <x:f>IF(COUNT(I593,M593,N593)=3,MAX(0,ROUND(I593+M593-N593,2)),"n.a.")</x:f>
        <x:v>0</x:v>
      </x:c>
    </x:row>
    <x:row r="594" ht="22" customHeight="1">
      <x:c r="A594" s="2"/>
      <x:c r="B594" s="2"/>
      <x:c r="C594" s="27" t="n">
        <x:f>118</x:f>
        <x:v>118</x:v>
      </x:c>
      <x:c r="D594" s="28" t="n">
        <x:f>IF(ISNUMBER('Inputs'!$D$7),EDATE('Inputs'!$D$7,117),"n.a.")</x:f>
        <x:v>49888</x:v>
      </x:c>
      <x:c r="E594" s="26" t="n">
        <x:f>IF('Inputs'!$D$9&lt;&gt;"Ready","n.a.",IF(ISNUMBER('Inputs'!E136),IF('Inputs'!E136&gt;=0,'Inputs'!E136,"n.a."),IF('Inputs'!E136="",'Inputs'!$D$6,"n.a.")))</x:f>
        <x:v>500</x:v>
      </x:c>
      <x:c r="F594" s="22" t="n">
        <x:f>IF(COUNT($N$592:$N$596)=5,SUM($N$592:$N$596),"n.a.")</x:f>
        <x:v>0</x:v>
      </x:c>
      <x:c r="G594" s="22" t="n">
        <x:f>IF(COUNT(E594:F594)=2,MAX(0,E594-F594),"n.a.")</x:f>
        <x:v>500</x:v>
      </x:c>
      <x:c r="H594" s="26" t="str">
        <x:f>'Inputs'!C13</x:f>
        <x:v>Loan C</x:v>
      </x:c>
      <x:c r="I594" s="26" t="n">
        <x:f>S589</x:f>
        <x:v>0</x:v>
      </x:c>
      <x:c r="J594" s="29" t="n">
        <x:f>IF('Inputs'!$D$9="Ready",'Inputs'!E13,"n.a.")</x:f>
        <x:v>0.08</x:v>
      </x:c>
      <x:c r="K594" s="26" t="n">
        <x:f>IF('Inputs'!$D$9="Ready",'Inputs'!F13,"n.a.")</x:f>
        <x:v>150</x:v>
      </x:c>
      <x:c r="L594" s="29" t="n">
        <x:f>IF('Inputs'!$D$9="Ready",'Inputs'!G13,"n.a.")</x:f>
        <x:v>0</x:v>
      </x:c>
      <x:c r="M594" s="22" t="n">
        <x:f>IF(COUNT(I594:L594)=4,ROUND(I594*J594/12,2),"n.a.")</x:f>
        <x:v>0</x:v>
      </x:c>
      <x:c r="N594" s="22" t="n">
        <x:f>IF(COUNT(I594:M594)=5,MIN(I594+M594,ROUND(MAX(K594,I594*L594+M594),2)),"n.a.")</x:f>
        <x:v>0</x:v>
      </x:c>
      <x:c r="O594" s="30" t="n">
        <x:f>IF(COUNT($I$592:$I$596)&lt;&gt;5,"n.a.",IF(I594=0,6,IF('Inputs'!$D$5=1,COUNTIFS($I$592:$I$596,"&gt;0",$I$592:$I$596,"&lt;"&amp;I594)+COUNTIFS($I$592:I594,I594),COUNTIFS($I$592:$I$596,"&gt;0",$J$592:$J$596,"&gt;"&amp;J594)+COUNTIFS($I$592:I594,"&gt;0",$J$592:J594,J594))))</x:f>
        <x:v>6</x:v>
      </x:c>
      <x:c r="P594" s="22" t="n">
        <x:f>IF(T594="Ready",MIN(U594,MAX(0,G594-SUMIFS($U$592:$U$596,$O$592:$O$596,"&lt;"&amp;O594))),"n.a.")</x:f>
        <x:v>0</x:v>
      </x:c>
      <x:c r="Q594" s="22" t="n">
        <x:f>IF(T594="Ready",ROUND(N594+P594,2),"n.a.")</x:f>
        <x:v>0</x:v>
      </x:c>
      <x:c r="R594" s="22" t="n">
        <x:f>IF(T594="Ready",ROUND(Q594-M594,2),"n.a.")</x:f>
        <x:v>0</x:v>
      </x:c>
      <x:c r="S594" s="22" t="n">
        <x:f>IF(T594="Ready",MAX(0,ROUND(I594+M594-Q594,2)),"n.a.")</x:f>
        <x:v>0</x:v>
      </x:c>
      <x:c r="T594" s="22" t="str">
        <x:f>IF(AND(COUNT($I$592:$I$596)=5,COUNT(E594:F594)=2),IF(E594&gt;=F594,"Ready","Budget below minima"),"Check inputs")</x:f>
        <x:v>Ready</x:v>
      </x:c>
      <x:c r="U594" s="22" t="n">
        <x:f>IF(COUNT(I594,M594,N594)=3,MAX(0,ROUND(I594+M594-N594,2)),"n.a.")</x:f>
        <x:v>0</x:v>
      </x:c>
    </x:row>
    <x:row r="595" ht="22" customHeight="1">
      <x:c r="A595" s="2"/>
      <x:c r="B595" s="2"/>
      <x:c r="C595" s="27" t="n">
        <x:f>118</x:f>
        <x:v>118</x:v>
      </x:c>
      <x:c r="D595" s="28" t="n">
        <x:f>IF(ISNUMBER('Inputs'!$D$7),EDATE('Inputs'!$D$7,117),"n.a.")</x:f>
        <x:v>49888</x:v>
      </x:c>
      <x:c r="E595" s="26" t="n">
        <x:f>IF('Inputs'!$D$9&lt;&gt;"Ready","n.a.",IF(ISNUMBER('Inputs'!E136),IF('Inputs'!E136&gt;=0,'Inputs'!E136,"n.a."),IF('Inputs'!E136="",'Inputs'!$D$6,"n.a.")))</x:f>
        <x:v>500</x:v>
      </x:c>
      <x:c r="F595" s="22" t="n">
        <x:f>IF(COUNT($N$592:$N$596)=5,SUM($N$592:$N$596),"n.a.")</x:f>
        <x:v>0</x:v>
      </x:c>
      <x:c r="G595" s="22" t="n">
        <x:f>IF(COUNT(E595:F595)=2,MAX(0,E595-F595),"n.a.")</x:f>
        <x:v>500</x:v>
      </x:c>
      <x:c r="H595" s="26" t="str">
        <x:f>'Inputs'!C14</x:f>
        <x:v>Unused 4</x:v>
      </x:c>
      <x:c r="I595" s="26" t="n">
        <x:f>S590</x:f>
        <x:v>0</x:v>
      </x:c>
      <x:c r="J595" s="29" t="n">
        <x:f>IF('Inputs'!$D$9="Ready",'Inputs'!E14,"n.a.")</x:f>
        <x:v>0</x:v>
      </x:c>
      <x:c r="K595" s="26" t="n">
        <x:f>IF('Inputs'!$D$9="Ready",'Inputs'!F14,"n.a.")</x:f>
        <x:v>0</x:v>
      </x:c>
      <x:c r="L595" s="29" t="n">
        <x:f>IF('Inputs'!$D$9="Ready",'Inputs'!G14,"n.a.")</x:f>
        <x:v>0</x:v>
      </x:c>
      <x:c r="M595" s="22" t="n">
        <x:f>IF(COUNT(I595:L595)=4,ROUND(I595*J595/12,2),"n.a.")</x:f>
        <x:v>0</x:v>
      </x:c>
      <x:c r="N595" s="22" t="n">
        <x:f>IF(COUNT(I595:M595)=5,MIN(I595+M595,ROUND(MAX(K595,I595*L595+M595),2)),"n.a.")</x:f>
        <x:v>0</x:v>
      </x:c>
      <x:c r="O595" s="30" t="n">
        <x:f>IF(COUNT($I$592:$I$596)&lt;&gt;5,"n.a.",IF(I595=0,6,IF('Inputs'!$D$5=1,COUNTIFS($I$592:$I$596,"&gt;0",$I$592:$I$596,"&lt;"&amp;I595)+COUNTIFS($I$592:I595,I595),COUNTIFS($I$592:$I$596,"&gt;0",$J$592:$J$596,"&gt;"&amp;J595)+COUNTIFS($I$592:I595,"&gt;0",$J$592:J595,J595))))</x:f>
        <x:v>6</x:v>
      </x:c>
      <x:c r="P595" s="22" t="n">
        <x:f>IF(T595="Ready",MIN(U595,MAX(0,G595-SUMIFS($U$592:$U$596,$O$592:$O$596,"&lt;"&amp;O595))),"n.a.")</x:f>
        <x:v>0</x:v>
      </x:c>
      <x:c r="Q595" s="22" t="n">
        <x:f>IF(T595="Ready",ROUND(N595+P595,2),"n.a.")</x:f>
        <x:v>0</x:v>
      </x:c>
      <x:c r="R595" s="22" t="n">
        <x:f>IF(T595="Ready",ROUND(Q595-M595,2),"n.a.")</x:f>
        <x:v>0</x:v>
      </x:c>
      <x:c r="S595" s="22" t="n">
        <x:f>IF(T595="Ready",MAX(0,ROUND(I595+M595-Q595,2)),"n.a.")</x:f>
        <x:v>0</x:v>
      </x:c>
      <x:c r="T595" s="22" t="str">
        <x:f>IF(AND(COUNT($I$592:$I$596)=5,COUNT(E595:F595)=2),IF(E595&gt;=F595,"Ready","Budget below minima"),"Check inputs")</x:f>
        <x:v>Ready</x:v>
      </x:c>
      <x:c r="U595" s="22" t="n">
        <x:f>IF(COUNT(I595,M595,N595)=3,MAX(0,ROUND(I595+M595-N595,2)),"n.a.")</x:f>
        <x:v>0</x:v>
      </x:c>
    </x:row>
    <x:row r="596" ht="22" customHeight="1">
      <x:c r="A596" s="2"/>
      <x:c r="B596" s="2"/>
      <x:c r="C596" s="27" t="n">
        <x:f>118</x:f>
        <x:v>118</x:v>
      </x:c>
      <x:c r="D596" s="28" t="n">
        <x:f>IF(ISNUMBER('Inputs'!$D$7),EDATE('Inputs'!$D$7,117),"n.a.")</x:f>
        <x:v>49888</x:v>
      </x:c>
      <x:c r="E596" s="26" t="n">
        <x:f>IF('Inputs'!$D$9&lt;&gt;"Ready","n.a.",IF(ISNUMBER('Inputs'!E136),IF('Inputs'!E136&gt;=0,'Inputs'!E136,"n.a."),IF('Inputs'!E136="",'Inputs'!$D$6,"n.a.")))</x:f>
        <x:v>500</x:v>
      </x:c>
      <x:c r="F596" s="22" t="n">
        <x:f>IF(COUNT($N$592:$N$596)=5,SUM($N$592:$N$596),"n.a.")</x:f>
        <x:v>0</x:v>
      </x:c>
      <x:c r="G596" s="22" t="n">
        <x:f>IF(COUNT(E596:F596)=2,MAX(0,E596-F596),"n.a.")</x:f>
        <x:v>500</x:v>
      </x:c>
      <x:c r="H596" s="26" t="str">
        <x:f>'Inputs'!C15</x:f>
        <x:v>Unused 5</x:v>
      </x:c>
      <x:c r="I596" s="26" t="n">
        <x:f>S591</x:f>
        <x:v>0</x:v>
      </x:c>
      <x:c r="J596" s="29" t="n">
        <x:f>IF('Inputs'!$D$9="Ready",'Inputs'!E15,"n.a.")</x:f>
        <x:v>0</x:v>
      </x:c>
      <x:c r="K596" s="26" t="n">
        <x:f>IF('Inputs'!$D$9="Ready",'Inputs'!F15,"n.a.")</x:f>
        <x:v>0</x:v>
      </x:c>
      <x:c r="L596" s="29" t="n">
        <x:f>IF('Inputs'!$D$9="Ready",'Inputs'!G15,"n.a.")</x:f>
        <x:v>0</x:v>
      </x:c>
      <x:c r="M596" s="22" t="n">
        <x:f>IF(COUNT(I596:L596)=4,ROUND(I596*J596/12,2),"n.a.")</x:f>
        <x:v>0</x:v>
      </x:c>
      <x:c r="N596" s="22" t="n">
        <x:f>IF(COUNT(I596:M596)=5,MIN(I596+M596,ROUND(MAX(K596,I596*L596+M596),2)),"n.a.")</x:f>
        <x:v>0</x:v>
      </x:c>
      <x:c r="O596" s="30" t="n">
        <x:f>IF(COUNT($I$592:$I$596)&lt;&gt;5,"n.a.",IF(I596=0,6,IF('Inputs'!$D$5=1,COUNTIFS($I$592:$I$596,"&gt;0",$I$592:$I$596,"&lt;"&amp;I596)+COUNTIFS($I$592:I596,I596),COUNTIFS($I$592:$I$596,"&gt;0",$J$592:$J$596,"&gt;"&amp;J596)+COUNTIFS($I$592:I596,"&gt;0",$J$592:J596,J596))))</x:f>
        <x:v>6</x:v>
      </x:c>
      <x:c r="P596" s="22" t="n">
        <x:f>IF(T596="Ready",MIN(U596,MAX(0,G596-SUMIFS($U$592:$U$596,$O$592:$O$596,"&lt;"&amp;O596))),"n.a.")</x:f>
        <x:v>0</x:v>
      </x:c>
      <x:c r="Q596" s="22" t="n">
        <x:f>IF(T596="Ready",ROUND(N596+P596,2),"n.a.")</x:f>
        <x:v>0</x:v>
      </x:c>
      <x:c r="R596" s="22" t="n">
        <x:f>IF(T596="Ready",ROUND(Q596-M596,2),"n.a.")</x:f>
        <x:v>0</x:v>
      </x:c>
      <x:c r="S596" s="22" t="n">
        <x:f>IF(T596="Ready",MAX(0,ROUND(I596+M596-Q596,2)),"n.a.")</x:f>
        <x:v>0</x:v>
      </x:c>
      <x:c r="T596" s="22" t="str">
        <x:f>IF(AND(COUNT($I$592:$I$596)=5,COUNT(E596:F596)=2),IF(E596&gt;=F596,"Ready","Budget below minima"),"Check inputs")</x:f>
        <x:v>Ready</x:v>
      </x:c>
      <x:c r="U596" s="22" t="n">
        <x:f>IF(COUNT(I596,M596,N596)=3,MAX(0,ROUND(I596+M596-N596,2)),"n.a.")</x:f>
        <x:v>0</x:v>
      </x:c>
    </x:row>
    <x:row r="597" ht="22" customHeight="1">
      <x:c r="A597" s="2"/>
      <x:c r="B597" s="2"/>
      <x:c r="C597" s="27" t="n">
        <x:f>119</x:f>
        <x:v>119</x:v>
      </x:c>
      <x:c r="D597" s="28" t="n">
        <x:f>IF(ISNUMBER('Inputs'!$D$7),EDATE('Inputs'!$D$7,118),"n.a.")</x:f>
        <x:v>49919</x:v>
      </x:c>
      <x:c r="E597" s="26" t="n">
        <x:f>IF('Inputs'!$D$9&lt;&gt;"Ready","n.a.",IF(ISNUMBER('Inputs'!E137),IF('Inputs'!E137&gt;=0,'Inputs'!E137,"n.a."),IF('Inputs'!E137="",'Inputs'!$D$6,"n.a.")))</x:f>
        <x:v>500</x:v>
      </x:c>
      <x:c r="F597" s="22" t="n">
        <x:f>IF(COUNT($N$597:$N$601)=5,SUM($N$597:$N$601),"n.a.")</x:f>
        <x:v>0</x:v>
      </x:c>
      <x:c r="G597" s="22" t="n">
        <x:f>IF(COUNT(E597:F597)=2,MAX(0,E597-F597),"n.a.")</x:f>
        <x:v>500</x:v>
      </x:c>
      <x:c r="H597" s="26" t="str">
        <x:f>'Inputs'!C11</x:f>
        <x:v>Card A</x:v>
      </x:c>
      <x:c r="I597" s="26" t="n">
        <x:f>S592</x:f>
        <x:v>0</x:v>
      </x:c>
      <x:c r="J597" s="29" t="n">
        <x:f>IF('Inputs'!$D$9="Ready",'Inputs'!E11,"n.a.")</x:f>
        <x:v>0.24</x:v>
      </x:c>
      <x:c r="K597" s="26" t="n">
        <x:f>IF('Inputs'!$D$9="Ready",'Inputs'!F11,"n.a.")</x:f>
        <x:v>35</x:v>
      </x:c>
      <x:c r="L597" s="29" t="n">
        <x:f>IF('Inputs'!$D$9="Ready",'Inputs'!G11,"n.a.")</x:f>
        <x:v>0.02</x:v>
      </x:c>
      <x:c r="M597" s="22" t="n">
        <x:f>IF(COUNT(I597:L597)=4,ROUND(I597*J597/12,2),"n.a.")</x:f>
        <x:v>0</x:v>
      </x:c>
      <x:c r="N597" s="22" t="n">
        <x:f>IF(COUNT(I597:M597)=5,MIN(I597+M597,ROUND(MAX(K597,I597*L597+M597),2)),"n.a.")</x:f>
        <x:v>0</x:v>
      </x:c>
      <x:c r="O597" s="30" t="n">
        <x:f>IF(COUNT($I$597:$I$601)&lt;&gt;5,"n.a.",IF(I597=0,6,IF('Inputs'!$D$5=1,COUNTIFS($I$597:$I$601,"&gt;0",$I$597:$I$601,"&lt;"&amp;I597)+COUNTIFS($I$597:I597,I597),COUNTIFS($I$597:$I$601,"&gt;0",$J$597:$J$601,"&gt;"&amp;J597)+COUNTIFS($I$597:I597,"&gt;0",$J$597:J597,J597))))</x:f>
        <x:v>6</x:v>
      </x:c>
      <x:c r="P597" s="22" t="n">
        <x:f>IF(T597="Ready",MIN(U597,MAX(0,G597-SUMIFS($U$597:$U$601,$O$597:$O$601,"&lt;"&amp;O597))),"n.a.")</x:f>
        <x:v>0</x:v>
      </x:c>
      <x:c r="Q597" s="22" t="n">
        <x:f>IF(T597="Ready",ROUND(N597+P597,2),"n.a.")</x:f>
        <x:v>0</x:v>
      </x:c>
      <x:c r="R597" s="22" t="n">
        <x:f>IF(T597="Ready",ROUND(Q597-M597,2),"n.a.")</x:f>
        <x:v>0</x:v>
      </x:c>
      <x:c r="S597" s="22" t="n">
        <x:f>IF(T597="Ready",MAX(0,ROUND(I597+M597-Q597,2)),"n.a.")</x:f>
        <x:v>0</x:v>
      </x:c>
      <x:c r="T597" s="22" t="str">
        <x:f>IF(AND(COUNT($I$597:$I$601)=5,COUNT(E597:F597)=2),IF(E597&gt;=F597,"Ready","Budget below minima"),"Check inputs")</x:f>
        <x:v>Ready</x:v>
      </x:c>
      <x:c r="U597" s="22" t="n">
        <x:f>IF(COUNT(I597,M597,N597)=3,MAX(0,ROUND(I597+M597-N597,2)),"n.a.")</x:f>
        <x:v>0</x:v>
      </x:c>
    </x:row>
    <x:row r="598" ht="22" customHeight="1">
      <x:c r="A598" s="2"/>
      <x:c r="B598" s="2"/>
      <x:c r="C598" s="27" t="n">
        <x:f>119</x:f>
        <x:v>119</x:v>
      </x:c>
      <x:c r="D598" s="28" t="n">
        <x:f>IF(ISNUMBER('Inputs'!$D$7),EDATE('Inputs'!$D$7,118),"n.a.")</x:f>
        <x:v>49919</x:v>
      </x:c>
      <x:c r="E598" s="26" t="n">
        <x:f>IF('Inputs'!$D$9&lt;&gt;"Ready","n.a.",IF(ISNUMBER('Inputs'!E137),IF('Inputs'!E137&gt;=0,'Inputs'!E137,"n.a."),IF('Inputs'!E137="",'Inputs'!$D$6,"n.a.")))</x:f>
        <x:v>500</x:v>
      </x:c>
      <x:c r="F598" s="22" t="n">
        <x:f>IF(COUNT($N$597:$N$601)=5,SUM($N$597:$N$601),"n.a.")</x:f>
        <x:v>0</x:v>
      </x:c>
      <x:c r="G598" s="22" t="n">
        <x:f>IF(COUNT(E598:F598)=2,MAX(0,E598-F598),"n.a.")</x:f>
        <x:v>500</x:v>
      </x:c>
      <x:c r="H598" s="26" t="str">
        <x:f>'Inputs'!C12</x:f>
        <x:v>Card B</x:v>
      </x:c>
      <x:c r="I598" s="26" t="n">
        <x:f>S593</x:f>
        <x:v>0</x:v>
      </x:c>
      <x:c r="J598" s="29" t="n">
        <x:f>IF('Inputs'!$D$9="Ready",'Inputs'!E12,"n.a.")</x:f>
        <x:v>0.18</x:v>
      </x:c>
      <x:c r="K598" s="26" t="n">
        <x:f>IF('Inputs'!$D$9="Ready",'Inputs'!F12,"n.a.")</x:f>
        <x:v>60</x:v>
      </x:c>
      <x:c r="L598" s="29" t="n">
        <x:f>IF('Inputs'!$D$9="Ready",'Inputs'!G12,"n.a.")</x:f>
        <x:v>0.02</x:v>
      </x:c>
      <x:c r="M598" s="22" t="n">
        <x:f>IF(COUNT(I598:L598)=4,ROUND(I598*J598/12,2),"n.a.")</x:f>
        <x:v>0</x:v>
      </x:c>
      <x:c r="N598" s="22" t="n">
        <x:f>IF(COUNT(I598:M598)=5,MIN(I598+M598,ROUND(MAX(K598,I598*L598+M598),2)),"n.a.")</x:f>
        <x:v>0</x:v>
      </x:c>
      <x:c r="O598" s="30" t="n">
        <x:f>IF(COUNT($I$597:$I$601)&lt;&gt;5,"n.a.",IF(I598=0,6,IF('Inputs'!$D$5=1,COUNTIFS($I$597:$I$601,"&gt;0",$I$597:$I$601,"&lt;"&amp;I598)+COUNTIFS($I$597:I598,I598),COUNTIFS($I$597:$I$601,"&gt;0",$J$597:$J$601,"&gt;"&amp;J598)+COUNTIFS($I$597:I598,"&gt;0",$J$597:J598,J598))))</x:f>
        <x:v>6</x:v>
      </x:c>
      <x:c r="P598" s="22" t="n">
        <x:f>IF(T598="Ready",MIN(U598,MAX(0,G598-SUMIFS($U$597:$U$601,$O$597:$O$601,"&lt;"&amp;O598))),"n.a.")</x:f>
        <x:v>0</x:v>
      </x:c>
      <x:c r="Q598" s="22" t="n">
        <x:f>IF(T598="Ready",ROUND(N598+P598,2),"n.a.")</x:f>
        <x:v>0</x:v>
      </x:c>
      <x:c r="R598" s="22" t="n">
        <x:f>IF(T598="Ready",ROUND(Q598-M598,2),"n.a.")</x:f>
        <x:v>0</x:v>
      </x:c>
      <x:c r="S598" s="22" t="n">
        <x:f>IF(T598="Ready",MAX(0,ROUND(I598+M598-Q598,2)),"n.a.")</x:f>
        <x:v>0</x:v>
      </x:c>
      <x:c r="T598" s="22" t="str">
        <x:f>IF(AND(COUNT($I$597:$I$601)=5,COUNT(E598:F598)=2),IF(E598&gt;=F598,"Ready","Budget below minima"),"Check inputs")</x:f>
        <x:v>Ready</x:v>
      </x:c>
      <x:c r="U598" s="22" t="n">
        <x:f>IF(COUNT(I598,M598,N598)=3,MAX(0,ROUND(I598+M598-N598,2)),"n.a.")</x:f>
        <x:v>0</x:v>
      </x:c>
    </x:row>
    <x:row r="599" ht="22" customHeight="1">
      <x:c r="A599" s="2"/>
      <x:c r="B599" s="2"/>
      <x:c r="C599" s="27" t="n">
        <x:f>119</x:f>
        <x:v>119</x:v>
      </x:c>
      <x:c r="D599" s="28" t="n">
        <x:f>IF(ISNUMBER('Inputs'!$D$7),EDATE('Inputs'!$D$7,118),"n.a.")</x:f>
        <x:v>49919</x:v>
      </x:c>
      <x:c r="E599" s="26" t="n">
        <x:f>IF('Inputs'!$D$9&lt;&gt;"Ready","n.a.",IF(ISNUMBER('Inputs'!E137),IF('Inputs'!E137&gt;=0,'Inputs'!E137,"n.a."),IF('Inputs'!E137="",'Inputs'!$D$6,"n.a.")))</x:f>
        <x:v>500</x:v>
      </x:c>
      <x:c r="F599" s="22" t="n">
        <x:f>IF(COUNT($N$597:$N$601)=5,SUM($N$597:$N$601),"n.a.")</x:f>
        <x:v>0</x:v>
      </x:c>
      <x:c r="G599" s="22" t="n">
        <x:f>IF(COUNT(E599:F599)=2,MAX(0,E599-F599),"n.a.")</x:f>
        <x:v>500</x:v>
      </x:c>
      <x:c r="H599" s="26" t="str">
        <x:f>'Inputs'!C13</x:f>
        <x:v>Loan C</x:v>
      </x:c>
      <x:c r="I599" s="26" t="n">
        <x:f>S594</x:f>
        <x:v>0</x:v>
      </x:c>
      <x:c r="J599" s="29" t="n">
        <x:f>IF('Inputs'!$D$9="Ready",'Inputs'!E13,"n.a.")</x:f>
        <x:v>0.08</x:v>
      </x:c>
      <x:c r="K599" s="26" t="n">
        <x:f>IF('Inputs'!$D$9="Ready",'Inputs'!F13,"n.a.")</x:f>
        <x:v>150</x:v>
      </x:c>
      <x:c r="L599" s="29" t="n">
        <x:f>IF('Inputs'!$D$9="Ready",'Inputs'!G13,"n.a.")</x:f>
        <x:v>0</x:v>
      </x:c>
      <x:c r="M599" s="22" t="n">
        <x:f>IF(COUNT(I599:L599)=4,ROUND(I599*J599/12,2),"n.a.")</x:f>
        <x:v>0</x:v>
      </x:c>
      <x:c r="N599" s="22" t="n">
        <x:f>IF(COUNT(I599:M599)=5,MIN(I599+M599,ROUND(MAX(K599,I599*L599+M599),2)),"n.a.")</x:f>
        <x:v>0</x:v>
      </x:c>
      <x:c r="O599" s="30" t="n">
        <x:f>IF(COUNT($I$597:$I$601)&lt;&gt;5,"n.a.",IF(I599=0,6,IF('Inputs'!$D$5=1,COUNTIFS($I$597:$I$601,"&gt;0",$I$597:$I$601,"&lt;"&amp;I599)+COUNTIFS($I$597:I599,I599),COUNTIFS($I$597:$I$601,"&gt;0",$J$597:$J$601,"&gt;"&amp;J599)+COUNTIFS($I$597:I599,"&gt;0",$J$597:J599,J599))))</x:f>
        <x:v>6</x:v>
      </x:c>
      <x:c r="P599" s="22" t="n">
        <x:f>IF(T599="Ready",MIN(U599,MAX(0,G599-SUMIFS($U$597:$U$601,$O$597:$O$601,"&lt;"&amp;O599))),"n.a.")</x:f>
        <x:v>0</x:v>
      </x:c>
      <x:c r="Q599" s="22" t="n">
        <x:f>IF(T599="Ready",ROUND(N599+P599,2),"n.a.")</x:f>
        <x:v>0</x:v>
      </x:c>
      <x:c r="R599" s="22" t="n">
        <x:f>IF(T599="Ready",ROUND(Q599-M599,2),"n.a.")</x:f>
        <x:v>0</x:v>
      </x:c>
      <x:c r="S599" s="22" t="n">
        <x:f>IF(T599="Ready",MAX(0,ROUND(I599+M599-Q599,2)),"n.a.")</x:f>
        <x:v>0</x:v>
      </x:c>
      <x:c r="T599" s="22" t="str">
        <x:f>IF(AND(COUNT($I$597:$I$601)=5,COUNT(E599:F599)=2),IF(E599&gt;=F599,"Ready","Budget below minima"),"Check inputs")</x:f>
        <x:v>Ready</x:v>
      </x:c>
      <x:c r="U599" s="22" t="n">
        <x:f>IF(COUNT(I599,M599,N599)=3,MAX(0,ROUND(I599+M599-N599,2)),"n.a.")</x:f>
        <x:v>0</x:v>
      </x:c>
    </x:row>
    <x:row r="600" ht="22" customHeight="1">
      <x:c r="A600" s="2"/>
      <x:c r="B600" s="2"/>
      <x:c r="C600" s="27" t="n">
        <x:f>119</x:f>
        <x:v>119</x:v>
      </x:c>
      <x:c r="D600" s="28" t="n">
        <x:f>IF(ISNUMBER('Inputs'!$D$7),EDATE('Inputs'!$D$7,118),"n.a.")</x:f>
        <x:v>49919</x:v>
      </x:c>
      <x:c r="E600" s="26" t="n">
        <x:f>IF('Inputs'!$D$9&lt;&gt;"Ready","n.a.",IF(ISNUMBER('Inputs'!E137),IF('Inputs'!E137&gt;=0,'Inputs'!E137,"n.a."),IF('Inputs'!E137="",'Inputs'!$D$6,"n.a.")))</x:f>
        <x:v>500</x:v>
      </x:c>
      <x:c r="F600" s="22" t="n">
        <x:f>IF(COUNT($N$597:$N$601)=5,SUM($N$597:$N$601),"n.a.")</x:f>
        <x:v>0</x:v>
      </x:c>
      <x:c r="G600" s="22" t="n">
        <x:f>IF(COUNT(E600:F600)=2,MAX(0,E600-F600),"n.a.")</x:f>
        <x:v>500</x:v>
      </x:c>
      <x:c r="H600" s="26" t="str">
        <x:f>'Inputs'!C14</x:f>
        <x:v>Unused 4</x:v>
      </x:c>
      <x:c r="I600" s="26" t="n">
        <x:f>S595</x:f>
        <x:v>0</x:v>
      </x:c>
      <x:c r="J600" s="29" t="n">
        <x:f>IF('Inputs'!$D$9="Ready",'Inputs'!E14,"n.a.")</x:f>
        <x:v>0</x:v>
      </x:c>
      <x:c r="K600" s="26" t="n">
        <x:f>IF('Inputs'!$D$9="Ready",'Inputs'!F14,"n.a.")</x:f>
        <x:v>0</x:v>
      </x:c>
      <x:c r="L600" s="29" t="n">
        <x:f>IF('Inputs'!$D$9="Ready",'Inputs'!G14,"n.a.")</x:f>
        <x:v>0</x:v>
      </x:c>
      <x:c r="M600" s="22" t="n">
        <x:f>IF(COUNT(I600:L600)=4,ROUND(I600*J600/12,2),"n.a.")</x:f>
        <x:v>0</x:v>
      </x:c>
      <x:c r="N600" s="22" t="n">
        <x:f>IF(COUNT(I600:M600)=5,MIN(I600+M600,ROUND(MAX(K600,I600*L600+M600),2)),"n.a.")</x:f>
        <x:v>0</x:v>
      </x:c>
      <x:c r="O600" s="30" t="n">
        <x:f>IF(COUNT($I$597:$I$601)&lt;&gt;5,"n.a.",IF(I600=0,6,IF('Inputs'!$D$5=1,COUNTIFS($I$597:$I$601,"&gt;0",$I$597:$I$601,"&lt;"&amp;I600)+COUNTIFS($I$597:I600,I600),COUNTIFS($I$597:$I$601,"&gt;0",$J$597:$J$601,"&gt;"&amp;J600)+COUNTIFS($I$597:I600,"&gt;0",$J$597:J600,J600))))</x:f>
        <x:v>6</x:v>
      </x:c>
      <x:c r="P600" s="22" t="n">
        <x:f>IF(T600="Ready",MIN(U600,MAX(0,G600-SUMIFS($U$597:$U$601,$O$597:$O$601,"&lt;"&amp;O600))),"n.a.")</x:f>
        <x:v>0</x:v>
      </x:c>
      <x:c r="Q600" s="22" t="n">
        <x:f>IF(T600="Ready",ROUND(N600+P600,2),"n.a.")</x:f>
        <x:v>0</x:v>
      </x:c>
      <x:c r="R600" s="22" t="n">
        <x:f>IF(T600="Ready",ROUND(Q600-M600,2),"n.a.")</x:f>
        <x:v>0</x:v>
      </x:c>
      <x:c r="S600" s="22" t="n">
        <x:f>IF(T600="Ready",MAX(0,ROUND(I600+M600-Q600,2)),"n.a.")</x:f>
        <x:v>0</x:v>
      </x:c>
      <x:c r="T600" s="22" t="str">
        <x:f>IF(AND(COUNT($I$597:$I$601)=5,COUNT(E600:F600)=2),IF(E600&gt;=F600,"Ready","Budget below minima"),"Check inputs")</x:f>
        <x:v>Ready</x:v>
      </x:c>
      <x:c r="U600" s="22" t="n">
        <x:f>IF(COUNT(I600,M600,N600)=3,MAX(0,ROUND(I600+M600-N600,2)),"n.a.")</x:f>
        <x:v>0</x:v>
      </x:c>
    </x:row>
    <x:row r="601" ht="22" customHeight="1">
      <x:c r="A601" s="2"/>
      <x:c r="B601" s="2"/>
      <x:c r="C601" s="27" t="n">
        <x:f>119</x:f>
        <x:v>119</x:v>
      </x:c>
      <x:c r="D601" s="28" t="n">
        <x:f>IF(ISNUMBER('Inputs'!$D$7),EDATE('Inputs'!$D$7,118),"n.a.")</x:f>
        <x:v>49919</x:v>
      </x:c>
      <x:c r="E601" s="26" t="n">
        <x:f>IF('Inputs'!$D$9&lt;&gt;"Ready","n.a.",IF(ISNUMBER('Inputs'!E137),IF('Inputs'!E137&gt;=0,'Inputs'!E137,"n.a."),IF('Inputs'!E137="",'Inputs'!$D$6,"n.a.")))</x:f>
        <x:v>500</x:v>
      </x:c>
      <x:c r="F601" s="22" t="n">
        <x:f>IF(COUNT($N$597:$N$601)=5,SUM($N$597:$N$601),"n.a.")</x:f>
        <x:v>0</x:v>
      </x:c>
      <x:c r="G601" s="22" t="n">
        <x:f>IF(COUNT(E601:F601)=2,MAX(0,E601-F601),"n.a.")</x:f>
        <x:v>500</x:v>
      </x:c>
      <x:c r="H601" s="26" t="str">
        <x:f>'Inputs'!C15</x:f>
        <x:v>Unused 5</x:v>
      </x:c>
      <x:c r="I601" s="26" t="n">
        <x:f>S596</x:f>
        <x:v>0</x:v>
      </x:c>
      <x:c r="J601" s="29" t="n">
        <x:f>IF('Inputs'!$D$9="Ready",'Inputs'!E15,"n.a.")</x:f>
        <x:v>0</x:v>
      </x:c>
      <x:c r="K601" s="26" t="n">
        <x:f>IF('Inputs'!$D$9="Ready",'Inputs'!F15,"n.a.")</x:f>
        <x:v>0</x:v>
      </x:c>
      <x:c r="L601" s="29" t="n">
        <x:f>IF('Inputs'!$D$9="Ready",'Inputs'!G15,"n.a.")</x:f>
        <x:v>0</x:v>
      </x:c>
      <x:c r="M601" s="22" t="n">
        <x:f>IF(COUNT(I601:L601)=4,ROUND(I601*J601/12,2),"n.a.")</x:f>
        <x:v>0</x:v>
      </x:c>
      <x:c r="N601" s="22" t="n">
        <x:f>IF(COUNT(I601:M601)=5,MIN(I601+M601,ROUND(MAX(K601,I601*L601+M601),2)),"n.a.")</x:f>
        <x:v>0</x:v>
      </x:c>
      <x:c r="O601" s="30" t="n">
        <x:f>IF(COUNT($I$597:$I$601)&lt;&gt;5,"n.a.",IF(I601=0,6,IF('Inputs'!$D$5=1,COUNTIFS($I$597:$I$601,"&gt;0",$I$597:$I$601,"&lt;"&amp;I601)+COUNTIFS($I$597:I601,I601),COUNTIFS($I$597:$I$601,"&gt;0",$J$597:$J$601,"&gt;"&amp;J601)+COUNTIFS($I$597:I601,"&gt;0",$J$597:J601,J601))))</x:f>
        <x:v>6</x:v>
      </x:c>
      <x:c r="P601" s="22" t="n">
        <x:f>IF(T601="Ready",MIN(U601,MAX(0,G601-SUMIFS($U$597:$U$601,$O$597:$O$601,"&lt;"&amp;O601))),"n.a.")</x:f>
        <x:v>0</x:v>
      </x:c>
      <x:c r="Q601" s="22" t="n">
        <x:f>IF(T601="Ready",ROUND(N601+P601,2),"n.a.")</x:f>
        <x:v>0</x:v>
      </x:c>
      <x:c r="R601" s="22" t="n">
        <x:f>IF(T601="Ready",ROUND(Q601-M601,2),"n.a.")</x:f>
        <x:v>0</x:v>
      </x:c>
      <x:c r="S601" s="22" t="n">
        <x:f>IF(T601="Ready",MAX(0,ROUND(I601+M601-Q601,2)),"n.a.")</x:f>
        <x:v>0</x:v>
      </x:c>
      <x:c r="T601" s="22" t="str">
        <x:f>IF(AND(COUNT($I$597:$I$601)=5,COUNT(E601:F601)=2),IF(E601&gt;=F601,"Ready","Budget below minima"),"Check inputs")</x:f>
        <x:v>Ready</x:v>
      </x:c>
      <x:c r="U601" s="22" t="n">
        <x:f>IF(COUNT(I601,M601,N601)=3,MAX(0,ROUND(I601+M601-N601,2)),"n.a.")</x:f>
        <x:v>0</x:v>
      </x:c>
    </x:row>
    <x:row r="602" ht="22" customHeight="1">
      <x:c r="A602" s="2"/>
      <x:c r="B602" s="2"/>
      <x:c r="C602" s="27" t="n">
        <x:f>120</x:f>
        <x:v>120</x:v>
      </x:c>
      <x:c r="D602" s="28" t="n">
        <x:f>IF(ISNUMBER('Inputs'!$D$7),EDATE('Inputs'!$D$7,119),"n.a.")</x:f>
        <x:v>49949</x:v>
      </x:c>
      <x:c r="E602" s="26" t="n">
        <x:f>IF('Inputs'!$D$9&lt;&gt;"Ready","n.a.",IF(ISNUMBER('Inputs'!E138),IF('Inputs'!E138&gt;=0,'Inputs'!E138,"n.a."),IF('Inputs'!E138="",'Inputs'!$D$6,"n.a.")))</x:f>
        <x:v>500</x:v>
      </x:c>
      <x:c r="F602" s="22" t="n">
        <x:f>IF(COUNT($N$602:$N$606)=5,SUM($N$602:$N$606),"n.a.")</x:f>
        <x:v>0</x:v>
      </x:c>
      <x:c r="G602" s="22" t="n">
        <x:f>IF(COUNT(E602:F602)=2,MAX(0,E602-F602),"n.a.")</x:f>
        <x:v>500</x:v>
      </x:c>
      <x:c r="H602" s="26" t="str">
        <x:f>'Inputs'!C11</x:f>
        <x:v>Card A</x:v>
      </x:c>
      <x:c r="I602" s="26" t="n">
        <x:f>S597</x:f>
        <x:v>0</x:v>
      </x:c>
      <x:c r="J602" s="29" t="n">
        <x:f>IF('Inputs'!$D$9="Ready",'Inputs'!E11,"n.a.")</x:f>
        <x:v>0.24</x:v>
      </x:c>
      <x:c r="K602" s="26" t="n">
        <x:f>IF('Inputs'!$D$9="Ready",'Inputs'!F11,"n.a.")</x:f>
        <x:v>35</x:v>
      </x:c>
      <x:c r="L602" s="29" t="n">
        <x:f>IF('Inputs'!$D$9="Ready",'Inputs'!G11,"n.a.")</x:f>
        <x:v>0.02</x:v>
      </x:c>
      <x:c r="M602" s="22" t="n">
        <x:f>IF(COUNT(I602:L602)=4,ROUND(I602*J602/12,2),"n.a.")</x:f>
        <x:v>0</x:v>
      </x:c>
      <x:c r="N602" s="22" t="n">
        <x:f>IF(COUNT(I602:M602)=5,MIN(I602+M602,ROUND(MAX(K602,I602*L602+M602),2)),"n.a.")</x:f>
        <x:v>0</x:v>
      </x:c>
      <x:c r="O602" s="30" t="n">
        <x:f>IF(COUNT($I$602:$I$606)&lt;&gt;5,"n.a.",IF(I602=0,6,IF('Inputs'!$D$5=1,COUNTIFS($I$602:$I$606,"&gt;0",$I$602:$I$606,"&lt;"&amp;I602)+COUNTIFS($I$602:I602,I602),COUNTIFS($I$602:$I$606,"&gt;0",$J$602:$J$606,"&gt;"&amp;J602)+COUNTIFS($I$602:I602,"&gt;0",$J$602:J602,J602))))</x:f>
        <x:v>6</x:v>
      </x:c>
      <x:c r="P602" s="22" t="n">
        <x:f>IF(T602="Ready",MIN(U602,MAX(0,G602-SUMIFS($U$602:$U$606,$O$602:$O$606,"&lt;"&amp;O602))),"n.a.")</x:f>
        <x:v>0</x:v>
      </x:c>
      <x:c r="Q602" s="22" t="n">
        <x:f>IF(T602="Ready",ROUND(N602+P602,2),"n.a.")</x:f>
        <x:v>0</x:v>
      </x:c>
      <x:c r="R602" s="22" t="n">
        <x:f>IF(T602="Ready",ROUND(Q602-M602,2),"n.a.")</x:f>
        <x:v>0</x:v>
      </x:c>
      <x:c r="S602" s="22" t="n">
        <x:f>IF(T602="Ready",MAX(0,ROUND(I602+M602-Q602,2)),"n.a.")</x:f>
        <x:v>0</x:v>
      </x:c>
      <x:c r="T602" s="22" t="str">
        <x:f>IF(AND(COUNT($I$602:$I$606)=5,COUNT(E602:F602)=2),IF(E602&gt;=F602,"Ready","Budget below minima"),"Check inputs")</x:f>
        <x:v>Ready</x:v>
      </x:c>
      <x:c r="U602" s="22" t="n">
        <x:f>IF(COUNT(I602,M602,N602)=3,MAX(0,ROUND(I602+M602-N602,2)),"n.a.")</x:f>
        <x:v>0</x:v>
      </x:c>
    </x:row>
    <x:row r="603" ht="22" customHeight="1">
      <x:c r="A603" s="2"/>
      <x:c r="B603" s="2"/>
      <x:c r="C603" s="27" t="n">
        <x:f>120</x:f>
        <x:v>120</x:v>
      </x:c>
      <x:c r="D603" s="28" t="n">
        <x:f>IF(ISNUMBER('Inputs'!$D$7),EDATE('Inputs'!$D$7,119),"n.a.")</x:f>
        <x:v>49949</x:v>
      </x:c>
      <x:c r="E603" s="26" t="n">
        <x:f>IF('Inputs'!$D$9&lt;&gt;"Ready","n.a.",IF(ISNUMBER('Inputs'!E138),IF('Inputs'!E138&gt;=0,'Inputs'!E138,"n.a."),IF('Inputs'!E138="",'Inputs'!$D$6,"n.a.")))</x:f>
        <x:v>500</x:v>
      </x:c>
      <x:c r="F603" s="22" t="n">
        <x:f>IF(COUNT($N$602:$N$606)=5,SUM($N$602:$N$606),"n.a.")</x:f>
        <x:v>0</x:v>
      </x:c>
      <x:c r="G603" s="22" t="n">
        <x:f>IF(COUNT(E603:F603)=2,MAX(0,E603-F603),"n.a.")</x:f>
        <x:v>500</x:v>
      </x:c>
      <x:c r="H603" s="26" t="str">
        <x:f>'Inputs'!C12</x:f>
        <x:v>Card B</x:v>
      </x:c>
      <x:c r="I603" s="26" t="n">
        <x:f>S598</x:f>
        <x:v>0</x:v>
      </x:c>
      <x:c r="J603" s="29" t="n">
        <x:f>IF('Inputs'!$D$9="Ready",'Inputs'!E12,"n.a.")</x:f>
        <x:v>0.18</x:v>
      </x:c>
      <x:c r="K603" s="26" t="n">
        <x:f>IF('Inputs'!$D$9="Ready",'Inputs'!F12,"n.a.")</x:f>
        <x:v>60</x:v>
      </x:c>
      <x:c r="L603" s="29" t="n">
        <x:f>IF('Inputs'!$D$9="Ready",'Inputs'!G12,"n.a.")</x:f>
        <x:v>0.02</x:v>
      </x:c>
      <x:c r="M603" s="22" t="n">
        <x:f>IF(COUNT(I603:L603)=4,ROUND(I603*J603/12,2),"n.a.")</x:f>
        <x:v>0</x:v>
      </x:c>
      <x:c r="N603" s="22" t="n">
        <x:f>IF(COUNT(I603:M603)=5,MIN(I603+M603,ROUND(MAX(K603,I603*L603+M603),2)),"n.a.")</x:f>
        <x:v>0</x:v>
      </x:c>
      <x:c r="O603" s="30" t="n">
        <x:f>IF(COUNT($I$602:$I$606)&lt;&gt;5,"n.a.",IF(I603=0,6,IF('Inputs'!$D$5=1,COUNTIFS($I$602:$I$606,"&gt;0",$I$602:$I$606,"&lt;"&amp;I603)+COUNTIFS($I$602:I603,I603),COUNTIFS($I$602:$I$606,"&gt;0",$J$602:$J$606,"&gt;"&amp;J603)+COUNTIFS($I$602:I603,"&gt;0",$J$602:J603,J603))))</x:f>
        <x:v>6</x:v>
      </x:c>
      <x:c r="P603" s="22" t="n">
        <x:f>IF(T603="Ready",MIN(U603,MAX(0,G603-SUMIFS($U$602:$U$606,$O$602:$O$606,"&lt;"&amp;O603))),"n.a.")</x:f>
        <x:v>0</x:v>
      </x:c>
      <x:c r="Q603" s="22" t="n">
        <x:f>IF(T603="Ready",ROUND(N603+P603,2),"n.a.")</x:f>
        <x:v>0</x:v>
      </x:c>
      <x:c r="R603" s="22" t="n">
        <x:f>IF(T603="Ready",ROUND(Q603-M603,2),"n.a.")</x:f>
        <x:v>0</x:v>
      </x:c>
      <x:c r="S603" s="22" t="n">
        <x:f>IF(T603="Ready",MAX(0,ROUND(I603+M603-Q603,2)),"n.a.")</x:f>
        <x:v>0</x:v>
      </x:c>
      <x:c r="T603" s="22" t="str">
        <x:f>IF(AND(COUNT($I$602:$I$606)=5,COUNT(E603:F603)=2),IF(E603&gt;=F603,"Ready","Budget below minima"),"Check inputs")</x:f>
        <x:v>Ready</x:v>
      </x:c>
      <x:c r="U603" s="22" t="n">
        <x:f>IF(COUNT(I603,M603,N603)=3,MAX(0,ROUND(I603+M603-N603,2)),"n.a.")</x:f>
        <x:v>0</x:v>
      </x:c>
    </x:row>
    <x:row r="604" ht="22" customHeight="1">
      <x:c r="A604" s="2"/>
      <x:c r="B604" s="2"/>
      <x:c r="C604" s="27" t="n">
        <x:f>120</x:f>
        <x:v>120</x:v>
      </x:c>
      <x:c r="D604" s="28" t="n">
        <x:f>IF(ISNUMBER('Inputs'!$D$7),EDATE('Inputs'!$D$7,119),"n.a.")</x:f>
        <x:v>49949</x:v>
      </x:c>
      <x:c r="E604" s="26" t="n">
        <x:f>IF('Inputs'!$D$9&lt;&gt;"Ready","n.a.",IF(ISNUMBER('Inputs'!E138),IF('Inputs'!E138&gt;=0,'Inputs'!E138,"n.a."),IF('Inputs'!E138="",'Inputs'!$D$6,"n.a.")))</x:f>
        <x:v>500</x:v>
      </x:c>
      <x:c r="F604" s="22" t="n">
        <x:f>IF(COUNT($N$602:$N$606)=5,SUM($N$602:$N$606),"n.a.")</x:f>
        <x:v>0</x:v>
      </x:c>
      <x:c r="G604" s="22" t="n">
        <x:f>IF(COUNT(E604:F604)=2,MAX(0,E604-F604),"n.a.")</x:f>
        <x:v>500</x:v>
      </x:c>
      <x:c r="H604" s="26" t="str">
        <x:f>'Inputs'!C13</x:f>
        <x:v>Loan C</x:v>
      </x:c>
      <x:c r="I604" s="26" t="n">
        <x:f>S599</x:f>
        <x:v>0</x:v>
      </x:c>
      <x:c r="J604" s="29" t="n">
        <x:f>IF('Inputs'!$D$9="Ready",'Inputs'!E13,"n.a.")</x:f>
        <x:v>0.08</x:v>
      </x:c>
      <x:c r="K604" s="26" t="n">
        <x:f>IF('Inputs'!$D$9="Ready",'Inputs'!F13,"n.a.")</x:f>
        <x:v>150</x:v>
      </x:c>
      <x:c r="L604" s="29" t="n">
        <x:f>IF('Inputs'!$D$9="Ready",'Inputs'!G13,"n.a.")</x:f>
        <x:v>0</x:v>
      </x:c>
      <x:c r="M604" s="22" t="n">
        <x:f>IF(COUNT(I604:L604)=4,ROUND(I604*J604/12,2),"n.a.")</x:f>
        <x:v>0</x:v>
      </x:c>
      <x:c r="N604" s="22" t="n">
        <x:f>IF(COUNT(I604:M604)=5,MIN(I604+M604,ROUND(MAX(K604,I604*L604+M604),2)),"n.a.")</x:f>
        <x:v>0</x:v>
      </x:c>
      <x:c r="O604" s="30" t="n">
        <x:f>IF(COUNT($I$602:$I$606)&lt;&gt;5,"n.a.",IF(I604=0,6,IF('Inputs'!$D$5=1,COUNTIFS($I$602:$I$606,"&gt;0",$I$602:$I$606,"&lt;"&amp;I604)+COUNTIFS($I$602:I604,I604),COUNTIFS($I$602:$I$606,"&gt;0",$J$602:$J$606,"&gt;"&amp;J604)+COUNTIFS($I$602:I604,"&gt;0",$J$602:J604,J604))))</x:f>
        <x:v>6</x:v>
      </x:c>
      <x:c r="P604" s="22" t="n">
        <x:f>IF(T604="Ready",MIN(U604,MAX(0,G604-SUMIFS($U$602:$U$606,$O$602:$O$606,"&lt;"&amp;O604))),"n.a.")</x:f>
        <x:v>0</x:v>
      </x:c>
      <x:c r="Q604" s="22" t="n">
        <x:f>IF(T604="Ready",ROUND(N604+P604,2),"n.a.")</x:f>
        <x:v>0</x:v>
      </x:c>
      <x:c r="R604" s="22" t="n">
        <x:f>IF(T604="Ready",ROUND(Q604-M604,2),"n.a.")</x:f>
        <x:v>0</x:v>
      </x:c>
      <x:c r="S604" s="22" t="n">
        <x:f>IF(T604="Ready",MAX(0,ROUND(I604+M604-Q604,2)),"n.a.")</x:f>
        <x:v>0</x:v>
      </x:c>
      <x:c r="T604" s="22" t="str">
        <x:f>IF(AND(COUNT($I$602:$I$606)=5,COUNT(E604:F604)=2),IF(E604&gt;=F604,"Ready","Budget below minima"),"Check inputs")</x:f>
        <x:v>Ready</x:v>
      </x:c>
      <x:c r="U604" s="22" t="n">
        <x:f>IF(COUNT(I604,M604,N604)=3,MAX(0,ROUND(I604+M604-N604,2)),"n.a.")</x:f>
        <x:v>0</x:v>
      </x:c>
    </x:row>
    <x:row r="605" ht="22" customHeight="1">
      <x:c r="A605" s="2"/>
      <x:c r="B605" s="2"/>
      <x:c r="C605" s="27" t="n">
        <x:f>120</x:f>
        <x:v>120</x:v>
      </x:c>
      <x:c r="D605" s="28" t="n">
        <x:f>IF(ISNUMBER('Inputs'!$D$7),EDATE('Inputs'!$D$7,119),"n.a.")</x:f>
        <x:v>49949</x:v>
      </x:c>
      <x:c r="E605" s="26" t="n">
        <x:f>IF('Inputs'!$D$9&lt;&gt;"Ready","n.a.",IF(ISNUMBER('Inputs'!E138),IF('Inputs'!E138&gt;=0,'Inputs'!E138,"n.a."),IF('Inputs'!E138="",'Inputs'!$D$6,"n.a.")))</x:f>
        <x:v>500</x:v>
      </x:c>
      <x:c r="F605" s="22" t="n">
        <x:f>IF(COUNT($N$602:$N$606)=5,SUM($N$602:$N$606),"n.a.")</x:f>
        <x:v>0</x:v>
      </x:c>
      <x:c r="G605" s="22" t="n">
        <x:f>IF(COUNT(E605:F605)=2,MAX(0,E605-F605),"n.a.")</x:f>
        <x:v>500</x:v>
      </x:c>
      <x:c r="H605" s="26" t="str">
        <x:f>'Inputs'!C14</x:f>
        <x:v>Unused 4</x:v>
      </x:c>
      <x:c r="I605" s="26" t="n">
        <x:f>S600</x:f>
        <x:v>0</x:v>
      </x:c>
      <x:c r="J605" s="29" t="n">
        <x:f>IF('Inputs'!$D$9="Ready",'Inputs'!E14,"n.a.")</x:f>
        <x:v>0</x:v>
      </x:c>
      <x:c r="K605" s="26" t="n">
        <x:f>IF('Inputs'!$D$9="Ready",'Inputs'!F14,"n.a.")</x:f>
        <x:v>0</x:v>
      </x:c>
      <x:c r="L605" s="29" t="n">
        <x:f>IF('Inputs'!$D$9="Ready",'Inputs'!G14,"n.a.")</x:f>
        <x:v>0</x:v>
      </x:c>
      <x:c r="M605" s="22" t="n">
        <x:f>IF(COUNT(I605:L605)=4,ROUND(I605*J605/12,2),"n.a.")</x:f>
        <x:v>0</x:v>
      </x:c>
      <x:c r="N605" s="22" t="n">
        <x:f>IF(COUNT(I605:M605)=5,MIN(I605+M605,ROUND(MAX(K605,I605*L605+M605),2)),"n.a.")</x:f>
        <x:v>0</x:v>
      </x:c>
      <x:c r="O605" s="30" t="n">
        <x:f>IF(COUNT($I$602:$I$606)&lt;&gt;5,"n.a.",IF(I605=0,6,IF('Inputs'!$D$5=1,COUNTIFS($I$602:$I$606,"&gt;0",$I$602:$I$606,"&lt;"&amp;I605)+COUNTIFS($I$602:I605,I605),COUNTIFS($I$602:$I$606,"&gt;0",$J$602:$J$606,"&gt;"&amp;J605)+COUNTIFS($I$602:I605,"&gt;0",$J$602:J605,J605))))</x:f>
        <x:v>6</x:v>
      </x:c>
      <x:c r="P605" s="22" t="n">
        <x:f>IF(T605="Ready",MIN(U605,MAX(0,G605-SUMIFS($U$602:$U$606,$O$602:$O$606,"&lt;"&amp;O605))),"n.a.")</x:f>
        <x:v>0</x:v>
      </x:c>
      <x:c r="Q605" s="22" t="n">
        <x:f>IF(T605="Ready",ROUND(N605+P605,2),"n.a.")</x:f>
        <x:v>0</x:v>
      </x:c>
      <x:c r="R605" s="22" t="n">
        <x:f>IF(T605="Ready",ROUND(Q605-M605,2),"n.a.")</x:f>
        <x:v>0</x:v>
      </x:c>
      <x:c r="S605" s="22" t="n">
        <x:f>IF(T605="Ready",MAX(0,ROUND(I605+M605-Q605,2)),"n.a.")</x:f>
        <x:v>0</x:v>
      </x:c>
      <x:c r="T605" s="22" t="str">
        <x:f>IF(AND(COUNT($I$602:$I$606)=5,COUNT(E605:F605)=2),IF(E605&gt;=F605,"Ready","Budget below minima"),"Check inputs")</x:f>
        <x:v>Ready</x:v>
      </x:c>
      <x:c r="U605" s="22" t="n">
        <x:f>IF(COUNT(I605,M605,N605)=3,MAX(0,ROUND(I605+M605-N605,2)),"n.a.")</x:f>
        <x:v>0</x:v>
      </x:c>
    </x:row>
    <x:row r="606" ht="22" customHeight="1">
      <x:c r="A606" s="2"/>
      <x:c r="B606" s="2"/>
      <x:c r="C606" s="27" t="n">
        <x:f>120</x:f>
        <x:v>120</x:v>
      </x:c>
      <x:c r="D606" s="28" t="n">
        <x:f>IF(ISNUMBER('Inputs'!$D$7),EDATE('Inputs'!$D$7,119),"n.a.")</x:f>
        <x:v>49949</x:v>
      </x:c>
      <x:c r="E606" s="26" t="n">
        <x:f>IF('Inputs'!$D$9&lt;&gt;"Ready","n.a.",IF(ISNUMBER('Inputs'!E138),IF('Inputs'!E138&gt;=0,'Inputs'!E138,"n.a."),IF('Inputs'!E138="",'Inputs'!$D$6,"n.a.")))</x:f>
        <x:v>500</x:v>
      </x:c>
      <x:c r="F606" s="22" t="n">
        <x:f>IF(COUNT($N$602:$N$606)=5,SUM($N$602:$N$606),"n.a.")</x:f>
        <x:v>0</x:v>
      </x:c>
      <x:c r="G606" s="22" t="n">
        <x:f>IF(COUNT(E606:F606)=2,MAX(0,E606-F606),"n.a.")</x:f>
        <x:v>500</x:v>
      </x:c>
      <x:c r="H606" s="26" t="str">
        <x:f>'Inputs'!C15</x:f>
        <x:v>Unused 5</x:v>
      </x:c>
      <x:c r="I606" s="26" t="n">
        <x:f>S601</x:f>
        <x:v>0</x:v>
      </x:c>
      <x:c r="J606" s="29" t="n">
        <x:f>IF('Inputs'!$D$9="Ready",'Inputs'!E15,"n.a.")</x:f>
        <x:v>0</x:v>
      </x:c>
      <x:c r="K606" s="26" t="n">
        <x:f>IF('Inputs'!$D$9="Ready",'Inputs'!F15,"n.a.")</x:f>
        <x:v>0</x:v>
      </x:c>
      <x:c r="L606" s="29" t="n">
        <x:f>IF('Inputs'!$D$9="Ready",'Inputs'!G15,"n.a.")</x:f>
        <x:v>0</x:v>
      </x:c>
      <x:c r="M606" s="22" t="n">
        <x:f>IF(COUNT(I606:L606)=4,ROUND(I606*J606/12,2),"n.a.")</x:f>
        <x:v>0</x:v>
      </x:c>
      <x:c r="N606" s="22" t="n">
        <x:f>IF(COUNT(I606:M606)=5,MIN(I606+M606,ROUND(MAX(K606,I606*L606+M606),2)),"n.a.")</x:f>
        <x:v>0</x:v>
      </x:c>
      <x:c r="O606" s="30" t="n">
        <x:f>IF(COUNT($I$602:$I$606)&lt;&gt;5,"n.a.",IF(I606=0,6,IF('Inputs'!$D$5=1,COUNTIFS($I$602:$I$606,"&gt;0",$I$602:$I$606,"&lt;"&amp;I606)+COUNTIFS($I$602:I606,I606),COUNTIFS($I$602:$I$606,"&gt;0",$J$602:$J$606,"&gt;"&amp;J606)+COUNTIFS($I$602:I606,"&gt;0",$J$602:J606,J606))))</x:f>
        <x:v>6</x:v>
      </x:c>
      <x:c r="P606" s="22" t="n">
        <x:f>IF(T606="Ready",MIN(U606,MAX(0,G606-SUMIFS($U$602:$U$606,$O$602:$O$606,"&lt;"&amp;O606))),"n.a.")</x:f>
        <x:v>0</x:v>
      </x:c>
      <x:c r="Q606" s="22" t="n">
        <x:f>IF(T606="Ready",ROUND(N606+P606,2),"n.a.")</x:f>
        <x:v>0</x:v>
      </x:c>
      <x:c r="R606" s="22" t="n">
        <x:f>IF(T606="Ready",ROUND(Q606-M606,2),"n.a.")</x:f>
        <x:v>0</x:v>
      </x:c>
      <x:c r="S606" s="22" t="n">
        <x:f>IF(T606="Ready",MAX(0,ROUND(I606+M606-Q606,2)),"n.a.")</x:f>
        <x:v>0</x:v>
      </x:c>
      <x:c r="T606" s="22" t="str">
        <x:f>IF(AND(COUNT($I$602:$I$606)=5,COUNT(E606:F606)=2),IF(E606&gt;=F606,"Ready","Budget below minima"),"Check inputs")</x:f>
        <x:v>Ready</x:v>
      </x:c>
      <x:c r="U606" s="22" t="n">
        <x:f>IF(COUNT(I606,M606,N606)=3,MAX(0,ROUND(I606+M606-N606,2)),"n.a.")</x:f>
        <x:v>0</x:v>
      </x:c>
    </x:row>
    <x:row r="607" ht="22" customHeight="1">
      <x:c r="A607" s="2"/>
      <x:c r="B607" s="2"/>
      <x:c r="C607" s="27" t="n">
        <x:f>121</x:f>
        <x:v>121</x:v>
      </x:c>
      <x:c r="D607" s="28" t="n">
        <x:f>IF(ISNUMBER('Inputs'!$D$7),EDATE('Inputs'!$D$7,120),"n.a.")</x:f>
        <x:v>49980</x:v>
      </x:c>
      <x:c r="E607" s="26" t="n">
        <x:f>IF('Inputs'!$D$9&lt;&gt;"Ready","n.a.",IF(ISNUMBER('Inputs'!E139),IF('Inputs'!E139&gt;=0,'Inputs'!E139,"n.a."),IF('Inputs'!E139="",'Inputs'!$D$6,"n.a.")))</x:f>
        <x:v>500</x:v>
      </x:c>
      <x:c r="F607" s="22" t="n">
        <x:f>IF(COUNT($N$607:$N$611)=5,SUM($N$607:$N$611),"n.a.")</x:f>
        <x:v>0</x:v>
      </x:c>
      <x:c r="G607" s="22" t="n">
        <x:f>IF(COUNT(E607:F607)=2,MAX(0,E607-F607),"n.a.")</x:f>
        <x:v>500</x:v>
      </x:c>
      <x:c r="H607" s="26" t="str">
        <x:f>'Inputs'!C11</x:f>
        <x:v>Card A</x:v>
      </x:c>
      <x:c r="I607" s="26" t="n">
        <x:f>S602</x:f>
        <x:v>0</x:v>
      </x:c>
      <x:c r="J607" s="29" t="n">
        <x:f>IF('Inputs'!$D$9="Ready",'Inputs'!E11,"n.a.")</x:f>
        <x:v>0.24</x:v>
      </x:c>
      <x:c r="K607" s="26" t="n">
        <x:f>IF('Inputs'!$D$9="Ready",'Inputs'!F11,"n.a.")</x:f>
        <x:v>35</x:v>
      </x:c>
      <x:c r="L607" s="29" t="n">
        <x:f>IF('Inputs'!$D$9="Ready",'Inputs'!G11,"n.a.")</x:f>
        <x:v>0.02</x:v>
      </x:c>
      <x:c r="M607" s="22" t="n">
        <x:f>IF(COUNT(I607:L607)=4,ROUND(I607*J607/12,2),"n.a.")</x:f>
        <x:v>0</x:v>
      </x:c>
      <x:c r="N607" s="22" t="n">
        <x:f>IF(COUNT(I607:M607)=5,MIN(I607+M607,ROUND(MAX(K607,I607*L607+M607),2)),"n.a.")</x:f>
        <x:v>0</x:v>
      </x:c>
      <x:c r="O607" s="30" t="n">
        <x:f>IF(COUNT($I$607:$I$611)&lt;&gt;5,"n.a.",IF(I607=0,6,IF('Inputs'!$D$5=1,COUNTIFS($I$607:$I$611,"&gt;0",$I$607:$I$611,"&lt;"&amp;I607)+COUNTIFS($I$607:I607,I607),COUNTIFS($I$607:$I$611,"&gt;0",$J$607:$J$611,"&gt;"&amp;J607)+COUNTIFS($I$607:I607,"&gt;0",$J$607:J607,J607))))</x:f>
        <x:v>6</x:v>
      </x:c>
      <x:c r="P607" s="22" t="n">
        <x:f>IF(T607="Ready",MIN(U607,MAX(0,G607-SUMIFS($U$607:$U$611,$O$607:$O$611,"&lt;"&amp;O607))),"n.a.")</x:f>
        <x:v>0</x:v>
      </x:c>
      <x:c r="Q607" s="22" t="n">
        <x:f>IF(T607="Ready",ROUND(N607+P607,2),"n.a.")</x:f>
        <x:v>0</x:v>
      </x:c>
      <x:c r="R607" s="22" t="n">
        <x:f>IF(T607="Ready",ROUND(Q607-M607,2),"n.a.")</x:f>
        <x:v>0</x:v>
      </x:c>
      <x:c r="S607" s="22" t="n">
        <x:f>IF(T607="Ready",MAX(0,ROUND(I607+M607-Q607,2)),"n.a.")</x:f>
        <x:v>0</x:v>
      </x:c>
      <x:c r="T607" s="22" t="str">
        <x:f>IF(AND(COUNT($I$607:$I$611)=5,COUNT(E607:F607)=2),IF(E607&gt;=F607,"Ready","Budget below minima"),"Check inputs")</x:f>
        <x:v>Ready</x:v>
      </x:c>
      <x:c r="U607" s="22" t="n">
        <x:f>IF(COUNT(I607,M607,N607)=3,MAX(0,ROUND(I607+M607-N607,2)),"n.a.")</x:f>
        <x:v>0</x:v>
      </x:c>
    </x:row>
    <x:row r="608" ht="22" customHeight="1">
      <x:c r="A608" s="2"/>
      <x:c r="B608" s="2"/>
      <x:c r="C608" s="27" t="n">
        <x:f>121</x:f>
        <x:v>121</x:v>
      </x:c>
      <x:c r="D608" s="28" t="n">
        <x:f>IF(ISNUMBER('Inputs'!$D$7),EDATE('Inputs'!$D$7,120),"n.a.")</x:f>
        <x:v>49980</x:v>
      </x:c>
      <x:c r="E608" s="26" t="n">
        <x:f>IF('Inputs'!$D$9&lt;&gt;"Ready","n.a.",IF(ISNUMBER('Inputs'!E139),IF('Inputs'!E139&gt;=0,'Inputs'!E139,"n.a."),IF('Inputs'!E139="",'Inputs'!$D$6,"n.a.")))</x:f>
        <x:v>500</x:v>
      </x:c>
      <x:c r="F608" s="22" t="n">
        <x:f>IF(COUNT($N$607:$N$611)=5,SUM($N$607:$N$611),"n.a.")</x:f>
        <x:v>0</x:v>
      </x:c>
      <x:c r="G608" s="22" t="n">
        <x:f>IF(COUNT(E608:F608)=2,MAX(0,E608-F608),"n.a.")</x:f>
        <x:v>500</x:v>
      </x:c>
      <x:c r="H608" s="26" t="str">
        <x:f>'Inputs'!C12</x:f>
        <x:v>Card B</x:v>
      </x:c>
      <x:c r="I608" s="26" t="n">
        <x:f>S603</x:f>
        <x:v>0</x:v>
      </x:c>
      <x:c r="J608" s="29" t="n">
        <x:f>IF('Inputs'!$D$9="Ready",'Inputs'!E12,"n.a.")</x:f>
        <x:v>0.18</x:v>
      </x:c>
      <x:c r="K608" s="26" t="n">
        <x:f>IF('Inputs'!$D$9="Ready",'Inputs'!F12,"n.a.")</x:f>
        <x:v>60</x:v>
      </x:c>
      <x:c r="L608" s="29" t="n">
        <x:f>IF('Inputs'!$D$9="Ready",'Inputs'!G12,"n.a.")</x:f>
        <x:v>0.02</x:v>
      </x:c>
      <x:c r="M608" s="22" t="n">
        <x:f>IF(COUNT(I608:L608)=4,ROUND(I608*J608/12,2),"n.a.")</x:f>
        <x:v>0</x:v>
      </x:c>
      <x:c r="N608" s="22" t="n">
        <x:f>IF(COUNT(I608:M608)=5,MIN(I608+M608,ROUND(MAX(K608,I608*L608+M608),2)),"n.a.")</x:f>
        <x:v>0</x:v>
      </x:c>
      <x:c r="O608" s="30" t="n">
        <x:f>IF(COUNT($I$607:$I$611)&lt;&gt;5,"n.a.",IF(I608=0,6,IF('Inputs'!$D$5=1,COUNTIFS($I$607:$I$611,"&gt;0",$I$607:$I$611,"&lt;"&amp;I608)+COUNTIFS($I$607:I608,I608),COUNTIFS($I$607:$I$611,"&gt;0",$J$607:$J$611,"&gt;"&amp;J608)+COUNTIFS($I$607:I608,"&gt;0",$J$607:J608,J608))))</x:f>
        <x:v>6</x:v>
      </x:c>
      <x:c r="P608" s="22" t="n">
        <x:f>IF(T608="Ready",MIN(U608,MAX(0,G608-SUMIFS($U$607:$U$611,$O$607:$O$611,"&lt;"&amp;O608))),"n.a.")</x:f>
        <x:v>0</x:v>
      </x:c>
      <x:c r="Q608" s="22" t="n">
        <x:f>IF(T608="Ready",ROUND(N608+P608,2),"n.a.")</x:f>
        <x:v>0</x:v>
      </x:c>
      <x:c r="R608" s="22" t="n">
        <x:f>IF(T608="Ready",ROUND(Q608-M608,2),"n.a.")</x:f>
        <x:v>0</x:v>
      </x:c>
      <x:c r="S608" s="22" t="n">
        <x:f>IF(T608="Ready",MAX(0,ROUND(I608+M608-Q608,2)),"n.a.")</x:f>
        <x:v>0</x:v>
      </x:c>
      <x:c r="T608" s="22" t="str">
        <x:f>IF(AND(COUNT($I$607:$I$611)=5,COUNT(E608:F608)=2),IF(E608&gt;=F608,"Ready","Budget below minima"),"Check inputs")</x:f>
        <x:v>Ready</x:v>
      </x:c>
      <x:c r="U608" s="22" t="n">
        <x:f>IF(COUNT(I608,M608,N608)=3,MAX(0,ROUND(I608+M608-N608,2)),"n.a.")</x:f>
        <x:v>0</x:v>
      </x:c>
    </x:row>
    <x:row r="609" ht="22" customHeight="1">
      <x:c r="A609" s="2"/>
      <x:c r="B609" s="2"/>
      <x:c r="C609" s="27" t="n">
        <x:f>121</x:f>
        <x:v>121</x:v>
      </x:c>
      <x:c r="D609" s="28" t="n">
        <x:f>IF(ISNUMBER('Inputs'!$D$7),EDATE('Inputs'!$D$7,120),"n.a.")</x:f>
        <x:v>49980</x:v>
      </x:c>
      <x:c r="E609" s="26" t="n">
        <x:f>IF('Inputs'!$D$9&lt;&gt;"Ready","n.a.",IF(ISNUMBER('Inputs'!E139),IF('Inputs'!E139&gt;=0,'Inputs'!E139,"n.a."),IF('Inputs'!E139="",'Inputs'!$D$6,"n.a.")))</x:f>
        <x:v>500</x:v>
      </x:c>
      <x:c r="F609" s="22" t="n">
        <x:f>IF(COUNT($N$607:$N$611)=5,SUM($N$607:$N$611),"n.a.")</x:f>
        <x:v>0</x:v>
      </x:c>
      <x:c r="G609" s="22" t="n">
        <x:f>IF(COUNT(E609:F609)=2,MAX(0,E609-F609),"n.a.")</x:f>
        <x:v>500</x:v>
      </x:c>
      <x:c r="H609" s="26" t="str">
        <x:f>'Inputs'!C13</x:f>
        <x:v>Loan C</x:v>
      </x:c>
      <x:c r="I609" s="26" t="n">
        <x:f>S604</x:f>
        <x:v>0</x:v>
      </x:c>
      <x:c r="J609" s="29" t="n">
        <x:f>IF('Inputs'!$D$9="Ready",'Inputs'!E13,"n.a.")</x:f>
        <x:v>0.08</x:v>
      </x:c>
      <x:c r="K609" s="26" t="n">
        <x:f>IF('Inputs'!$D$9="Ready",'Inputs'!F13,"n.a.")</x:f>
        <x:v>150</x:v>
      </x:c>
      <x:c r="L609" s="29" t="n">
        <x:f>IF('Inputs'!$D$9="Ready",'Inputs'!G13,"n.a.")</x:f>
        <x:v>0</x:v>
      </x:c>
      <x:c r="M609" s="22" t="n">
        <x:f>IF(COUNT(I609:L609)=4,ROUND(I609*J609/12,2),"n.a.")</x:f>
        <x:v>0</x:v>
      </x:c>
      <x:c r="N609" s="22" t="n">
        <x:f>IF(COUNT(I609:M609)=5,MIN(I609+M609,ROUND(MAX(K609,I609*L609+M609),2)),"n.a.")</x:f>
        <x:v>0</x:v>
      </x:c>
      <x:c r="O609" s="30" t="n">
        <x:f>IF(COUNT($I$607:$I$611)&lt;&gt;5,"n.a.",IF(I609=0,6,IF('Inputs'!$D$5=1,COUNTIFS($I$607:$I$611,"&gt;0",$I$607:$I$611,"&lt;"&amp;I609)+COUNTIFS($I$607:I609,I609),COUNTIFS($I$607:$I$611,"&gt;0",$J$607:$J$611,"&gt;"&amp;J609)+COUNTIFS($I$607:I609,"&gt;0",$J$607:J609,J609))))</x:f>
        <x:v>6</x:v>
      </x:c>
      <x:c r="P609" s="22" t="n">
        <x:f>IF(T609="Ready",MIN(U609,MAX(0,G609-SUMIFS($U$607:$U$611,$O$607:$O$611,"&lt;"&amp;O609))),"n.a.")</x:f>
        <x:v>0</x:v>
      </x:c>
      <x:c r="Q609" s="22" t="n">
        <x:f>IF(T609="Ready",ROUND(N609+P609,2),"n.a.")</x:f>
        <x:v>0</x:v>
      </x:c>
      <x:c r="R609" s="22" t="n">
        <x:f>IF(T609="Ready",ROUND(Q609-M609,2),"n.a.")</x:f>
        <x:v>0</x:v>
      </x:c>
      <x:c r="S609" s="22" t="n">
        <x:f>IF(T609="Ready",MAX(0,ROUND(I609+M609-Q609,2)),"n.a.")</x:f>
        <x:v>0</x:v>
      </x:c>
      <x:c r="T609" s="22" t="str">
        <x:f>IF(AND(COUNT($I$607:$I$611)=5,COUNT(E609:F609)=2),IF(E609&gt;=F609,"Ready","Budget below minima"),"Check inputs")</x:f>
        <x:v>Ready</x:v>
      </x:c>
      <x:c r="U609" s="22" t="n">
        <x:f>IF(COUNT(I609,M609,N609)=3,MAX(0,ROUND(I609+M609-N609,2)),"n.a.")</x:f>
        <x:v>0</x:v>
      </x:c>
    </x:row>
    <x:row r="610" ht="22" customHeight="1">
      <x:c r="A610" s="2"/>
      <x:c r="B610" s="2"/>
      <x:c r="C610" s="27" t="n">
        <x:f>121</x:f>
        <x:v>121</x:v>
      </x:c>
      <x:c r="D610" s="28" t="n">
        <x:f>IF(ISNUMBER('Inputs'!$D$7),EDATE('Inputs'!$D$7,120),"n.a.")</x:f>
        <x:v>49980</x:v>
      </x:c>
      <x:c r="E610" s="26" t="n">
        <x:f>IF('Inputs'!$D$9&lt;&gt;"Ready","n.a.",IF(ISNUMBER('Inputs'!E139),IF('Inputs'!E139&gt;=0,'Inputs'!E139,"n.a."),IF('Inputs'!E139="",'Inputs'!$D$6,"n.a.")))</x:f>
        <x:v>500</x:v>
      </x:c>
      <x:c r="F610" s="22" t="n">
        <x:f>IF(COUNT($N$607:$N$611)=5,SUM($N$607:$N$611),"n.a.")</x:f>
        <x:v>0</x:v>
      </x:c>
      <x:c r="G610" s="22" t="n">
        <x:f>IF(COUNT(E610:F610)=2,MAX(0,E610-F610),"n.a.")</x:f>
        <x:v>500</x:v>
      </x:c>
      <x:c r="H610" s="26" t="str">
        <x:f>'Inputs'!C14</x:f>
        <x:v>Unused 4</x:v>
      </x:c>
      <x:c r="I610" s="26" t="n">
        <x:f>S605</x:f>
        <x:v>0</x:v>
      </x:c>
      <x:c r="J610" s="29" t="n">
        <x:f>IF('Inputs'!$D$9="Ready",'Inputs'!E14,"n.a.")</x:f>
        <x:v>0</x:v>
      </x:c>
      <x:c r="K610" s="26" t="n">
        <x:f>IF('Inputs'!$D$9="Ready",'Inputs'!F14,"n.a.")</x:f>
        <x:v>0</x:v>
      </x:c>
      <x:c r="L610" s="29" t="n">
        <x:f>IF('Inputs'!$D$9="Ready",'Inputs'!G14,"n.a.")</x:f>
        <x:v>0</x:v>
      </x:c>
      <x:c r="M610" s="22" t="n">
        <x:f>IF(COUNT(I610:L610)=4,ROUND(I610*J610/12,2),"n.a.")</x:f>
        <x:v>0</x:v>
      </x:c>
      <x:c r="N610" s="22" t="n">
        <x:f>IF(COUNT(I610:M610)=5,MIN(I610+M610,ROUND(MAX(K610,I610*L610+M610),2)),"n.a.")</x:f>
        <x:v>0</x:v>
      </x:c>
      <x:c r="O610" s="30" t="n">
        <x:f>IF(COUNT($I$607:$I$611)&lt;&gt;5,"n.a.",IF(I610=0,6,IF('Inputs'!$D$5=1,COUNTIFS($I$607:$I$611,"&gt;0",$I$607:$I$611,"&lt;"&amp;I610)+COUNTIFS($I$607:I610,I610),COUNTIFS($I$607:$I$611,"&gt;0",$J$607:$J$611,"&gt;"&amp;J610)+COUNTIFS($I$607:I610,"&gt;0",$J$607:J610,J610))))</x:f>
        <x:v>6</x:v>
      </x:c>
      <x:c r="P610" s="22" t="n">
        <x:f>IF(T610="Ready",MIN(U610,MAX(0,G610-SUMIFS($U$607:$U$611,$O$607:$O$611,"&lt;"&amp;O610))),"n.a.")</x:f>
        <x:v>0</x:v>
      </x:c>
      <x:c r="Q610" s="22" t="n">
        <x:f>IF(T610="Ready",ROUND(N610+P610,2),"n.a.")</x:f>
        <x:v>0</x:v>
      </x:c>
      <x:c r="R610" s="22" t="n">
        <x:f>IF(T610="Ready",ROUND(Q610-M610,2),"n.a.")</x:f>
        <x:v>0</x:v>
      </x:c>
      <x:c r="S610" s="22" t="n">
        <x:f>IF(T610="Ready",MAX(0,ROUND(I610+M610-Q610,2)),"n.a.")</x:f>
        <x:v>0</x:v>
      </x:c>
      <x:c r="T610" s="22" t="str">
        <x:f>IF(AND(COUNT($I$607:$I$611)=5,COUNT(E610:F610)=2),IF(E610&gt;=F610,"Ready","Budget below minima"),"Check inputs")</x:f>
        <x:v>Ready</x:v>
      </x:c>
      <x:c r="U610" s="22" t="n">
        <x:f>IF(COUNT(I610,M610,N610)=3,MAX(0,ROUND(I610+M610-N610,2)),"n.a.")</x:f>
        <x:v>0</x:v>
      </x:c>
    </x:row>
    <x:row r="611" ht="22" customHeight="1">
      <x:c r="A611" s="2"/>
      <x:c r="B611" s="2"/>
      <x:c r="C611" s="27" t="n">
        <x:f>121</x:f>
        <x:v>121</x:v>
      </x:c>
      <x:c r="D611" s="28" t="n">
        <x:f>IF(ISNUMBER('Inputs'!$D$7),EDATE('Inputs'!$D$7,120),"n.a.")</x:f>
        <x:v>49980</x:v>
      </x:c>
      <x:c r="E611" s="26" t="n">
        <x:f>IF('Inputs'!$D$9&lt;&gt;"Ready","n.a.",IF(ISNUMBER('Inputs'!E139),IF('Inputs'!E139&gt;=0,'Inputs'!E139,"n.a."),IF('Inputs'!E139="",'Inputs'!$D$6,"n.a.")))</x:f>
        <x:v>500</x:v>
      </x:c>
      <x:c r="F611" s="22" t="n">
        <x:f>IF(COUNT($N$607:$N$611)=5,SUM($N$607:$N$611),"n.a.")</x:f>
        <x:v>0</x:v>
      </x:c>
      <x:c r="G611" s="22" t="n">
        <x:f>IF(COUNT(E611:F611)=2,MAX(0,E611-F611),"n.a.")</x:f>
        <x:v>500</x:v>
      </x:c>
      <x:c r="H611" s="26" t="str">
        <x:f>'Inputs'!C15</x:f>
        <x:v>Unused 5</x:v>
      </x:c>
      <x:c r="I611" s="26" t="n">
        <x:f>S606</x:f>
        <x:v>0</x:v>
      </x:c>
      <x:c r="J611" s="29" t="n">
        <x:f>IF('Inputs'!$D$9="Ready",'Inputs'!E15,"n.a.")</x:f>
        <x:v>0</x:v>
      </x:c>
      <x:c r="K611" s="26" t="n">
        <x:f>IF('Inputs'!$D$9="Ready",'Inputs'!F15,"n.a.")</x:f>
        <x:v>0</x:v>
      </x:c>
      <x:c r="L611" s="29" t="n">
        <x:f>IF('Inputs'!$D$9="Ready",'Inputs'!G15,"n.a.")</x:f>
        <x:v>0</x:v>
      </x:c>
      <x:c r="M611" s="22" t="n">
        <x:f>IF(COUNT(I611:L611)=4,ROUND(I611*J611/12,2),"n.a.")</x:f>
        <x:v>0</x:v>
      </x:c>
      <x:c r="N611" s="22" t="n">
        <x:f>IF(COUNT(I611:M611)=5,MIN(I611+M611,ROUND(MAX(K611,I611*L611+M611),2)),"n.a.")</x:f>
        <x:v>0</x:v>
      </x:c>
      <x:c r="O611" s="30" t="n">
        <x:f>IF(COUNT($I$607:$I$611)&lt;&gt;5,"n.a.",IF(I611=0,6,IF('Inputs'!$D$5=1,COUNTIFS($I$607:$I$611,"&gt;0",$I$607:$I$611,"&lt;"&amp;I611)+COUNTIFS($I$607:I611,I611),COUNTIFS($I$607:$I$611,"&gt;0",$J$607:$J$611,"&gt;"&amp;J611)+COUNTIFS($I$607:I611,"&gt;0",$J$607:J611,J611))))</x:f>
        <x:v>6</x:v>
      </x:c>
      <x:c r="P611" s="22" t="n">
        <x:f>IF(T611="Ready",MIN(U611,MAX(0,G611-SUMIFS($U$607:$U$611,$O$607:$O$611,"&lt;"&amp;O611))),"n.a.")</x:f>
        <x:v>0</x:v>
      </x:c>
      <x:c r="Q611" s="22" t="n">
        <x:f>IF(T611="Ready",ROUND(N611+P611,2),"n.a.")</x:f>
        <x:v>0</x:v>
      </x:c>
      <x:c r="R611" s="22" t="n">
        <x:f>IF(T611="Ready",ROUND(Q611-M611,2),"n.a.")</x:f>
        <x:v>0</x:v>
      </x:c>
      <x:c r="S611" s="22" t="n">
        <x:f>IF(T611="Ready",MAX(0,ROUND(I611+M611-Q611,2)),"n.a.")</x:f>
        <x:v>0</x:v>
      </x:c>
      <x:c r="T611" s="22" t="str">
        <x:f>IF(AND(COUNT($I$607:$I$611)=5,COUNT(E611:F611)=2),IF(E611&gt;=F611,"Ready","Budget below minima"),"Check inputs")</x:f>
        <x:v>Ready</x:v>
      </x:c>
      <x:c r="U611" s="22" t="n">
        <x:f>IF(COUNT(I611,M611,N611)=3,MAX(0,ROUND(I611+M611-N611,2)),"n.a.")</x:f>
        <x:v>0</x:v>
      </x:c>
    </x:row>
    <x:row r="612" ht="22" customHeight="1">
      <x:c r="A612" s="2"/>
      <x:c r="B612" s="2"/>
      <x:c r="C612" s="27" t="n">
        <x:f>122</x:f>
        <x:v>122</x:v>
      </x:c>
      <x:c r="D612" s="28" t="n">
        <x:f>IF(ISNUMBER('Inputs'!$D$7),EDATE('Inputs'!$D$7,121),"n.a.")</x:f>
        <x:v>50010</x:v>
      </x:c>
      <x:c r="E612" s="26" t="n">
        <x:f>IF('Inputs'!$D$9&lt;&gt;"Ready","n.a.",IF(ISNUMBER('Inputs'!E140),IF('Inputs'!E140&gt;=0,'Inputs'!E140,"n.a."),IF('Inputs'!E140="",'Inputs'!$D$6,"n.a.")))</x:f>
        <x:v>500</x:v>
      </x:c>
      <x:c r="F612" s="22" t="n">
        <x:f>IF(COUNT($N$612:$N$616)=5,SUM($N$612:$N$616),"n.a.")</x:f>
        <x:v>0</x:v>
      </x:c>
      <x:c r="G612" s="22" t="n">
        <x:f>IF(COUNT(E612:F612)=2,MAX(0,E612-F612),"n.a.")</x:f>
        <x:v>500</x:v>
      </x:c>
      <x:c r="H612" s="26" t="str">
        <x:f>'Inputs'!C11</x:f>
        <x:v>Card A</x:v>
      </x:c>
      <x:c r="I612" s="26" t="n">
        <x:f>S607</x:f>
        <x:v>0</x:v>
      </x:c>
      <x:c r="J612" s="29" t="n">
        <x:f>IF('Inputs'!$D$9="Ready",'Inputs'!E11,"n.a.")</x:f>
        <x:v>0.24</x:v>
      </x:c>
      <x:c r="K612" s="26" t="n">
        <x:f>IF('Inputs'!$D$9="Ready",'Inputs'!F11,"n.a.")</x:f>
        <x:v>35</x:v>
      </x:c>
      <x:c r="L612" s="29" t="n">
        <x:f>IF('Inputs'!$D$9="Ready",'Inputs'!G11,"n.a.")</x:f>
        <x:v>0.02</x:v>
      </x:c>
      <x:c r="M612" s="22" t="n">
        <x:f>IF(COUNT(I612:L612)=4,ROUND(I612*J612/12,2),"n.a.")</x:f>
        <x:v>0</x:v>
      </x:c>
      <x:c r="N612" s="22" t="n">
        <x:f>IF(COUNT(I612:M612)=5,MIN(I612+M612,ROUND(MAX(K612,I612*L612+M612),2)),"n.a.")</x:f>
        <x:v>0</x:v>
      </x:c>
      <x:c r="O612" s="30" t="n">
        <x:f>IF(COUNT($I$612:$I$616)&lt;&gt;5,"n.a.",IF(I612=0,6,IF('Inputs'!$D$5=1,COUNTIFS($I$612:$I$616,"&gt;0",$I$612:$I$616,"&lt;"&amp;I612)+COUNTIFS($I$612:I612,I612),COUNTIFS($I$612:$I$616,"&gt;0",$J$612:$J$616,"&gt;"&amp;J612)+COUNTIFS($I$612:I612,"&gt;0",$J$612:J612,J612))))</x:f>
        <x:v>6</x:v>
      </x:c>
      <x:c r="P612" s="22" t="n">
        <x:f>IF(T612="Ready",MIN(U612,MAX(0,G612-SUMIFS($U$612:$U$616,$O$612:$O$616,"&lt;"&amp;O612))),"n.a.")</x:f>
        <x:v>0</x:v>
      </x:c>
      <x:c r="Q612" s="22" t="n">
        <x:f>IF(T612="Ready",ROUND(N612+P612,2),"n.a.")</x:f>
        <x:v>0</x:v>
      </x:c>
      <x:c r="R612" s="22" t="n">
        <x:f>IF(T612="Ready",ROUND(Q612-M612,2),"n.a.")</x:f>
        <x:v>0</x:v>
      </x:c>
      <x:c r="S612" s="22" t="n">
        <x:f>IF(T612="Ready",MAX(0,ROUND(I612+M612-Q612,2)),"n.a.")</x:f>
        <x:v>0</x:v>
      </x:c>
      <x:c r="T612" s="22" t="str">
        <x:f>IF(AND(COUNT($I$612:$I$616)=5,COUNT(E612:F612)=2),IF(E612&gt;=F612,"Ready","Budget below minima"),"Check inputs")</x:f>
        <x:v>Ready</x:v>
      </x:c>
      <x:c r="U612" s="22" t="n">
        <x:f>IF(COUNT(I612,M612,N612)=3,MAX(0,ROUND(I612+M612-N612,2)),"n.a.")</x:f>
        <x:v>0</x:v>
      </x:c>
    </x:row>
    <x:row r="613" ht="22" customHeight="1">
      <x:c r="A613" s="2"/>
      <x:c r="B613" s="2"/>
      <x:c r="C613" s="27" t="n">
        <x:f>122</x:f>
        <x:v>122</x:v>
      </x:c>
      <x:c r="D613" s="28" t="n">
        <x:f>IF(ISNUMBER('Inputs'!$D$7),EDATE('Inputs'!$D$7,121),"n.a.")</x:f>
        <x:v>50010</x:v>
      </x:c>
      <x:c r="E613" s="26" t="n">
        <x:f>IF('Inputs'!$D$9&lt;&gt;"Ready","n.a.",IF(ISNUMBER('Inputs'!E140),IF('Inputs'!E140&gt;=0,'Inputs'!E140,"n.a."),IF('Inputs'!E140="",'Inputs'!$D$6,"n.a.")))</x:f>
        <x:v>500</x:v>
      </x:c>
      <x:c r="F613" s="22" t="n">
        <x:f>IF(COUNT($N$612:$N$616)=5,SUM($N$612:$N$616),"n.a.")</x:f>
        <x:v>0</x:v>
      </x:c>
      <x:c r="G613" s="22" t="n">
        <x:f>IF(COUNT(E613:F613)=2,MAX(0,E613-F613),"n.a.")</x:f>
        <x:v>500</x:v>
      </x:c>
      <x:c r="H613" s="26" t="str">
        <x:f>'Inputs'!C12</x:f>
        <x:v>Card B</x:v>
      </x:c>
      <x:c r="I613" s="26" t="n">
        <x:f>S608</x:f>
        <x:v>0</x:v>
      </x:c>
      <x:c r="J613" s="29" t="n">
        <x:f>IF('Inputs'!$D$9="Ready",'Inputs'!E12,"n.a.")</x:f>
        <x:v>0.18</x:v>
      </x:c>
      <x:c r="K613" s="26" t="n">
        <x:f>IF('Inputs'!$D$9="Ready",'Inputs'!F12,"n.a.")</x:f>
        <x:v>60</x:v>
      </x:c>
      <x:c r="L613" s="29" t="n">
        <x:f>IF('Inputs'!$D$9="Ready",'Inputs'!G12,"n.a.")</x:f>
        <x:v>0.02</x:v>
      </x:c>
      <x:c r="M613" s="22" t="n">
        <x:f>IF(COUNT(I613:L613)=4,ROUND(I613*J613/12,2),"n.a.")</x:f>
        <x:v>0</x:v>
      </x:c>
      <x:c r="N613" s="22" t="n">
        <x:f>IF(COUNT(I613:M613)=5,MIN(I613+M613,ROUND(MAX(K613,I613*L613+M613),2)),"n.a.")</x:f>
        <x:v>0</x:v>
      </x:c>
      <x:c r="O613" s="30" t="n">
        <x:f>IF(COUNT($I$612:$I$616)&lt;&gt;5,"n.a.",IF(I613=0,6,IF('Inputs'!$D$5=1,COUNTIFS($I$612:$I$616,"&gt;0",$I$612:$I$616,"&lt;"&amp;I613)+COUNTIFS($I$612:I613,I613),COUNTIFS($I$612:$I$616,"&gt;0",$J$612:$J$616,"&gt;"&amp;J613)+COUNTIFS($I$612:I613,"&gt;0",$J$612:J613,J613))))</x:f>
        <x:v>6</x:v>
      </x:c>
      <x:c r="P613" s="22" t="n">
        <x:f>IF(T613="Ready",MIN(U613,MAX(0,G613-SUMIFS($U$612:$U$616,$O$612:$O$616,"&lt;"&amp;O613))),"n.a.")</x:f>
        <x:v>0</x:v>
      </x:c>
      <x:c r="Q613" s="22" t="n">
        <x:f>IF(T613="Ready",ROUND(N613+P613,2),"n.a.")</x:f>
        <x:v>0</x:v>
      </x:c>
      <x:c r="R613" s="22" t="n">
        <x:f>IF(T613="Ready",ROUND(Q613-M613,2),"n.a.")</x:f>
        <x:v>0</x:v>
      </x:c>
      <x:c r="S613" s="22" t="n">
        <x:f>IF(T613="Ready",MAX(0,ROUND(I613+M613-Q613,2)),"n.a.")</x:f>
        <x:v>0</x:v>
      </x:c>
      <x:c r="T613" s="22" t="str">
        <x:f>IF(AND(COUNT($I$612:$I$616)=5,COUNT(E613:F613)=2),IF(E613&gt;=F613,"Ready","Budget below minima"),"Check inputs")</x:f>
        <x:v>Ready</x:v>
      </x:c>
      <x:c r="U613" s="22" t="n">
        <x:f>IF(COUNT(I613,M613,N613)=3,MAX(0,ROUND(I613+M613-N613,2)),"n.a.")</x:f>
        <x:v>0</x:v>
      </x:c>
    </x:row>
    <x:row r="614" ht="22" customHeight="1">
      <x:c r="A614" s="2"/>
      <x:c r="B614" s="2"/>
      <x:c r="C614" s="27" t="n">
        <x:f>122</x:f>
        <x:v>122</x:v>
      </x:c>
      <x:c r="D614" s="28" t="n">
        <x:f>IF(ISNUMBER('Inputs'!$D$7),EDATE('Inputs'!$D$7,121),"n.a.")</x:f>
        <x:v>50010</x:v>
      </x:c>
      <x:c r="E614" s="26" t="n">
        <x:f>IF('Inputs'!$D$9&lt;&gt;"Ready","n.a.",IF(ISNUMBER('Inputs'!E140),IF('Inputs'!E140&gt;=0,'Inputs'!E140,"n.a."),IF('Inputs'!E140="",'Inputs'!$D$6,"n.a.")))</x:f>
        <x:v>500</x:v>
      </x:c>
      <x:c r="F614" s="22" t="n">
        <x:f>IF(COUNT($N$612:$N$616)=5,SUM($N$612:$N$616),"n.a.")</x:f>
        <x:v>0</x:v>
      </x:c>
      <x:c r="G614" s="22" t="n">
        <x:f>IF(COUNT(E614:F614)=2,MAX(0,E614-F614),"n.a.")</x:f>
        <x:v>500</x:v>
      </x:c>
      <x:c r="H614" s="26" t="str">
        <x:f>'Inputs'!C13</x:f>
        <x:v>Loan C</x:v>
      </x:c>
      <x:c r="I614" s="26" t="n">
        <x:f>S609</x:f>
        <x:v>0</x:v>
      </x:c>
      <x:c r="J614" s="29" t="n">
        <x:f>IF('Inputs'!$D$9="Ready",'Inputs'!E13,"n.a.")</x:f>
        <x:v>0.08</x:v>
      </x:c>
      <x:c r="K614" s="26" t="n">
        <x:f>IF('Inputs'!$D$9="Ready",'Inputs'!F13,"n.a.")</x:f>
        <x:v>150</x:v>
      </x:c>
      <x:c r="L614" s="29" t="n">
        <x:f>IF('Inputs'!$D$9="Ready",'Inputs'!G13,"n.a.")</x:f>
        <x:v>0</x:v>
      </x:c>
      <x:c r="M614" s="22" t="n">
        <x:f>IF(COUNT(I614:L614)=4,ROUND(I614*J614/12,2),"n.a.")</x:f>
        <x:v>0</x:v>
      </x:c>
      <x:c r="N614" s="22" t="n">
        <x:f>IF(COUNT(I614:M614)=5,MIN(I614+M614,ROUND(MAX(K614,I614*L614+M614),2)),"n.a.")</x:f>
        <x:v>0</x:v>
      </x:c>
      <x:c r="O614" s="30" t="n">
        <x:f>IF(COUNT($I$612:$I$616)&lt;&gt;5,"n.a.",IF(I614=0,6,IF('Inputs'!$D$5=1,COUNTIFS($I$612:$I$616,"&gt;0",$I$612:$I$616,"&lt;"&amp;I614)+COUNTIFS($I$612:I614,I614),COUNTIFS($I$612:$I$616,"&gt;0",$J$612:$J$616,"&gt;"&amp;J614)+COUNTIFS($I$612:I614,"&gt;0",$J$612:J614,J614))))</x:f>
        <x:v>6</x:v>
      </x:c>
      <x:c r="P614" s="22" t="n">
        <x:f>IF(T614="Ready",MIN(U614,MAX(0,G614-SUMIFS($U$612:$U$616,$O$612:$O$616,"&lt;"&amp;O614))),"n.a.")</x:f>
        <x:v>0</x:v>
      </x:c>
      <x:c r="Q614" s="22" t="n">
        <x:f>IF(T614="Ready",ROUND(N614+P614,2),"n.a.")</x:f>
        <x:v>0</x:v>
      </x:c>
      <x:c r="R614" s="22" t="n">
        <x:f>IF(T614="Ready",ROUND(Q614-M614,2),"n.a.")</x:f>
        <x:v>0</x:v>
      </x:c>
      <x:c r="S614" s="22" t="n">
        <x:f>IF(T614="Ready",MAX(0,ROUND(I614+M614-Q614,2)),"n.a.")</x:f>
        <x:v>0</x:v>
      </x:c>
      <x:c r="T614" s="22" t="str">
        <x:f>IF(AND(COUNT($I$612:$I$616)=5,COUNT(E614:F614)=2),IF(E614&gt;=F614,"Ready","Budget below minima"),"Check inputs")</x:f>
        <x:v>Ready</x:v>
      </x:c>
      <x:c r="U614" s="22" t="n">
        <x:f>IF(COUNT(I614,M614,N614)=3,MAX(0,ROUND(I614+M614-N614,2)),"n.a.")</x:f>
        <x:v>0</x:v>
      </x:c>
    </x:row>
    <x:row r="615" ht="22" customHeight="1">
      <x:c r="A615" s="2"/>
      <x:c r="B615" s="2"/>
      <x:c r="C615" s="27" t="n">
        <x:f>122</x:f>
        <x:v>122</x:v>
      </x:c>
      <x:c r="D615" s="28" t="n">
        <x:f>IF(ISNUMBER('Inputs'!$D$7),EDATE('Inputs'!$D$7,121),"n.a.")</x:f>
        <x:v>50010</x:v>
      </x:c>
      <x:c r="E615" s="26" t="n">
        <x:f>IF('Inputs'!$D$9&lt;&gt;"Ready","n.a.",IF(ISNUMBER('Inputs'!E140),IF('Inputs'!E140&gt;=0,'Inputs'!E140,"n.a."),IF('Inputs'!E140="",'Inputs'!$D$6,"n.a.")))</x:f>
        <x:v>500</x:v>
      </x:c>
      <x:c r="F615" s="22" t="n">
        <x:f>IF(COUNT($N$612:$N$616)=5,SUM($N$612:$N$616),"n.a.")</x:f>
        <x:v>0</x:v>
      </x:c>
      <x:c r="G615" s="22" t="n">
        <x:f>IF(COUNT(E615:F615)=2,MAX(0,E615-F615),"n.a.")</x:f>
        <x:v>500</x:v>
      </x:c>
      <x:c r="H615" s="26" t="str">
        <x:f>'Inputs'!C14</x:f>
        <x:v>Unused 4</x:v>
      </x:c>
      <x:c r="I615" s="26" t="n">
        <x:f>S610</x:f>
        <x:v>0</x:v>
      </x:c>
      <x:c r="J615" s="29" t="n">
        <x:f>IF('Inputs'!$D$9="Ready",'Inputs'!E14,"n.a.")</x:f>
        <x:v>0</x:v>
      </x:c>
      <x:c r="K615" s="26" t="n">
        <x:f>IF('Inputs'!$D$9="Ready",'Inputs'!F14,"n.a.")</x:f>
        <x:v>0</x:v>
      </x:c>
      <x:c r="L615" s="29" t="n">
        <x:f>IF('Inputs'!$D$9="Ready",'Inputs'!G14,"n.a.")</x:f>
        <x:v>0</x:v>
      </x:c>
      <x:c r="M615" s="22" t="n">
        <x:f>IF(COUNT(I615:L615)=4,ROUND(I615*J615/12,2),"n.a.")</x:f>
        <x:v>0</x:v>
      </x:c>
      <x:c r="N615" s="22" t="n">
        <x:f>IF(COUNT(I615:M615)=5,MIN(I615+M615,ROUND(MAX(K615,I615*L615+M615),2)),"n.a.")</x:f>
        <x:v>0</x:v>
      </x:c>
      <x:c r="O615" s="30" t="n">
        <x:f>IF(COUNT($I$612:$I$616)&lt;&gt;5,"n.a.",IF(I615=0,6,IF('Inputs'!$D$5=1,COUNTIFS($I$612:$I$616,"&gt;0",$I$612:$I$616,"&lt;"&amp;I615)+COUNTIFS($I$612:I615,I615),COUNTIFS($I$612:$I$616,"&gt;0",$J$612:$J$616,"&gt;"&amp;J615)+COUNTIFS($I$612:I615,"&gt;0",$J$612:J615,J615))))</x:f>
        <x:v>6</x:v>
      </x:c>
      <x:c r="P615" s="22" t="n">
        <x:f>IF(T615="Ready",MIN(U615,MAX(0,G615-SUMIFS($U$612:$U$616,$O$612:$O$616,"&lt;"&amp;O615))),"n.a.")</x:f>
        <x:v>0</x:v>
      </x:c>
      <x:c r="Q615" s="22" t="n">
        <x:f>IF(T615="Ready",ROUND(N615+P615,2),"n.a.")</x:f>
        <x:v>0</x:v>
      </x:c>
      <x:c r="R615" s="22" t="n">
        <x:f>IF(T615="Ready",ROUND(Q615-M615,2),"n.a.")</x:f>
        <x:v>0</x:v>
      </x:c>
      <x:c r="S615" s="22" t="n">
        <x:f>IF(T615="Ready",MAX(0,ROUND(I615+M615-Q615,2)),"n.a.")</x:f>
        <x:v>0</x:v>
      </x:c>
      <x:c r="T615" s="22" t="str">
        <x:f>IF(AND(COUNT($I$612:$I$616)=5,COUNT(E615:F615)=2),IF(E615&gt;=F615,"Ready","Budget below minima"),"Check inputs")</x:f>
        <x:v>Ready</x:v>
      </x:c>
      <x:c r="U615" s="22" t="n">
        <x:f>IF(COUNT(I615,M615,N615)=3,MAX(0,ROUND(I615+M615-N615,2)),"n.a.")</x:f>
        <x:v>0</x:v>
      </x:c>
    </x:row>
    <x:row r="616" ht="22" customHeight="1">
      <x:c r="A616" s="2"/>
      <x:c r="B616" s="2"/>
      <x:c r="C616" s="27" t="n">
        <x:f>122</x:f>
        <x:v>122</x:v>
      </x:c>
      <x:c r="D616" s="28" t="n">
        <x:f>IF(ISNUMBER('Inputs'!$D$7),EDATE('Inputs'!$D$7,121),"n.a.")</x:f>
        <x:v>50010</x:v>
      </x:c>
      <x:c r="E616" s="26" t="n">
        <x:f>IF('Inputs'!$D$9&lt;&gt;"Ready","n.a.",IF(ISNUMBER('Inputs'!E140),IF('Inputs'!E140&gt;=0,'Inputs'!E140,"n.a."),IF('Inputs'!E140="",'Inputs'!$D$6,"n.a.")))</x:f>
        <x:v>500</x:v>
      </x:c>
      <x:c r="F616" s="22" t="n">
        <x:f>IF(COUNT($N$612:$N$616)=5,SUM($N$612:$N$616),"n.a.")</x:f>
        <x:v>0</x:v>
      </x:c>
      <x:c r="G616" s="22" t="n">
        <x:f>IF(COUNT(E616:F616)=2,MAX(0,E616-F616),"n.a.")</x:f>
        <x:v>500</x:v>
      </x:c>
      <x:c r="H616" s="26" t="str">
        <x:f>'Inputs'!C15</x:f>
        <x:v>Unused 5</x:v>
      </x:c>
      <x:c r="I616" s="26" t="n">
        <x:f>S611</x:f>
        <x:v>0</x:v>
      </x:c>
      <x:c r="J616" s="29" t="n">
        <x:f>IF('Inputs'!$D$9="Ready",'Inputs'!E15,"n.a.")</x:f>
        <x:v>0</x:v>
      </x:c>
      <x:c r="K616" s="26" t="n">
        <x:f>IF('Inputs'!$D$9="Ready",'Inputs'!F15,"n.a.")</x:f>
        <x:v>0</x:v>
      </x:c>
      <x:c r="L616" s="29" t="n">
        <x:f>IF('Inputs'!$D$9="Ready",'Inputs'!G15,"n.a.")</x:f>
        <x:v>0</x:v>
      </x:c>
      <x:c r="M616" s="22" t="n">
        <x:f>IF(COUNT(I616:L616)=4,ROUND(I616*J616/12,2),"n.a.")</x:f>
        <x:v>0</x:v>
      </x:c>
      <x:c r="N616" s="22" t="n">
        <x:f>IF(COUNT(I616:M616)=5,MIN(I616+M616,ROUND(MAX(K616,I616*L616+M616),2)),"n.a.")</x:f>
        <x:v>0</x:v>
      </x:c>
      <x:c r="O616" s="30" t="n">
        <x:f>IF(COUNT($I$612:$I$616)&lt;&gt;5,"n.a.",IF(I616=0,6,IF('Inputs'!$D$5=1,COUNTIFS($I$612:$I$616,"&gt;0",$I$612:$I$616,"&lt;"&amp;I616)+COUNTIFS($I$612:I616,I616),COUNTIFS($I$612:$I$616,"&gt;0",$J$612:$J$616,"&gt;"&amp;J616)+COUNTIFS($I$612:I616,"&gt;0",$J$612:J616,J616))))</x:f>
        <x:v>6</x:v>
      </x:c>
      <x:c r="P616" s="22" t="n">
        <x:f>IF(T616="Ready",MIN(U616,MAX(0,G616-SUMIFS($U$612:$U$616,$O$612:$O$616,"&lt;"&amp;O616))),"n.a.")</x:f>
        <x:v>0</x:v>
      </x:c>
      <x:c r="Q616" s="22" t="n">
        <x:f>IF(T616="Ready",ROUND(N616+P616,2),"n.a.")</x:f>
        <x:v>0</x:v>
      </x:c>
      <x:c r="R616" s="22" t="n">
        <x:f>IF(T616="Ready",ROUND(Q616-M616,2),"n.a.")</x:f>
        <x:v>0</x:v>
      </x:c>
      <x:c r="S616" s="22" t="n">
        <x:f>IF(T616="Ready",MAX(0,ROUND(I616+M616-Q616,2)),"n.a.")</x:f>
        <x:v>0</x:v>
      </x:c>
      <x:c r="T616" s="22" t="str">
        <x:f>IF(AND(COUNT($I$612:$I$616)=5,COUNT(E616:F616)=2),IF(E616&gt;=F616,"Ready","Budget below minima"),"Check inputs")</x:f>
        <x:v>Ready</x:v>
      </x:c>
      <x:c r="U616" s="22" t="n">
        <x:f>IF(COUNT(I616,M616,N616)=3,MAX(0,ROUND(I616+M616-N616,2)),"n.a.")</x:f>
        <x:v>0</x:v>
      </x:c>
    </x:row>
    <x:row r="617" ht="22" customHeight="1">
      <x:c r="A617" s="2"/>
      <x:c r="B617" s="2"/>
      <x:c r="C617" s="27" t="n">
        <x:f>123</x:f>
        <x:v>123</x:v>
      </x:c>
      <x:c r="D617" s="28" t="n">
        <x:f>IF(ISNUMBER('Inputs'!$D$7),EDATE('Inputs'!$D$7,122),"n.a.")</x:f>
        <x:v>50041</x:v>
      </x:c>
      <x:c r="E617" s="26" t="n">
        <x:f>IF('Inputs'!$D$9&lt;&gt;"Ready","n.a.",IF(ISNUMBER('Inputs'!E141),IF('Inputs'!E141&gt;=0,'Inputs'!E141,"n.a."),IF('Inputs'!E141="",'Inputs'!$D$6,"n.a.")))</x:f>
        <x:v>500</x:v>
      </x:c>
      <x:c r="F617" s="22" t="n">
        <x:f>IF(COUNT($N$617:$N$621)=5,SUM($N$617:$N$621),"n.a.")</x:f>
        <x:v>0</x:v>
      </x:c>
      <x:c r="G617" s="22" t="n">
        <x:f>IF(COUNT(E617:F617)=2,MAX(0,E617-F617),"n.a.")</x:f>
        <x:v>500</x:v>
      </x:c>
      <x:c r="H617" s="26" t="str">
        <x:f>'Inputs'!C11</x:f>
        <x:v>Card A</x:v>
      </x:c>
      <x:c r="I617" s="26" t="n">
        <x:f>S612</x:f>
        <x:v>0</x:v>
      </x:c>
      <x:c r="J617" s="29" t="n">
        <x:f>IF('Inputs'!$D$9="Ready",'Inputs'!E11,"n.a.")</x:f>
        <x:v>0.24</x:v>
      </x:c>
      <x:c r="K617" s="26" t="n">
        <x:f>IF('Inputs'!$D$9="Ready",'Inputs'!F11,"n.a.")</x:f>
        <x:v>35</x:v>
      </x:c>
      <x:c r="L617" s="29" t="n">
        <x:f>IF('Inputs'!$D$9="Ready",'Inputs'!G11,"n.a.")</x:f>
        <x:v>0.02</x:v>
      </x:c>
      <x:c r="M617" s="22" t="n">
        <x:f>IF(COUNT(I617:L617)=4,ROUND(I617*J617/12,2),"n.a.")</x:f>
        <x:v>0</x:v>
      </x:c>
      <x:c r="N617" s="22" t="n">
        <x:f>IF(COUNT(I617:M617)=5,MIN(I617+M617,ROUND(MAX(K617,I617*L617+M617),2)),"n.a.")</x:f>
        <x:v>0</x:v>
      </x:c>
      <x:c r="O617" s="30" t="n">
        <x:f>IF(COUNT($I$617:$I$621)&lt;&gt;5,"n.a.",IF(I617=0,6,IF('Inputs'!$D$5=1,COUNTIFS($I$617:$I$621,"&gt;0",$I$617:$I$621,"&lt;"&amp;I617)+COUNTIFS($I$617:I617,I617),COUNTIFS($I$617:$I$621,"&gt;0",$J$617:$J$621,"&gt;"&amp;J617)+COUNTIFS($I$617:I617,"&gt;0",$J$617:J617,J617))))</x:f>
        <x:v>6</x:v>
      </x:c>
      <x:c r="P617" s="22" t="n">
        <x:f>IF(T617="Ready",MIN(U617,MAX(0,G617-SUMIFS($U$617:$U$621,$O$617:$O$621,"&lt;"&amp;O617))),"n.a.")</x:f>
        <x:v>0</x:v>
      </x:c>
      <x:c r="Q617" s="22" t="n">
        <x:f>IF(T617="Ready",ROUND(N617+P617,2),"n.a.")</x:f>
        <x:v>0</x:v>
      </x:c>
      <x:c r="R617" s="22" t="n">
        <x:f>IF(T617="Ready",ROUND(Q617-M617,2),"n.a.")</x:f>
        <x:v>0</x:v>
      </x:c>
      <x:c r="S617" s="22" t="n">
        <x:f>IF(T617="Ready",MAX(0,ROUND(I617+M617-Q617,2)),"n.a.")</x:f>
        <x:v>0</x:v>
      </x:c>
      <x:c r="T617" s="22" t="str">
        <x:f>IF(AND(COUNT($I$617:$I$621)=5,COUNT(E617:F617)=2),IF(E617&gt;=F617,"Ready","Budget below minima"),"Check inputs")</x:f>
        <x:v>Ready</x:v>
      </x:c>
      <x:c r="U617" s="22" t="n">
        <x:f>IF(COUNT(I617,M617,N617)=3,MAX(0,ROUND(I617+M617-N617,2)),"n.a.")</x:f>
        <x:v>0</x:v>
      </x:c>
    </x:row>
    <x:row r="618" ht="22" customHeight="1">
      <x:c r="A618" s="2"/>
      <x:c r="B618" s="2"/>
      <x:c r="C618" s="27" t="n">
        <x:f>123</x:f>
        <x:v>123</x:v>
      </x:c>
      <x:c r="D618" s="28" t="n">
        <x:f>IF(ISNUMBER('Inputs'!$D$7),EDATE('Inputs'!$D$7,122),"n.a.")</x:f>
        <x:v>50041</x:v>
      </x:c>
      <x:c r="E618" s="26" t="n">
        <x:f>IF('Inputs'!$D$9&lt;&gt;"Ready","n.a.",IF(ISNUMBER('Inputs'!E141),IF('Inputs'!E141&gt;=0,'Inputs'!E141,"n.a."),IF('Inputs'!E141="",'Inputs'!$D$6,"n.a.")))</x:f>
        <x:v>500</x:v>
      </x:c>
      <x:c r="F618" s="22" t="n">
        <x:f>IF(COUNT($N$617:$N$621)=5,SUM($N$617:$N$621),"n.a.")</x:f>
        <x:v>0</x:v>
      </x:c>
      <x:c r="G618" s="22" t="n">
        <x:f>IF(COUNT(E618:F618)=2,MAX(0,E618-F618),"n.a.")</x:f>
        <x:v>500</x:v>
      </x:c>
      <x:c r="H618" s="26" t="str">
        <x:f>'Inputs'!C12</x:f>
        <x:v>Card B</x:v>
      </x:c>
      <x:c r="I618" s="26" t="n">
        <x:f>S613</x:f>
        <x:v>0</x:v>
      </x:c>
      <x:c r="J618" s="29" t="n">
        <x:f>IF('Inputs'!$D$9="Ready",'Inputs'!E12,"n.a.")</x:f>
        <x:v>0.18</x:v>
      </x:c>
      <x:c r="K618" s="26" t="n">
        <x:f>IF('Inputs'!$D$9="Ready",'Inputs'!F12,"n.a.")</x:f>
        <x:v>60</x:v>
      </x:c>
      <x:c r="L618" s="29" t="n">
        <x:f>IF('Inputs'!$D$9="Ready",'Inputs'!G12,"n.a.")</x:f>
        <x:v>0.02</x:v>
      </x:c>
      <x:c r="M618" s="22" t="n">
        <x:f>IF(COUNT(I618:L618)=4,ROUND(I618*J618/12,2),"n.a.")</x:f>
        <x:v>0</x:v>
      </x:c>
      <x:c r="N618" s="22" t="n">
        <x:f>IF(COUNT(I618:M618)=5,MIN(I618+M618,ROUND(MAX(K618,I618*L618+M618),2)),"n.a.")</x:f>
        <x:v>0</x:v>
      </x:c>
      <x:c r="O618" s="30" t="n">
        <x:f>IF(COUNT($I$617:$I$621)&lt;&gt;5,"n.a.",IF(I618=0,6,IF('Inputs'!$D$5=1,COUNTIFS($I$617:$I$621,"&gt;0",$I$617:$I$621,"&lt;"&amp;I618)+COUNTIFS($I$617:I618,I618),COUNTIFS($I$617:$I$621,"&gt;0",$J$617:$J$621,"&gt;"&amp;J618)+COUNTIFS($I$617:I618,"&gt;0",$J$617:J618,J618))))</x:f>
        <x:v>6</x:v>
      </x:c>
      <x:c r="P618" s="22" t="n">
        <x:f>IF(T618="Ready",MIN(U618,MAX(0,G618-SUMIFS($U$617:$U$621,$O$617:$O$621,"&lt;"&amp;O618))),"n.a.")</x:f>
        <x:v>0</x:v>
      </x:c>
      <x:c r="Q618" s="22" t="n">
        <x:f>IF(T618="Ready",ROUND(N618+P618,2),"n.a.")</x:f>
        <x:v>0</x:v>
      </x:c>
      <x:c r="R618" s="22" t="n">
        <x:f>IF(T618="Ready",ROUND(Q618-M618,2),"n.a.")</x:f>
        <x:v>0</x:v>
      </x:c>
      <x:c r="S618" s="22" t="n">
        <x:f>IF(T618="Ready",MAX(0,ROUND(I618+M618-Q618,2)),"n.a.")</x:f>
        <x:v>0</x:v>
      </x:c>
      <x:c r="T618" s="22" t="str">
        <x:f>IF(AND(COUNT($I$617:$I$621)=5,COUNT(E618:F618)=2),IF(E618&gt;=F618,"Ready","Budget below minima"),"Check inputs")</x:f>
        <x:v>Ready</x:v>
      </x:c>
      <x:c r="U618" s="22" t="n">
        <x:f>IF(COUNT(I618,M618,N618)=3,MAX(0,ROUND(I618+M618-N618,2)),"n.a.")</x:f>
        <x:v>0</x:v>
      </x:c>
    </x:row>
    <x:row r="619" ht="22" customHeight="1">
      <x:c r="A619" s="2"/>
      <x:c r="B619" s="2"/>
      <x:c r="C619" s="27" t="n">
        <x:f>123</x:f>
        <x:v>123</x:v>
      </x:c>
      <x:c r="D619" s="28" t="n">
        <x:f>IF(ISNUMBER('Inputs'!$D$7),EDATE('Inputs'!$D$7,122),"n.a.")</x:f>
        <x:v>50041</x:v>
      </x:c>
      <x:c r="E619" s="26" t="n">
        <x:f>IF('Inputs'!$D$9&lt;&gt;"Ready","n.a.",IF(ISNUMBER('Inputs'!E141),IF('Inputs'!E141&gt;=0,'Inputs'!E141,"n.a."),IF('Inputs'!E141="",'Inputs'!$D$6,"n.a.")))</x:f>
        <x:v>500</x:v>
      </x:c>
      <x:c r="F619" s="22" t="n">
        <x:f>IF(COUNT($N$617:$N$621)=5,SUM($N$617:$N$621),"n.a.")</x:f>
        <x:v>0</x:v>
      </x:c>
      <x:c r="G619" s="22" t="n">
        <x:f>IF(COUNT(E619:F619)=2,MAX(0,E619-F619),"n.a.")</x:f>
        <x:v>500</x:v>
      </x:c>
      <x:c r="H619" s="26" t="str">
        <x:f>'Inputs'!C13</x:f>
        <x:v>Loan C</x:v>
      </x:c>
      <x:c r="I619" s="26" t="n">
        <x:f>S614</x:f>
        <x:v>0</x:v>
      </x:c>
      <x:c r="J619" s="29" t="n">
        <x:f>IF('Inputs'!$D$9="Ready",'Inputs'!E13,"n.a.")</x:f>
        <x:v>0.08</x:v>
      </x:c>
      <x:c r="K619" s="26" t="n">
        <x:f>IF('Inputs'!$D$9="Ready",'Inputs'!F13,"n.a.")</x:f>
        <x:v>150</x:v>
      </x:c>
      <x:c r="L619" s="29" t="n">
        <x:f>IF('Inputs'!$D$9="Ready",'Inputs'!G13,"n.a.")</x:f>
        <x:v>0</x:v>
      </x:c>
      <x:c r="M619" s="22" t="n">
        <x:f>IF(COUNT(I619:L619)=4,ROUND(I619*J619/12,2),"n.a.")</x:f>
        <x:v>0</x:v>
      </x:c>
      <x:c r="N619" s="22" t="n">
        <x:f>IF(COUNT(I619:M619)=5,MIN(I619+M619,ROUND(MAX(K619,I619*L619+M619),2)),"n.a.")</x:f>
        <x:v>0</x:v>
      </x:c>
      <x:c r="O619" s="30" t="n">
        <x:f>IF(COUNT($I$617:$I$621)&lt;&gt;5,"n.a.",IF(I619=0,6,IF('Inputs'!$D$5=1,COUNTIFS($I$617:$I$621,"&gt;0",$I$617:$I$621,"&lt;"&amp;I619)+COUNTIFS($I$617:I619,I619),COUNTIFS($I$617:$I$621,"&gt;0",$J$617:$J$621,"&gt;"&amp;J619)+COUNTIFS($I$617:I619,"&gt;0",$J$617:J619,J619))))</x:f>
        <x:v>6</x:v>
      </x:c>
      <x:c r="P619" s="22" t="n">
        <x:f>IF(T619="Ready",MIN(U619,MAX(0,G619-SUMIFS($U$617:$U$621,$O$617:$O$621,"&lt;"&amp;O619))),"n.a.")</x:f>
        <x:v>0</x:v>
      </x:c>
      <x:c r="Q619" s="22" t="n">
        <x:f>IF(T619="Ready",ROUND(N619+P619,2),"n.a.")</x:f>
        <x:v>0</x:v>
      </x:c>
      <x:c r="R619" s="22" t="n">
        <x:f>IF(T619="Ready",ROUND(Q619-M619,2),"n.a.")</x:f>
        <x:v>0</x:v>
      </x:c>
      <x:c r="S619" s="22" t="n">
        <x:f>IF(T619="Ready",MAX(0,ROUND(I619+M619-Q619,2)),"n.a.")</x:f>
        <x:v>0</x:v>
      </x:c>
      <x:c r="T619" s="22" t="str">
        <x:f>IF(AND(COUNT($I$617:$I$621)=5,COUNT(E619:F619)=2),IF(E619&gt;=F619,"Ready","Budget below minima"),"Check inputs")</x:f>
        <x:v>Ready</x:v>
      </x:c>
      <x:c r="U619" s="22" t="n">
        <x:f>IF(COUNT(I619,M619,N619)=3,MAX(0,ROUND(I619+M619-N619,2)),"n.a.")</x:f>
        <x:v>0</x:v>
      </x:c>
    </x:row>
    <x:row r="620" ht="22" customHeight="1">
      <x:c r="A620" s="2"/>
      <x:c r="B620" s="2"/>
      <x:c r="C620" s="27" t="n">
        <x:f>123</x:f>
        <x:v>123</x:v>
      </x:c>
      <x:c r="D620" s="28" t="n">
        <x:f>IF(ISNUMBER('Inputs'!$D$7),EDATE('Inputs'!$D$7,122),"n.a.")</x:f>
        <x:v>50041</x:v>
      </x:c>
      <x:c r="E620" s="26" t="n">
        <x:f>IF('Inputs'!$D$9&lt;&gt;"Ready","n.a.",IF(ISNUMBER('Inputs'!E141),IF('Inputs'!E141&gt;=0,'Inputs'!E141,"n.a."),IF('Inputs'!E141="",'Inputs'!$D$6,"n.a.")))</x:f>
        <x:v>500</x:v>
      </x:c>
      <x:c r="F620" s="22" t="n">
        <x:f>IF(COUNT($N$617:$N$621)=5,SUM($N$617:$N$621),"n.a.")</x:f>
        <x:v>0</x:v>
      </x:c>
      <x:c r="G620" s="22" t="n">
        <x:f>IF(COUNT(E620:F620)=2,MAX(0,E620-F620),"n.a.")</x:f>
        <x:v>500</x:v>
      </x:c>
      <x:c r="H620" s="26" t="str">
        <x:f>'Inputs'!C14</x:f>
        <x:v>Unused 4</x:v>
      </x:c>
      <x:c r="I620" s="26" t="n">
        <x:f>S615</x:f>
        <x:v>0</x:v>
      </x:c>
      <x:c r="J620" s="29" t="n">
        <x:f>IF('Inputs'!$D$9="Ready",'Inputs'!E14,"n.a.")</x:f>
        <x:v>0</x:v>
      </x:c>
      <x:c r="K620" s="26" t="n">
        <x:f>IF('Inputs'!$D$9="Ready",'Inputs'!F14,"n.a.")</x:f>
        <x:v>0</x:v>
      </x:c>
      <x:c r="L620" s="29" t="n">
        <x:f>IF('Inputs'!$D$9="Ready",'Inputs'!G14,"n.a.")</x:f>
        <x:v>0</x:v>
      </x:c>
      <x:c r="M620" s="22" t="n">
        <x:f>IF(COUNT(I620:L620)=4,ROUND(I620*J620/12,2),"n.a.")</x:f>
        <x:v>0</x:v>
      </x:c>
      <x:c r="N620" s="22" t="n">
        <x:f>IF(COUNT(I620:M620)=5,MIN(I620+M620,ROUND(MAX(K620,I620*L620+M620),2)),"n.a.")</x:f>
        <x:v>0</x:v>
      </x:c>
      <x:c r="O620" s="30" t="n">
        <x:f>IF(COUNT($I$617:$I$621)&lt;&gt;5,"n.a.",IF(I620=0,6,IF('Inputs'!$D$5=1,COUNTIFS($I$617:$I$621,"&gt;0",$I$617:$I$621,"&lt;"&amp;I620)+COUNTIFS($I$617:I620,I620),COUNTIFS($I$617:$I$621,"&gt;0",$J$617:$J$621,"&gt;"&amp;J620)+COUNTIFS($I$617:I620,"&gt;0",$J$617:J620,J620))))</x:f>
        <x:v>6</x:v>
      </x:c>
      <x:c r="P620" s="22" t="n">
        <x:f>IF(T620="Ready",MIN(U620,MAX(0,G620-SUMIFS($U$617:$U$621,$O$617:$O$621,"&lt;"&amp;O620))),"n.a.")</x:f>
        <x:v>0</x:v>
      </x:c>
      <x:c r="Q620" s="22" t="n">
        <x:f>IF(T620="Ready",ROUND(N620+P620,2),"n.a.")</x:f>
        <x:v>0</x:v>
      </x:c>
      <x:c r="R620" s="22" t="n">
        <x:f>IF(T620="Ready",ROUND(Q620-M620,2),"n.a.")</x:f>
        <x:v>0</x:v>
      </x:c>
      <x:c r="S620" s="22" t="n">
        <x:f>IF(T620="Ready",MAX(0,ROUND(I620+M620-Q620,2)),"n.a.")</x:f>
        <x:v>0</x:v>
      </x:c>
      <x:c r="T620" s="22" t="str">
        <x:f>IF(AND(COUNT($I$617:$I$621)=5,COUNT(E620:F620)=2),IF(E620&gt;=F620,"Ready","Budget below minima"),"Check inputs")</x:f>
        <x:v>Ready</x:v>
      </x:c>
      <x:c r="U620" s="22" t="n">
        <x:f>IF(COUNT(I620,M620,N620)=3,MAX(0,ROUND(I620+M620-N620,2)),"n.a.")</x:f>
        <x:v>0</x:v>
      </x:c>
    </x:row>
    <x:row r="621" ht="22" customHeight="1">
      <x:c r="A621" s="2"/>
      <x:c r="B621" s="2"/>
      <x:c r="C621" s="27" t="n">
        <x:f>123</x:f>
        <x:v>123</x:v>
      </x:c>
      <x:c r="D621" s="28" t="n">
        <x:f>IF(ISNUMBER('Inputs'!$D$7),EDATE('Inputs'!$D$7,122),"n.a.")</x:f>
        <x:v>50041</x:v>
      </x:c>
      <x:c r="E621" s="26" t="n">
        <x:f>IF('Inputs'!$D$9&lt;&gt;"Ready","n.a.",IF(ISNUMBER('Inputs'!E141),IF('Inputs'!E141&gt;=0,'Inputs'!E141,"n.a."),IF('Inputs'!E141="",'Inputs'!$D$6,"n.a.")))</x:f>
        <x:v>500</x:v>
      </x:c>
      <x:c r="F621" s="22" t="n">
        <x:f>IF(COUNT($N$617:$N$621)=5,SUM($N$617:$N$621),"n.a.")</x:f>
        <x:v>0</x:v>
      </x:c>
      <x:c r="G621" s="22" t="n">
        <x:f>IF(COUNT(E621:F621)=2,MAX(0,E621-F621),"n.a.")</x:f>
        <x:v>500</x:v>
      </x:c>
      <x:c r="H621" s="26" t="str">
        <x:f>'Inputs'!C15</x:f>
        <x:v>Unused 5</x:v>
      </x:c>
      <x:c r="I621" s="26" t="n">
        <x:f>S616</x:f>
        <x:v>0</x:v>
      </x:c>
      <x:c r="J621" s="29" t="n">
        <x:f>IF('Inputs'!$D$9="Ready",'Inputs'!E15,"n.a.")</x:f>
        <x:v>0</x:v>
      </x:c>
      <x:c r="K621" s="26" t="n">
        <x:f>IF('Inputs'!$D$9="Ready",'Inputs'!F15,"n.a.")</x:f>
        <x:v>0</x:v>
      </x:c>
      <x:c r="L621" s="29" t="n">
        <x:f>IF('Inputs'!$D$9="Ready",'Inputs'!G15,"n.a.")</x:f>
        <x:v>0</x:v>
      </x:c>
      <x:c r="M621" s="22" t="n">
        <x:f>IF(COUNT(I621:L621)=4,ROUND(I621*J621/12,2),"n.a.")</x:f>
        <x:v>0</x:v>
      </x:c>
      <x:c r="N621" s="22" t="n">
        <x:f>IF(COUNT(I621:M621)=5,MIN(I621+M621,ROUND(MAX(K621,I621*L621+M621),2)),"n.a.")</x:f>
        <x:v>0</x:v>
      </x:c>
      <x:c r="O621" s="30" t="n">
        <x:f>IF(COUNT($I$617:$I$621)&lt;&gt;5,"n.a.",IF(I621=0,6,IF('Inputs'!$D$5=1,COUNTIFS($I$617:$I$621,"&gt;0",$I$617:$I$621,"&lt;"&amp;I621)+COUNTIFS($I$617:I621,I621),COUNTIFS($I$617:$I$621,"&gt;0",$J$617:$J$621,"&gt;"&amp;J621)+COUNTIFS($I$617:I621,"&gt;0",$J$617:J621,J621))))</x:f>
        <x:v>6</x:v>
      </x:c>
      <x:c r="P621" s="22" t="n">
        <x:f>IF(T621="Ready",MIN(U621,MAX(0,G621-SUMIFS($U$617:$U$621,$O$617:$O$621,"&lt;"&amp;O621))),"n.a.")</x:f>
        <x:v>0</x:v>
      </x:c>
      <x:c r="Q621" s="22" t="n">
        <x:f>IF(T621="Ready",ROUND(N621+P621,2),"n.a.")</x:f>
        <x:v>0</x:v>
      </x:c>
      <x:c r="R621" s="22" t="n">
        <x:f>IF(T621="Ready",ROUND(Q621-M621,2),"n.a.")</x:f>
        <x:v>0</x:v>
      </x:c>
      <x:c r="S621" s="22" t="n">
        <x:f>IF(T621="Ready",MAX(0,ROUND(I621+M621-Q621,2)),"n.a.")</x:f>
        <x:v>0</x:v>
      </x:c>
      <x:c r="T621" s="22" t="str">
        <x:f>IF(AND(COUNT($I$617:$I$621)=5,COUNT(E621:F621)=2),IF(E621&gt;=F621,"Ready","Budget below minima"),"Check inputs")</x:f>
        <x:v>Ready</x:v>
      </x:c>
      <x:c r="U621" s="22" t="n">
        <x:f>IF(COUNT(I621,M621,N621)=3,MAX(0,ROUND(I621+M621-N621,2)),"n.a.")</x:f>
        <x:v>0</x:v>
      </x:c>
    </x:row>
    <x:row r="622" ht="22" customHeight="1">
      <x:c r="A622" s="2"/>
      <x:c r="B622" s="2"/>
      <x:c r="C622" s="27" t="n">
        <x:f>124</x:f>
        <x:v>124</x:v>
      </x:c>
      <x:c r="D622" s="28" t="n">
        <x:f>IF(ISNUMBER('Inputs'!$D$7),EDATE('Inputs'!$D$7,123),"n.a.")</x:f>
        <x:v>50072</x:v>
      </x:c>
      <x:c r="E622" s="26" t="n">
        <x:f>IF('Inputs'!$D$9&lt;&gt;"Ready","n.a.",IF(ISNUMBER('Inputs'!E142),IF('Inputs'!E142&gt;=0,'Inputs'!E142,"n.a."),IF('Inputs'!E142="",'Inputs'!$D$6,"n.a.")))</x:f>
        <x:v>500</x:v>
      </x:c>
      <x:c r="F622" s="22" t="n">
        <x:f>IF(COUNT($N$622:$N$626)=5,SUM($N$622:$N$626),"n.a.")</x:f>
        <x:v>0</x:v>
      </x:c>
      <x:c r="G622" s="22" t="n">
        <x:f>IF(COUNT(E622:F622)=2,MAX(0,E622-F622),"n.a.")</x:f>
        <x:v>500</x:v>
      </x:c>
      <x:c r="H622" s="26" t="str">
        <x:f>'Inputs'!C11</x:f>
        <x:v>Card A</x:v>
      </x:c>
      <x:c r="I622" s="26" t="n">
        <x:f>S617</x:f>
        <x:v>0</x:v>
      </x:c>
      <x:c r="J622" s="29" t="n">
        <x:f>IF('Inputs'!$D$9="Ready",'Inputs'!E11,"n.a.")</x:f>
        <x:v>0.24</x:v>
      </x:c>
      <x:c r="K622" s="26" t="n">
        <x:f>IF('Inputs'!$D$9="Ready",'Inputs'!F11,"n.a.")</x:f>
        <x:v>35</x:v>
      </x:c>
      <x:c r="L622" s="29" t="n">
        <x:f>IF('Inputs'!$D$9="Ready",'Inputs'!G11,"n.a.")</x:f>
        <x:v>0.02</x:v>
      </x:c>
      <x:c r="M622" s="22" t="n">
        <x:f>IF(COUNT(I622:L622)=4,ROUND(I622*J622/12,2),"n.a.")</x:f>
        <x:v>0</x:v>
      </x:c>
      <x:c r="N622" s="22" t="n">
        <x:f>IF(COUNT(I622:M622)=5,MIN(I622+M622,ROUND(MAX(K622,I622*L622+M622),2)),"n.a.")</x:f>
        <x:v>0</x:v>
      </x:c>
      <x:c r="O622" s="30" t="n">
        <x:f>IF(COUNT($I$622:$I$626)&lt;&gt;5,"n.a.",IF(I622=0,6,IF('Inputs'!$D$5=1,COUNTIFS($I$622:$I$626,"&gt;0",$I$622:$I$626,"&lt;"&amp;I622)+COUNTIFS($I$622:I622,I622),COUNTIFS($I$622:$I$626,"&gt;0",$J$622:$J$626,"&gt;"&amp;J622)+COUNTIFS($I$622:I622,"&gt;0",$J$622:J622,J622))))</x:f>
        <x:v>6</x:v>
      </x:c>
      <x:c r="P622" s="22" t="n">
        <x:f>IF(T622="Ready",MIN(U622,MAX(0,G622-SUMIFS($U$622:$U$626,$O$622:$O$626,"&lt;"&amp;O622))),"n.a.")</x:f>
        <x:v>0</x:v>
      </x:c>
      <x:c r="Q622" s="22" t="n">
        <x:f>IF(T622="Ready",ROUND(N622+P622,2),"n.a.")</x:f>
        <x:v>0</x:v>
      </x:c>
      <x:c r="R622" s="22" t="n">
        <x:f>IF(T622="Ready",ROUND(Q622-M622,2),"n.a.")</x:f>
        <x:v>0</x:v>
      </x:c>
      <x:c r="S622" s="22" t="n">
        <x:f>IF(T622="Ready",MAX(0,ROUND(I622+M622-Q622,2)),"n.a.")</x:f>
        <x:v>0</x:v>
      </x:c>
      <x:c r="T622" s="22" t="str">
        <x:f>IF(AND(COUNT($I$622:$I$626)=5,COUNT(E622:F622)=2),IF(E622&gt;=F622,"Ready","Budget below minima"),"Check inputs")</x:f>
        <x:v>Ready</x:v>
      </x:c>
      <x:c r="U622" s="22" t="n">
        <x:f>IF(COUNT(I622,M622,N622)=3,MAX(0,ROUND(I622+M622-N622,2)),"n.a.")</x:f>
        <x:v>0</x:v>
      </x:c>
    </x:row>
    <x:row r="623" ht="22" customHeight="1">
      <x:c r="A623" s="2"/>
      <x:c r="B623" s="2"/>
      <x:c r="C623" s="27" t="n">
        <x:f>124</x:f>
        <x:v>124</x:v>
      </x:c>
      <x:c r="D623" s="28" t="n">
        <x:f>IF(ISNUMBER('Inputs'!$D$7),EDATE('Inputs'!$D$7,123),"n.a.")</x:f>
        <x:v>50072</x:v>
      </x:c>
      <x:c r="E623" s="26" t="n">
        <x:f>IF('Inputs'!$D$9&lt;&gt;"Ready","n.a.",IF(ISNUMBER('Inputs'!E142),IF('Inputs'!E142&gt;=0,'Inputs'!E142,"n.a."),IF('Inputs'!E142="",'Inputs'!$D$6,"n.a.")))</x:f>
        <x:v>500</x:v>
      </x:c>
      <x:c r="F623" s="22" t="n">
        <x:f>IF(COUNT($N$622:$N$626)=5,SUM($N$622:$N$626),"n.a.")</x:f>
        <x:v>0</x:v>
      </x:c>
      <x:c r="G623" s="22" t="n">
        <x:f>IF(COUNT(E623:F623)=2,MAX(0,E623-F623),"n.a.")</x:f>
        <x:v>500</x:v>
      </x:c>
      <x:c r="H623" s="26" t="str">
        <x:f>'Inputs'!C12</x:f>
        <x:v>Card B</x:v>
      </x:c>
      <x:c r="I623" s="26" t="n">
        <x:f>S618</x:f>
        <x:v>0</x:v>
      </x:c>
      <x:c r="J623" s="29" t="n">
        <x:f>IF('Inputs'!$D$9="Ready",'Inputs'!E12,"n.a.")</x:f>
        <x:v>0.18</x:v>
      </x:c>
      <x:c r="K623" s="26" t="n">
        <x:f>IF('Inputs'!$D$9="Ready",'Inputs'!F12,"n.a.")</x:f>
        <x:v>60</x:v>
      </x:c>
      <x:c r="L623" s="29" t="n">
        <x:f>IF('Inputs'!$D$9="Ready",'Inputs'!G12,"n.a.")</x:f>
        <x:v>0.02</x:v>
      </x:c>
      <x:c r="M623" s="22" t="n">
        <x:f>IF(COUNT(I623:L623)=4,ROUND(I623*J623/12,2),"n.a.")</x:f>
        <x:v>0</x:v>
      </x:c>
      <x:c r="N623" s="22" t="n">
        <x:f>IF(COUNT(I623:M623)=5,MIN(I623+M623,ROUND(MAX(K623,I623*L623+M623),2)),"n.a.")</x:f>
        <x:v>0</x:v>
      </x:c>
      <x:c r="O623" s="30" t="n">
        <x:f>IF(COUNT($I$622:$I$626)&lt;&gt;5,"n.a.",IF(I623=0,6,IF('Inputs'!$D$5=1,COUNTIFS($I$622:$I$626,"&gt;0",$I$622:$I$626,"&lt;"&amp;I623)+COUNTIFS($I$622:I623,I623),COUNTIFS($I$622:$I$626,"&gt;0",$J$622:$J$626,"&gt;"&amp;J623)+COUNTIFS($I$622:I623,"&gt;0",$J$622:J623,J623))))</x:f>
        <x:v>6</x:v>
      </x:c>
      <x:c r="P623" s="22" t="n">
        <x:f>IF(T623="Ready",MIN(U623,MAX(0,G623-SUMIFS($U$622:$U$626,$O$622:$O$626,"&lt;"&amp;O623))),"n.a.")</x:f>
        <x:v>0</x:v>
      </x:c>
      <x:c r="Q623" s="22" t="n">
        <x:f>IF(T623="Ready",ROUND(N623+P623,2),"n.a.")</x:f>
        <x:v>0</x:v>
      </x:c>
      <x:c r="R623" s="22" t="n">
        <x:f>IF(T623="Ready",ROUND(Q623-M623,2),"n.a.")</x:f>
        <x:v>0</x:v>
      </x:c>
      <x:c r="S623" s="22" t="n">
        <x:f>IF(T623="Ready",MAX(0,ROUND(I623+M623-Q623,2)),"n.a.")</x:f>
        <x:v>0</x:v>
      </x:c>
      <x:c r="T623" s="22" t="str">
        <x:f>IF(AND(COUNT($I$622:$I$626)=5,COUNT(E623:F623)=2),IF(E623&gt;=F623,"Ready","Budget below minima"),"Check inputs")</x:f>
        <x:v>Ready</x:v>
      </x:c>
      <x:c r="U623" s="22" t="n">
        <x:f>IF(COUNT(I623,M623,N623)=3,MAX(0,ROUND(I623+M623-N623,2)),"n.a.")</x:f>
        <x:v>0</x:v>
      </x:c>
    </x:row>
    <x:row r="624" ht="22" customHeight="1">
      <x:c r="A624" s="2"/>
      <x:c r="B624" s="2"/>
      <x:c r="C624" s="27" t="n">
        <x:f>124</x:f>
        <x:v>124</x:v>
      </x:c>
      <x:c r="D624" s="28" t="n">
        <x:f>IF(ISNUMBER('Inputs'!$D$7),EDATE('Inputs'!$D$7,123),"n.a.")</x:f>
        <x:v>50072</x:v>
      </x:c>
      <x:c r="E624" s="26" t="n">
        <x:f>IF('Inputs'!$D$9&lt;&gt;"Ready","n.a.",IF(ISNUMBER('Inputs'!E142),IF('Inputs'!E142&gt;=0,'Inputs'!E142,"n.a."),IF('Inputs'!E142="",'Inputs'!$D$6,"n.a.")))</x:f>
        <x:v>500</x:v>
      </x:c>
      <x:c r="F624" s="22" t="n">
        <x:f>IF(COUNT($N$622:$N$626)=5,SUM($N$622:$N$626),"n.a.")</x:f>
        <x:v>0</x:v>
      </x:c>
      <x:c r="G624" s="22" t="n">
        <x:f>IF(COUNT(E624:F624)=2,MAX(0,E624-F624),"n.a.")</x:f>
        <x:v>500</x:v>
      </x:c>
      <x:c r="H624" s="26" t="str">
        <x:f>'Inputs'!C13</x:f>
        <x:v>Loan C</x:v>
      </x:c>
      <x:c r="I624" s="26" t="n">
        <x:f>S619</x:f>
        <x:v>0</x:v>
      </x:c>
      <x:c r="J624" s="29" t="n">
        <x:f>IF('Inputs'!$D$9="Ready",'Inputs'!E13,"n.a.")</x:f>
        <x:v>0.08</x:v>
      </x:c>
      <x:c r="K624" s="26" t="n">
        <x:f>IF('Inputs'!$D$9="Ready",'Inputs'!F13,"n.a.")</x:f>
        <x:v>150</x:v>
      </x:c>
      <x:c r="L624" s="29" t="n">
        <x:f>IF('Inputs'!$D$9="Ready",'Inputs'!G13,"n.a.")</x:f>
        <x:v>0</x:v>
      </x:c>
      <x:c r="M624" s="22" t="n">
        <x:f>IF(COUNT(I624:L624)=4,ROUND(I624*J624/12,2),"n.a.")</x:f>
        <x:v>0</x:v>
      </x:c>
      <x:c r="N624" s="22" t="n">
        <x:f>IF(COUNT(I624:M624)=5,MIN(I624+M624,ROUND(MAX(K624,I624*L624+M624),2)),"n.a.")</x:f>
        <x:v>0</x:v>
      </x:c>
      <x:c r="O624" s="30" t="n">
        <x:f>IF(COUNT($I$622:$I$626)&lt;&gt;5,"n.a.",IF(I624=0,6,IF('Inputs'!$D$5=1,COUNTIFS($I$622:$I$626,"&gt;0",$I$622:$I$626,"&lt;"&amp;I624)+COUNTIFS($I$622:I624,I624),COUNTIFS($I$622:$I$626,"&gt;0",$J$622:$J$626,"&gt;"&amp;J624)+COUNTIFS($I$622:I624,"&gt;0",$J$622:J624,J624))))</x:f>
        <x:v>6</x:v>
      </x:c>
      <x:c r="P624" s="22" t="n">
        <x:f>IF(T624="Ready",MIN(U624,MAX(0,G624-SUMIFS($U$622:$U$626,$O$622:$O$626,"&lt;"&amp;O624))),"n.a.")</x:f>
        <x:v>0</x:v>
      </x:c>
      <x:c r="Q624" s="22" t="n">
        <x:f>IF(T624="Ready",ROUND(N624+P624,2),"n.a.")</x:f>
        <x:v>0</x:v>
      </x:c>
      <x:c r="R624" s="22" t="n">
        <x:f>IF(T624="Ready",ROUND(Q624-M624,2),"n.a.")</x:f>
        <x:v>0</x:v>
      </x:c>
      <x:c r="S624" s="22" t="n">
        <x:f>IF(T624="Ready",MAX(0,ROUND(I624+M624-Q624,2)),"n.a.")</x:f>
        <x:v>0</x:v>
      </x:c>
      <x:c r="T624" s="22" t="str">
        <x:f>IF(AND(COUNT($I$622:$I$626)=5,COUNT(E624:F624)=2),IF(E624&gt;=F624,"Ready","Budget below minima"),"Check inputs")</x:f>
        <x:v>Ready</x:v>
      </x:c>
      <x:c r="U624" s="22" t="n">
        <x:f>IF(COUNT(I624,M624,N624)=3,MAX(0,ROUND(I624+M624-N624,2)),"n.a.")</x:f>
        <x:v>0</x:v>
      </x:c>
    </x:row>
    <x:row r="625" ht="22" customHeight="1">
      <x:c r="A625" s="2"/>
      <x:c r="B625" s="2"/>
      <x:c r="C625" s="27" t="n">
        <x:f>124</x:f>
        <x:v>124</x:v>
      </x:c>
      <x:c r="D625" s="28" t="n">
        <x:f>IF(ISNUMBER('Inputs'!$D$7),EDATE('Inputs'!$D$7,123),"n.a.")</x:f>
        <x:v>50072</x:v>
      </x:c>
      <x:c r="E625" s="26" t="n">
        <x:f>IF('Inputs'!$D$9&lt;&gt;"Ready","n.a.",IF(ISNUMBER('Inputs'!E142),IF('Inputs'!E142&gt;=0,'Inputs'!E142,"n.a."),IF('Inputs'!E142="",'Inputs'!$D$6,"n.a.")))</x:f>
        <x:v>500</x:v>
      </x:c>
      <x:c r="F625" s="22" t="n">
        <x:f>IF(COUNT($N$622:$N$626)=5,SUM($N$622:$N$626),"n.a.")</x:f>
        <x:v>0</x:v>
      </x:c>
      <x:c r="G625" s="22" t="n">
        <x:f>IF(COUNT(E625:F625)=2,MAX(0,E625-F625),"n.a.")</x:f>
        <x:v>500</x:v>
      </x:c>
      <x:c r="H625" s="26" t="str">
        <x:f>'Inputs'!C14</x:f>
        <x:v>Unused 4</x:v>
      </x:c>
      <x:c r="I625" s="26" t="n">
        <x:f>S620</x:f>
        <x:v>0</x:v>
      </x:c>
      <x:c r="J625" s="29" t="n">
        <x:f>IF('Inputs'!$D$9="Ready",'Inputs'!E14,"n.a.")</x:f>
        <x:v>0</x:v>
      </x:c>
      <x:c r="K625" s="26" t="n">
        <x:f>IF('Inputs'!$D$9="Ready",'Inputs'!F14,"n.a.")</x:f>
        <x:v>0</x:v>
      </x:c>
      <x:c r="L625" s="29" t="n">
        <x:f>IF('Inputs'!$D$9="Ready",'Inputs'!G14,"n.a.")</x:f>
        <x:v>0</x:v>
      </x:c>
      <x:c r="M625" s="22" t="n">
        <x:f>IF(COUNT(I625:L625)=4,ROUND(I625*J625/12,2),"n.a.")</x:f>
        <x:v>0</x:v>
      </x:c>
      <x:c r="N625" s="22" t="n">
        <x:f>IF(COUNT(I625:M625)=5,MIN(I625+M625,ROUND(MAX(K625,I625*L625+M625),2)),"n.a.")</x:f>
        <x:v>0</x:v>
      </x:c>
      <x:c r="O625" s="30" t="n">
        <x:f>IF(COUNT($I$622:$I$626)&lt;&gt;5,"n.a.",IF(I625=0,6,IF('Inputs'!$D$5=1,COUNTIFS($I$622:$I$626,"&gt;0",$I$622:$I$626,"&lt;"&amp;I625)+COUNTIFS($I$622:I625,I625),COUNTIFS($I$622:$I$626,"&gt;0",$J$622:$J$626,"&gt;"&amp;J625)+COUNTIFS($I$622:I625,"&gt;0",$J$622:J625,J625))))</x:f>
        <x:v>6</x:v>
      </x:c>
      <x:c r="P625" s="22" t="n">
        <x:f>IF(T625="Ready",MIN(U625,MAX(0,G625-SUMIFS($U$622:$U$626,$O$622:$O$626,"&lt;"&amp;O625))),"n.a.")</x:f>
        <x:v>0</x:v>
      </x:c>
      <x:c r="Q625" s="22" t="n">
        <x:f>IF(T625="Ready",ROUND(N625+P625,2),"n.a.")</x:f>
        <x:v>0</x:v>
      </x:c>
      <x:c r="R625" s="22" t="n">
        <x:f>IF(T625="Ready",ROUND(Q625-M625,2),"n.a.")</x:f>
        <x:v>0</x:v>
      </x:c>
      <x:c r="S625" s="22" t="n">
        <x:f>IF(T625="Ready",MAX(0,ROUND(I625+M625-Q625,2)),"n.a.")</x:f>
        <x:v>0</x:v>
      </x:c>
      <x:c r="T625" s="22" t="str">
        <x:f>IF(AND(COUNT($I$622:$I$626)=5,COUNT(E625:F625)=2),IF(E625&gt;=F625,"Ready","Budget below minima"),"Check inputs")</x:f>
        <x:v>Ready</x:v>
      </x:c>
      <x:c r="U625" s="22" t="n">
        <x:f>IF(COUNT(I625,M625,N625)=3,MAX(0,ROUND(I625+M625-N625,2)),"n.a.")</x:f>
        <x:v>0</x:v>
      </x:c>
    </x:row>
    <x:row r="626" ht="22" customHeight="1">
      <x:c r="A626" s="2"/>
      <x:c r="B626" s="2"/>
      <x:c r="C626" s="27" t="n">
        <x:f>124</x:f>
        <x:v>124</x:v>
      </x:c>
      <x:c r="D626" s="28" t="n">
        <x:f>IF(ISNUMBER('Inputs'!$D$7),EDATE('Inputs'!$D$7,123),"n.a.")</x:f>
        <x:v>50072</x:v>
      </x:c>
      <x:c r="E626" s="26" t="n">
        <x:f>IF('Inputs'!$D$9&lt;&gt;"Ready","n.a.",IF(ISNUMBER('Inputs'!E142),IF('Inputs'!E142&gt;=0,'Inputs'!E142,"n.a."),IF('Inputs'!E142="",'Inputs'!$D$6,"n.a.")))</x:f>
        <x:v>500</x:v>
      </x:c>
      <x:c r="F626" s="22" t="n">
        <x:f>IF(COUNT($N$622:$N$626)=5,SUM($N$622:$N$626),"n.a.")</x:f>
        <x:v>0</x:v>
      </x:c>
      <x:c r="G626" s="22" t="n">
        <x:f>IF(COUNT(E626:F626)=2,MAX(0,E626-F626),"n.a.")</x:f>
        <x:v>500</x:v>
      </x:c>
      <x:c r="H626" s="26" t="str">
        <x:f>'Inputs'!C15</x:f>
        <x:v>Unused 5</x:v>
      </x:c>
      <x:c r="I626" s="26" t="n">
        <x:f>S621</x:f>
        <x:v>0</x:v>
      </x:c>
      <x:c r="J626" s="29" t="n">
        <x:f>IF('Inputs'!$D$9="Ready",'Inputs'!E15,"n.a.")</x:f>
        <x:v>0</x:v>
      </x:c>
      <x:c r="K626" s="26" t="n">
        <x:f>IF('Inputs'!$D$9="Ready",'Inputs'!F15,"n.a.")</x:f>
        <x:v>0</x:v>
      </x:c>
      <x:c r="L626" s="29" t="n">
        <x:f>IF('Inputs'!$D$9="Ready",'Inputs'!G15,"n.a.")</x:f>
        <x:v>0</x:v>
      </x:c>
      <x:c r="M626" s="22" t="n">
        <x:f>IF(COUNT(I626:L626)=4,ROUND(I626*J626/12,2),"n.a.")</x:f>
        <x:v>0</x:v>
      </x:c>
      <x:c r="N626" s="22" t="n">
        <x:f>IF(COUNT(I626:M626)=5,MIN(I626+M626,ROUND(MAX(K626,I626*L626+M626),2)),"n.a.")</x:f>
        <x:v>0</x:v>
      </x:c>
      <x:c r="O626" s="30" t="n">
        <x:f>IF(COUNT($I$622:$I$626)&lt;&gt;5,"n.a.",IF(I626=0,6,IF('Inputs'!$D$5=1,COUNTIFS($I$622:$I$626,"&gt;0",$I$622:$I$626,"&lt;"&amp;I626)+COUNTIFS($I$622:I626,I626),COUNTIFS($I$622:$I$626,"&gt;0",$J$622:$J$626,"&gt;"&amp;J626)+COUNTIFS($I$622:I626,"&gt;0",$J$622:J626,J626))))</x:f>
        <x:v>6</x:v>
      </x:c>
      <x:c r="P626" s="22" t="n">
        <x:f>IF(T626="Ready",MIN(U626,MAX(0,G626-SUMIFS($U$622:$U$626,$O$622:$O$626,"&lt;"&amp;O626))),"n.a.")</x:f>
        <x:v>0</x:v>
      </x:c>
      <x:c r="Q626" s="22" t="n">
        <x:f>IF(T626="Ready",ROUND(N626+P626,2),"n.a.")</x:f>
        <x:v>0</x:v>
      </x:c>
      <x:c r="R626" s="22" t="n">
        <x:f>IF(T626="Ready",ROUND(Q626-M626,2),"n.a.")</x:f>
        <x:v>0</x:v>
      </x:c>
      <x:c r="S626" s="22" t="n">
        <x:f>IF(T626="Ready",MAX(0,ROUND(I626+M626-Q626,2)),"n.a.")</x:f>
        <x:v>0</x:v>
      </x:c>
      <x:c r="T626" s="22" t="str">
        <x:f>IF(AND(COUNT($I$622:$I$626)=5,COUNT(E626:F626)=2),IF(E626&gt;=F626,"Ready","Budget below minima"),"Check inputs")</x:f>
        <x:v>Ready</x:v>
      </x:c>
      <x:c r="U626" s="22" t="n">
        <x:f>IF(COUNT(I626,M626,N626)=3,MAX(0,ROUND(I626+M626-N626,2)),"n.a.")</x:f>
        <x:v>0</x:v>
      </x:c>
    </x:row>
    <x:row r="627" ht="22" customHeight="1">
      <x:c r="A627" s="2"/>
      <x:c r="B627" s="2"/>
      <x:c r="C627" s="27" t="n">
        <x:f>125</x:f>
        <x:v>125</x:v>
      </x:c>
      <x:c r="D627" s="28" t="n">
        <x:f>IF(ISNUMBER('Inputs'!$D$7),EDATE('Inputs'!$D$7,124),"n.a.")</x:f>
        <x:v>50100</x:v>
      </x:c>
      <x:c r="E627" s="26" t="n">
        <x:f>IF('Inputs'!$D$9&lt;&gt;"Ready","n.a.",IF(ISNUMBER('Inputs'!E143),IF('Inputs'!E143&gt;=0,'Inputs'!E143,"n.a."),IF('Inputs'!E143="",'Inputs'!$D$6,"n.a.")))</x:f>
        <x:v>500</x:v>
      </x:c>
      <x:c r="F627" s="22" t="n">
        <x:f>IF(COUNT($N$627:$N$631)=5,SUM($N$627:$N$631),"n.a.")</x:f>
        <x:v>0</x:v>
      </x:c>
      <x:c r="G627" s="22" t="n">
        <x:f>IF(COUNT(E627:F627)=2,MAX(0,E627-F627),"n.a.")</x:f>
        <x:v>500</x:v>
      </x:c>
      <x:c r="H627" s="26" t="str">
        <x:f>'Inputs'!C11</x:f>
        <x:v>Card A</x:v>
      </x:c>
      <x:c r="I627" s="26" t="n">
        <x:f>S622</x:f>
        <x:v>0</x:v>
      </x:c>
      <x:c r="J627" s="29" t="n">
        <x:f>IF('Inputs'!$D$9="Ready",'Inputs'!E11,"n.a.")</x:f>
        <x:v>0.24</x:v>
      </x:c>
      <x:c r="K627" s="26" t="n">
        <x:f>IF('Inputs'!$D$9="Ready",'Inputs'!F11,"n.a.")</x:f>
        <x:v>35</x:v>
      </x:c>
      <x:c r="L627" s="29" t="n">
        <x:f>IF('Inputs'!$D$9="Ready",'Inputs'!G11,"n.a.")</x:f>
        <x:v>0.02</x:v>
      </x:c>
      <x:c r="M627" s="22" t="n">
        <x:f>IF(COUNT(I627:L627)=4,ROUND(I627*J627/12,2),"n.a.")</x:f>
        <x:v>0</x:v>
      </x:c>
      <x:c r="N627" s="22" t="n">
        <x:f>IF(COUNT(I627:M627)=5,MIN(I627+M627,ROUND(MAX(K627,I627*L627+M627),2)),"n.a.")</x:f>
        <x:v>0</x:v>
      </x:c>
      <x:c r="O627" s="30" t="n">
        <x:f>IF(COUNT($I$627:$I$631)&lt;&gt;5,"n.a.",IF(I627=0,6,IF('Inputs'!$D$5=1,COUNTIFS($I$627:$I$631,"&gt;0",$I$627:$I$631,"&lt;"&amp;I627)+COUNTIFS($I$627:I627,I627),COUNTIFS($I$627:$I$631,"&gt;0",$J$627:$J$631,"&gt;"&amp;J627)+COUNTIFS($I$627:I627,"&gt;0",$J$627:J627,J627))))</x:f>
        <x:v>6</x:v>
      </x:c>
      <x:c r="P627" s="22" t="n">
        <x:f>IF(T627="Ready",MIN(U627,MAX(0,G627-SUMIFS($U$627:$U$631,$O$627:$O$631,"&lt;"&amp;O627))),"n.a.")</x:f>
        <x:v>0</x:v>
      </x:c>
      <x:c r="Q627" s="22" t="n">
        <x:f>IF(T627="Ready",ROUND(N627+P627,2),"n.a.")</x:f>
        <x:v>0</x:v>
      </x:c>
      <x:c r="R627" s="22" t="n">
        <x:f>IF(T627="Ready",ROUND(Q627-M627,2),"n.a.")</x:f>
        <x:v>0</x:v>
      </x:c>
      <x:c r="S627" s="22" t="n">
        <x:f>IF(T627="Ready",MAX(0,ROUND(I627+M627-Q627,2)),"n.a.")</x:f>
        <x:v>0</x:v>
      </x:c>
      <x:c r="T627" s="22" t="str">
        <x:f>IF(AND(COUNT($I$627:$I$631)=5,COUNT(E627:F627)=2),IF(E627&gt;=F627,"Ready","Budget below minima"),"Check inputs")</x:f>
        <x:v>Ready</x:v>
      </x:c>
      <x:c r="U627" s="22" t="n">
        <x:f>IF(COUNT(I627,M627,N627)=3,MAX(0,ROUND(I627+M627-N627,2)),"n.a.")</x:f>
        <x:v>0</x:v>
      </x:c>
    </x:row>
    <x:row r="628" ht="22" customHeight="1">
      <x:c r="A628" s="2"/>
      <x:c r="B628" s="2"/>
      <x:c r="C628" s="27" t="n">
        <x:f>125</x:f>
        <x:v>125</x:v>
      </x:c>
      <x:c r="D628" s="28" t="n">
        <x:f>IF(ISNUMBER('Inputs'!$D$7),EDATE('Inputs'!$D$7,124),"n.a.")</x:f>
        <x:v>50100</x:v>
      </x:c>
      <x:c r="E628" s="26" t="n">
        <x:f>IF('Inputs'!$D$9&lt;&gt;"Ready","n.a.",IF(ISNUMBER('Inputs'!E143),IF('Inputs'!E143&gt;=0,'Inputs'!E143,"n.a."),IF('Inputs'!E143="",'Inputs'!$D$6,"n.a.")))</x:f>
        <x:v>500</x:v>
      </x:c>
      <x:c r="F628" s="22" t="n">
        <x:f>IF(COUNT($N$627:$N$631)=5,SUM($N$627:$N$631),"n.a.")</x:f>
        <x:v>0</x:v>
      </x:c>
      <x:c r="G628" s="22" t="n">
        <x:f>IF(COUNT(E628:F628)=2,MAX(0,E628-F628),"n.a.")</x:f>
        <x:v>500</x:v>
      </x:c>
      <x:c r="H628" s="26" t="str">
        <x:f>'Inputs'!C12</x:f>
        <x:v>Card B</x:v>
      </x:c>
      <x:c r="I628" s="26" t="n">
        <x:f>S623</x:f>
        <x:v>0</x:v>
      </x:c>
      <x:c r="J628" s="29" t="n">
        <x:f>IF('Inputs'!$D$9="Ready",'Inputs'!E12,"n.a.")</x:f>
        <x:v>0.18</x:v>
      </x:c>
      <x:c r="K628" s="26" t="n">
        <x:f>IF('Inputs'!$D$9="Ready",'Inputs'!F12,"n.a.")</x:f>
        <x:v>60</x:v>
      </x:c>
      <x:c r="L628" s="29" t="n">
        <x:f>IF('Inputs'!$D$9="Ready",'Inputs'!G12,"n.a.")</x:f>
        <x:v>0.02</x:v>
      </x:c>
      <x:c r="M628" s="22" t="n">
        <x:f>IF(COUNT(I628:L628)=4,ROUND(I628*J628/12,2),"n.a.")</x:f>
        <x:v>0</x:v>
      </x:c>
      <x:c r="N628" s="22" t="n">
        <x:f>IF(COUNT(I628:M628)=5,MIN(I628+M628,ROUND(MAX(K628,I628*L628+M628),2)),"n.a.")</x:f>
        <x:v>0</x:v>
      </x:c>
      <x:c r="O628" s="30" t="n">
        <x:f>IF(COUNT($I$627:$I$631)&lt;&gt;5,"n.a.",IF(I628=0,6,IF('Inputs'!$D$5=1,COUNTIFS($I$627:$I$631,"&gt;0",$I$627:$I$631,"&lt;"&amp;I628)+COUNTIFS($I$627:I628,I628),COUNTIFS($I$627:$I$631,"&gt;0",$J$627:$J$631,"&gt;"&amp;J628)+COUNTIFS($I$627:I628,"&gt;0",$J$627:J628,J628))))</x:f>
        <x:v>6</x:v>
      </x:c>
      <x:c r="P628" s="22" t="n">
        <x:f>IF(T628="Ready",MIN(U628,MAX(0,G628-SUMIFS($U$627:$U$631,$O$627:$O$631,"&lt;"&amp;O628))),"n.a.")</x:f>
        <x:v>0</x:v>
      </x:c>
      <x:c r="Q628" s="22" t="n">
        <x:f>IF(T628="Ready",ROUND(N628+P628,2),"n.a.")</x:f>
        <x:v>0</x:v>
      </x:c>
      <x:c r="R628" s="22" t="n">
        <x:f>IF(T628="Ready",ROUND(Q628-M628,2),"n.a.")</x:f>
        <x:v>0</x:v>
      </x:c>
      <x:c r="S628" s="22" t="n">
        <x:f>IF(T628="Ready",MAX(0,ROUND(I628+M628-Q628,2)),"n.a.")</x:f>
        <x:v>0</x:v>
      </x:c>
      <x:c r="T628" s="22" t="str">
        <x:f>IF(AND(COUNT($I$627:$I$631)=5,COUNT(E628:F628)=2),IF(E628&gt;=F628,"Ready","Budget below minima"),"Check inputs")</x:f>
        <x:v>Ready</x:v>
      </x:c>
      <x:c r="U628" s="22" t="n">
        <x:f>IF(COUNT(I628,M628,N628)=3,MAX(0,ROUND(I628+M628-N628,2)),"n.a.")</x:f>
        <x:v>0</x:v>
      </x:c>
    </x:row>
    <x:row r="629" ht="22" customHeight="1">
      <x:c r="A629" s="2"/>
      <x:c r="B629" s="2"/>
      <x:c r="C629" s="27" t="n">
        <x:f>125</x:f>
        <x:v>125</x:v>
      </x:c>
      <x:c r="D629" s="28" t="n">
        <x:f>IF(ISNUMBER('Inputs'!$D$7),EDATE('Inputs'!$D$7,124),"n.a.")</x:f>
        <x:v>50100</x:v>
      </x:c>
      <x:c r="E629" s="26" t="n">
        <x:f>IF('Inputs'!$D$9&lt;&gt;"Ready","n.a.",IF(ISNUMBER('Inputs'!E143),IF('Inputs'!E143&gt;=0,'Inputs'!E143,"n.a."),IF('Inputs'!E143="",'Inputs'!$D$6,"n.a.")))</x:f>
        <x:v>500</x:v>
      </x:c>
      <x:c r="F629" s="22" t="n">
        <x:f>IF(COUNT($N$627:$N$631)=5,SUM($N$627:$N$631),"n.a.")</x:f>
        <x:v>0</x:v>
      </x:c>
      <x:c r="G629" s="22" t="n">
        <x:f>IF(COUNT(E629:F629)=2,MAX(0,E629-F629),"n.a.")</x:f>
        <x:v>500</x:v>
      </x:c>
      <x:c r="H629" s="26" t="str">
        <x:f>'Inputs'!C13</x:f>
        <x:v>Loan C</x:v>
      </x:c>
      <x:c r="I629" s="26" t="n">
        <x:f>S624</x:f>
        <x:v>0</x:v>
      </x:c>
      <x:c r="J629" s="29" t="n">
        <x:f>IF('Inputs'!$D$9="Ready",'Inputs'!E13,"n.a.")</x:f>
        <x:v>0.08</x:v>
      </x:c>
      <x:c r="K629" s="26" t="n">
        <x:f>IF('Inputs'!$D$9="Ready",'Inputs'!F13,"n.a.")</x:f>
        <x:v>150</x:v>
      </x:c>
      <x:c r="L629" s="29" t="n">
        <x:f>IF('Inputs'!$D$9="Ready",'Inputs'!G13,"n.a.")</x:f>
        <x:v>0</x:v>
      </x:c>
      <x:c r="M629" s="22" t="n">
        <x:f>IF(COUNT(I629:L629)=4,ROUND(I629*J629/12,2),"n.a.")</x:f>
        <x:v>0</x:v>
      </x:c>
      <x:c r="N629" s="22" t="n">
        <x:f>IF(COUNT(I629:M629)=5,MIN(I629+M629,ROUND(MAX(K629,I629*L629+M629),2)),"n.a.")</x:f>
        <x:v>0</x:v>
      </x:c>
      <x:c r="O629" s="30" t="n">
        <x:f>IF(COUNT($I$627:$I$631)&lt;&gt;5,"n.a.",IF(I629=0,6,IF('Inputs'!$D$5=1,COUNTIFS($I$627:$I$631,"&gt;0",$I$627:$I$631,"&lt;"&amp;I629)+COUNTIFS($I$627:I629,I629),COUNTIFS($I$627:$I$631,"&gt;0",$J$627:$J$631,"&gt;"&amp;J629)+COUNTIFS($I$627:I629,"&gt;0",$J$627:J629,J629))))</x:f>
        <x:v>6</x:v>
      </x:c>
      <x:c r="P629" s="22" t="n">
        <x:f>IF(T629="Ready",MIN(U629,MAX(0,G629-SUMIFS($U$627:$U$631,$O$627:$O$631,"&lt;"&amp;O629))),"n.a.")</x:f>
        <x:v>0</x:v>
      </x:c>
      <x:c r="Q629" s="22" t="n">
        <x:f>IF(T629="Ready",ROUND(N629+P629,2),"n.a.")</x:f>
        <x:v>0</x:v>
      </x:c>
      <x:c r="R629" s="22" t="n">
        <x:f>IF(T629="Ready",ROUND(Q629-M629,2),"n.a.")</x:f>
        <x:v>0</x:v>
      </x:c>
      <x:c r="S629" s="22" t="n">
        <x:f>IF(T629="Ready",MAX(0,ROUND(I629+M629-Q629,2)),"n.a.")</x:f>
        <x:v>0</x:v>
      </x:c>
      <x:c r="T629" s="22" t="str">
        <x:f>IF(AND(COUNT($I$627:$I$631)=5,COUNT(E629:F629)=2),IF(E629&gt;=F629,"Ready","Budget below minima"),"Check inputs")</x:f>
        <x:v>Ready</x:v>
      </x:c>
      <x:c r="U629" s="22" t="n">
        <x:f>IF(COUNT(I629,M629,N629)=3,MAX(0,ROUND(I629+M629-N629,2)),"n.a.")</x:f>
        <x:v>0</x:v>
      </x:c>
    </x:row>
    <x:row r="630" ht="22" customHeight="1">
      <x:c r="A630" s="2"/>
      <x:c r="B630" s="2"/>
      <x:c r="C630" s="27" t="n">
        <x:f>125</x:f>
        <x:v>125</x:v>
      </x:c>
      <x:c r="D630" s="28" t="n">
        <x:f>IF(ISNUMBER('Inputs'!$D$7),EDATE('Inputs'!$D$7,124),"n.a.")</x:f>
        <x:v>50100</x:v>
      </x:c>
      <x:c r="E630" s="26" t="n">
        <x:f>IF('Inputs'!$D$9&lt;&gt;"Ready","n.a.",IF(ISNUMBER('Inputs'!E143),IF('Inputs'!E143&gt;=0,'Inputs'!E143,"n.a."),IF('Inputs'!E143="",'Inputs'!$D$6,"n.a.")))</x:f>
        <x:v>500</x:v>
      </x:c>
      <x:c r="F630" s="22" t="n">
        <x:f>IF(COUNT($N$627:$N$631)=5,SUM($N$627:$N$631),"n.a.")</x:f>
        <x:v>0</x:v>
      </x:c>
      <x:c r="G630" s="22" t="n">
        <x:f>IF(COUNT(E630:F630)=2,MAX(0,E630-F630),"n.a.")</x:f>
        <x:v>500</x:v>
      </x:c>
      <x:c r="H630" s="26" t="str">
        <x:f>'Inputs'!C14</x:f>
        <x:v>Unused 4</x:v>
      </x:c>
      <x:c r="I630" s="26" t="n">
        <x:f>S625</x:f>
        <x:v>0</x:v>
      </x:c>
      <x:c r="J630" s="29" t="n">
        <x:f>IF('Inputs'!$D$9="Ready",'Inputs'!E14,"n.a.")</x:f>
        <x:v>0</x:v>
      </x:c>
      <x:c r="K630" s="26" t="n">
        <x:f>IF('Inputs'!$D$9="Ready",'Inputs'!F14,"n.a.")</x:f>
        <x:v>0</x:v>
      </x:c>
      <x:c r="L630" s="29" t="n">
        <x:f>IF('Inputs'!$D$9="Ready",'Inputs'!G14,"n.a.")</x:f>
        <x:v>0</x:v>
      </x:c>
      <x:c r="M630" s="22" t="n">
        <x:f>IF(COUNT(I630:L630)=4,ROUND(I630*J630/12,2),"n.a.")</x:f>
        <x:v>0</x:v>
      </x:c>
      <x:c r="N630" s="22" t="n">
        <x:f>IF(COUNT(I630:M630)=5,MIN(I630+M630,ROUND(MAX(K630,I630*L630+M630),2)),"n.a.")</x:f>
        <x:v>0</x:v>
      </x:c>
      <x:c r="O630" s="30" t="n">
        <x:f>IF(COUNT($I$627:$I$631)&lt;&gt;5,"n.a.",IF(I630=0,6,IF('Inputs'!$D$5=1,COUNTIFS($I$627:$I$631,"&gt;0",$I$627:$I$631,"&lt;"&amp;I630)+COUNTIFS($I$627:I630,I630),COUNTIFS($I$627:$I$631,"&gt;0",$J$627:$J$631,"&gt;"&amp;J630)+COUNTIFS($I$627:I630,"&gt;0",$J$627:J630,J630))))</x:f>
        <x:v>6</x:v>
      </x:c>
      <x:c r="P630" s="22" t="n">
        <x:f>IF(T630="Ready",MIN(U630,MAX(0,G630-SUMIFS($U$627:$U$631,$O$627:$O$631,"&lt;"&amp;O630))),"n.a.")</x:f>
        <x:v>0</x:v>
      </x:c>
      <x:c r="Q630" s="22" t="n">
        <x:f>IF(T630="Ready",ROUND(N630+P630,2),"n.a.")</x:f>
        <x:v>0</x:v>
      </x:c>
      <x:c r="R630" s="22" t="n">
        <x:f>IF(T630="Ready",ROUND(Q630-M630,2),"n.a.")</x:f>
        <x:v>0</x:v>
      </x:c>
      <x:c r="S630" s="22" t="n">
        <x:f>IF(T630="Ready",MAX(0,ROUND(I630+M630-Q630,2)),"n.a.")</x:f>
        <x:v>0</x:v>
      </x:c>
      <x:c r="T630" s="22" t="str">
        <x:f>IF(AND(COUNT($I$627:$I$631)=5,COUNT(E630:F630)=2),IF(E630&gt;=F630,"Ready","Budget below minima"),"Check inputs")</x:f>
        <x:v>Ready</x:v>
      </x:c>
      <x:c r="U630" s="22" t="n">
        <x:f>IF(COUNT(I630,M630,N630)=3,MAX(0,ROUND(I630+M630-N630,2)),"n.a.")</x:f>
        <x:v>0</x:v>
      </x:c>
    </x:row>
    <x:row r="631" ht="22" customHeight="1">
      <x:c r="A631" s="2"/>
      <x:c r="B631" s="2"/>
      <x:c r="C631" s="27" t="n">
        <x:f>125</x:f>
        <x:v>125</x:v>
      </x:c>
      <x:c r="D631" s="28" t="n">
        <x:f>IF(ISNUMBER('Inputs'!$D$7),EDATE('Inputs'!$D$7,124),"n.a.")</x:f>
        <x:v>50100</x:v>
      </x:c>
      <x:c r="E631" s="26" t="n">
        <x:f>IF('Inputs'!$D$9&lt;&gt;"Ready","n.a.",IF(ISNUMBER('Inputs'!E143),IF('Inputs'!E143&gt;=0,'Inputs'!E143,"n.a."),IF('Inputs'!E143="",'Inputs'!$D$6,"n.a.")))</x:f>
        <x:v>500</x:v>
      </x:c>
      <x:c r="F631" s="22" t="n">
        <x:f>IF(COUNT($N$627:$N$631)=5,SUM($N$627:$N$631),"n.a.")</x:f>
        <x:v>0</x:v>
      </x:c>
      <x:c r="G631" s="22" t="n">
        <x:f>IF(COUNT(E631:F631)=2,MAX(0,E631-F631),"n.a.")</x:f>
        <x:v>500</x:v>
      </x:c>
      <x:c r="H631" s="26" t="str">
        <x:f>'Inputs'!C15</x:f>
        <x:v>Unused 5</x:v>
      </x:c>
      <x:c r="I631" s="26" t="n">
        <x:f>S626</x:f>
        <x:v>0</x:v>
      </x:c>
      <x:c r="J631" s="29" t="n">
        <x:f>IF('Inputs'!$D$9="Ready",'Inputs'!E15,"n.a.")</x:f>
        <x:v>0</x:v>
      </x:c>
      <x:c r="K631" s="26" t="n">
        <x:f>IF('Inputs'!$D$9="Ready",'Inputs'!F15,"n.a.")</x:f>
        <x:v>0</x:v>
      </x:c>
      <x:c r="L631" s="29" t="n">
        <x:f>IF('Inputs'!$D$9="Ready",'Inputs'!G15,"n.a.")</x:f>
        <x:v>0</x:v>
      </x:c>
      <x:c r="M631" s="22" t="n">
        <x:f>IF(COUNT(I631:L631)=4,ROUND(I631*J631/12,2),"n.a.")</x:f>
        <x:v>0</x:v>
      </x:c>
      <x:c r="N631" s="22" t="n">
        <x:f>IF(COUNT(I631:M631)=5,MIN(I631+M631,ROUND(MAX(K631,I631*L631+M631),2)),"n.a.")</x:f>
        <x:v>0</x:v>
      </x:c>
      <x:c r="O631" s="30" t="n">
        <x:f>IF(COUNT($I$627:$I$631)&lt;&gt;5,"n.a.",IF(I631=0,6,IF('Inputs'!$D$5=1,COUNTIFS($I$627:$I$631,"&gt;0",$I$627:$I$631,"&lt;"&amp;I631)+COUNTIFS($I$627:I631,I631),COUNTIFS($I$627:$I$631,"&gt;0",$J$627:$J$631,"&gt;"&amp;J631)+COUNTIFS($I$627:I631,"&gt;0",$J$627:J631,J631))))</x:f>
        <x:v>6</x:v>
      </x:c>
      <x:c r="P631" s="22" t="n">
        <x:f>IF(T631="Ready",MIN(U631,MAX(0,G631-SUMIFS($U$627:$U$631,$O$627:$O$631,"&lt;"&amp;O631))),"n.a.")</x:f>
        <x:v>0</x:v>
      </x:c>
      <x:c r="Q631" s="22" t="n">
        <x:f>IF(T631="Ready",ROUND(N631+P631,2),"n.a.")</x:f>
        <x:v>0</x:v>
      </x:c>
      <x:c r="R631" s="22" t="n">
        <x:f>IF(T631="Ready",ROUND(Q631-M631,2),"n.a.")</x:f>
        <x:v>0</x:v>
      </x:c>
      <x:c r="S631" s="22" t="n">
        <x:f>IF(T631="Ready",MAX(0,ROUND(I631+M631-Q631,2)),"n.a.")</x:f>
        <x:v>0</x:v>
      </x:c>
      <x:c r="T631" s="22" t="str">
        <x:f>IF(AND(COUNT($I$627:$I$631)=5,COUNT(E631:F631)=2),IF(E631&gt;=F631,"Ready","Budget below minima"),"Check inputs")</x:f>
        <x:v>Ready</x:v>
      </x:c>
      <x:c r="U631" s="22" t="n">
        <x:f>IF(COUNT(I631,M631,N631)=3,MAX(0,ROUND(I631+M631-N631,2)),"n.a.")</x:f>
        <x:v>0</x:v>
      </x:c>
    </x:row>
    <x:row r="632" ht="22" customHeight="1">
      <x:c r="A632" s="2"/>
      <x:c r="B632" s="2"/>
      <x:c r="C632" s="27" t="n">
        <x:f>126</x:f>
        <x:v>126</x:v>
      </x:c>
      <x:c r="D632" s="28" t="n">
        <x:f>IF(ISNUMBER('Inputs'!$D$7),EDATE('Inputs'!$D$7,125),"n.a.")</x:f>
        <x:v>50131</x:v>
      </x:c>
      <x:c r="E632" s="26" t="n">
        <x:f>IF('Inputs'!$D$9&lt;&gt;"Ready","n.a.",IF(ISNUMBER('Inputs'!E144),IF('Inputs'!E144&gt;=0,'Inputs'!E144,"n.a."),IF('Inputs'!E144="",'Inputs'!$D$6,"n.a.")))</x:f>
        <x:v>500</x:v>
      </x:c>
      <x:c r="F632" s="22" t="n">
        <x:f>IF(COUNT($N$632:$N$636)=5,SUM($N$632:$N$636),"n.a.")</x:f>
        <x:v>0</x:v>
      </x:c>
      <x:c r="G632" s="22" t="n">
        <x:f>IF(COUNT(E632:F632)=2,MAX(0,E632-F632),"n.a.")</x:f>
        <x:v>500</x:v>
      </x:c>
      <x:c r="H632" s="26" t="str">
        <x:f>'Inputs'!C11</x:f>
        <x:v>Card A</x:v>
      </x:c>
      <x:c r="I632" s="26" t="n">
        <x:f>S627</x:f>
        <x:v>0</x:v>
      </x:c>
      <x:c r="J632" s="29" t="n">
        <x:f>IF('Inputs'!$D$9="Ready",'Inputs'!E11,"n.a.")</x:f>
        <x:v>0.24</x:v>
      </x:c>
      <x:c r="K632" s="26" t="n">
        <x:f>IF('Inputs'!$D$9="Ready",'Inputs'!F11,"n.a.")</x:f>
        <x:v>35</x:v>
      </x:c>
      <x:c r="L632" s="29" t="n">
        <x:f>IF('Inputs'!$D$9="Ready",'Inputs'!G11,"n.a.")</x:f>
        <x:v>0.02</x:v>
      </x:c>
      <x:c r="M632" s="22" t="n">
        <x:f>IF(COUNT(I632:L632)=4,ROUND(I632*J632/12,2),"n.a.")</x:f>
        <x:v>0</x:v>
      </x:c>
      <x:c r="N632" s="22" t="n">
        <x:f>IF(COUNT(I632:M632)=5,MIN(I632+M632,ROUND(MAX(K632,I632*L632+M632),2)),"n.a.")</x:f>
        <x:v>0</x:v>
      </x:c>
      <x:c r="O632" s="30" t="n">
        <x:f>IF(COUNT($I$632:$I$636)&lt;&gt;5,"n.a.",IF(I632=0,6,IF('Inputs'!$D$5=1,COUNTIFS($I$632:$I$636,"&gt;0",$I$632:$I$636,"&lt;"&amp;I632)+COUNTIFS($I$632:I632,I632),COUNTIFS($I$632:$I$636,"&gt;0",$J$632:$J$636,"&gt;"&amp;J632)+COUNTIFS($I$632:I632,"&gt;0",$J$632:J632,J632))))</x:f>
        <x:v>6</x:v>
      </x:c>
      <x:c r="P632" s="22" t="n">
        <x:f>IF(T632="Ready",MIN(U632,MAX(0,G632-SUMIFS($U$632:$U$636,$O$632:$O$636,"&lt;"&amp;O632))),"n.a.")</x:f>
        <x:v>0</x:v>
      </x:c>
      <x:c r="Q632" s="22" t="n">
        <x:f>IF(T632="Ready",ROUND(N632+P632,2),"n.a.")</x:f>
        <x:v>0</x:v>
      </x:c>
      <x:c r="R632" s="22" t="n">
        <x:f>IF(T632="Ready",ROUND(Q632-M632,2),"n.a.")</x:f>
        <x:v>0</x:v>
      </x:c>
      <x:c r="S632" s="22" t="n">
        <x:f>IF(T632="Ready",MAX(0,ROUND(I632+M632-Q632,2)),"n.a.")</x:f>
        <x:v>0</x:v>
      </x:c>
      <x:c r="T632" s="22" t="str">
        <x:f>IF(AND(COUNT($I$632:$I$636)=5,COUNT(E632:F632)=2),IF(E632&gt;=F632,"Ready","Budget below minima"),"Check inputs")</x:f>
        <x:v>Ready</x:v>
      </x:c>
      <x:c r="U632" s="22" t="n">
        <x:f>IF(COUNT(I632,M632,N632)=3,MAX(0,ROUND(I632+M632-N632,2)),"n.a.")</x:f>
        <x:v>0</x:v>
      </x:c>
    </x:row>
    <x:row r="633" ht="22" customHeight="1">
      <x:c r="A633" s="2"/>
      <x:c r="B633" s="2"/>
      <x:c r="C633" s="27" t="n">
        <x:f>126</x:f>
        <x:v>126</x:v>
      </x:c>
      <x:c r="D633" s="28" t="n">
        <x:f>IF(ISNUMBER('Inputs'!$D$7),EDATE('Inputs'!$D$7,125),"n.a.")</x:f>
        <x:v>50131</x:v>
      </x:c>
      <x:c r="E633" s="26" t="n">
        <x:f>IF('Inputs'!$D$9&lt;&gt;"Ready","n.a.",IF(ISNUMBER('Inputs'!E144),IF('Inputs'!E144&gt;=0,'Inputs'!E144,"n.a."),IF('Inputs'!E144="",'Inputs'!$D$6,"n.a.")))</x:f>
        <x:v>500</x:v>
      </x:c>
      <x:c r="F633" s="22" t="n">
        <x:f>IF(COUNT($N$632:$N$636)=5,SUM($N$632:$N$636),"n.a.")</x:f>
        <x:v>0</x:v>
      </x:c>
      <x:c r="G633" s="22" t="n">
        <x:f>IF(COUNT(E633:F633)=2,MAX(0,E633-F633),"n.a.")</x:f>
        <x:v>500</x:v>
      </x:c>
      <x:c r="H633" s="26" t="str">
        <x:f>'Inputs'!C12</x:f>
        <x:v>Card B</x:v>
      </x:c>
      <x:c r="I633" s="26" t="n">
        <x:f>S628</x:f>
        <x:v>0</x:v>
      </x:c>
      <x:c r="J633" s="29" t="n">
        <x:f>IF('Inputs'!$D$9="Ready",'Inputs'!E12,"n.a.")</x:f>
        <x:v>0.18</x:v>
      </x:c>
      <x:c r="K633" s="26" t="n">
        <x:f>IF('Inputs'!$D$9="Ready",'Inputs'!F12,"n.a.")</x:f>
        <x:v>60</x:v>
      </x:c>
      <x:c r="L633" s="29" t="n">
        <x:f>IF('Inputs'!$D$9="Ready",'Inputs'!G12,"n.a.")</x:f>
        <x:v>0.02</x:v>
      </x:c>
      <x:c r="M633" s="22" t="n">
        <x:f>IF(COUNT(I633:L633)=4,ROUND(I633*J633/12,2),"n.a.")</x:f>
        <x:v>0</x:v>
      </x:c>
      <x:c r="N633" s="22" t="n">
        <x:f>IF(COUNT(I633:M633)=5,MIN(I633+M633,ROUND(MAX(K633,I633*L633+M633),2)),"n.a.")</x:f>
        <x:v>0</x:v>
      </x:c>
      <x:c r="O633" s="30" t="n">
        <x:f>IF(COUNT($I$632:$I$636)&lt;&gt;5,"n.a.",IF(I633=0,6,IF('Inputs'!$D$5=1,COUNTIFS($I$632:$I$636,"&gt;0",$I$632:$I$636,"&lt;"&amp;I633)+COUNTIFS($I$632:I633,I633),COUNTIFS($I$632:$I$636,"&gt;0",$J$632:$J$636,"&gt;"&amp;J633)+COUNTIFS($I$632:I633,"&gt;0",$J$632:J633,J633))))</x:f>
        <x:v>6</x:v>
      </x:c>
      <x:c r="P633" s="22" t="n">
        <x:f>IF(T633="Ready",MIN(U633,MAX(0,G633-SUMIFS($U$632:$U$636,$O$632:$O$636,"&lt;"&amp;O633))),"n.a.")</x:f>
        <x:v>0</x:v>
      </x:c>
      <x:c r="Q633" s="22" t="n">
        <x:f>IF(T633="Ready",ROUND(N633+P633,2),"n.a.")</x:f>
        <x:v>0</x:v>
      </x:c>
      <x:c r="R633" s="22" t="n">
        <x:f>IF(T633="Ready",ROUND(Q633-M633,2),"n.a.")</x:f>
        <x:v>0</x:v>
      </x:c>
      <x:c r="S633" s="22" t="n">
        <x:f>IF(T633="Ready",MAX(0,ROUND(I633+M633-Q633,2)),"n.a.")</x:f>
        <x:v>0</x:v>
      </x:c>
      <x:c r="T633" s="22" t="str">
        <x:f>IF(AND(COUNT($I$632:$I$636)=5,COUNT(E633:F633)=2),IF(E633&gt;=F633,"Ready","Budget below minima"),"Check inputs")</x:f>
        <x:v>Ready</x:v>
      </x:c>
      <x:c r="U633" s="22" t="n">
        <x:f>IF(COUNT(I633,M633,N633)=3,MAX(0,ROUND(I633+M633-N633,2)),"n.a.")</x:f>
        <x:v>0</x:v>
      </x:c>
    </x:row>
    <x:row r="634" ht="22" customHeight="1">
      <x:c r="A634" s="2"/>
      <x:c r="B634" s="2"/>
      <x:c r="C634" s="27" t="n">
        <x:f>126</x:f>
        <x:v>126</x:v>
      </x:c>
      <x:c r="D634" s="28" t="n">
        <x:f>IF(ISNUMBER('Inputs'!$D$7),EDATE('Inputs'!$D$7,125),"n.a.")</x:f>
        <x:v>50131</x:v>
      </x:c>
      <x:c r="E634" s="26" t="n">
        <x:f>IF('Inputs'!$D$9&lt;&gt;"Ready","n.a.",IF(ISNUMBER('Inputs'!E144),IF('Inputs'!E144&gt;=0,'Inputs'!E144,"n.a."),IF('Inputs'!E144="",'Inputs'!$D$6,"n.a.")))</x:f>
        <x:v>500</x:v>
      </x:c>
      <x:c r="F634" s="22" t="n">
        <x:f>IF(COUNT($N$632:$N$636)=5,SUM($N$632:$N$636),"n.a.")</x:f>
        <x:v>0</x:v>
      </x:c>
      <x:c r="G634" s="22" t="n">
        <x:f>IF(COUNT(E634:F634)=2,MAX(0,E634-F634),"n.a.")</x:f>
        <x:v>500</x:v>
      </x:c>
      <x:c r="H634" s="26" t="str">
        <x:f>'Inputs'!C13</x:f>
        <x:v>Loan C</x:v>
      </x:c>
      <x:c r="I634" s="26" t="n">
        <x:f>S629</x:f>
        <x:v>0</x:v>
      </x:c>
      <x:c r="J634" s="29" t="n">
        <x:f>IF('Inputs'!$D$9="Ready",'Inputs'!E13,"n.a.")</x:f>
        <x:v>0.08</x:v>
      </x:c>
      <x:c r="K634" s="26" t="n">
        <x:f>IF('Inputs'!$D$9="Ready",'Inputs'!F13,"n.a.")</x:f>
        <x:v>150</x:v>
      </x:c>
      <x:c r="L634" s="29" t="n">
        <x:f>IF('Inputs'!$D$9="Ready",'Inputs'!G13,"n.a.")</x:f>
        <x:v>0</x:v>
      </x:c>
      <x:c r="M634" s="22" t="n">
        <x:f>IF(COUNT(I634:L634)=4,ROUND(I634*J634/12,2),"n.a.")</x:f>
        <x:v>0</x:v>
      </x:c>
      <x:c r="N634" s="22" t="n">
        <x:f>IF(COUNT(I634:M634)=5,MIN(I634+M634,ROUND(MAX(K634,I634*L634+M634),2)),"n.a.")</x:f>
        <x:v>0</x:v>
      </x:c>
      <x:c r="O634" s="30" t="n">
        <x:f>IF(COUNT($I$632:$I$636)&lt;&gt;5,"n.a.",IF(I634=0,6,IF('Inputs'!$D$5=1,COUNTIFS($I$632:$I$636,"&gt;0",$I$632:$I$636,"&lt;"&amp;I634)+COUNTIFS($I$632:I634,I634),COUNTIFS($I$632:$I$636,"&gt;0",$J$632:$J$636,"&gt;"&amp;J634)+COUNTIFS($I$632:I634,"&gt;0",$J$632:J634,J634))))</x:f>
        <x:v>6</x:v>
      </x:c>
      <x:c r="P634" s="22" t="n">
        <x:f>IF(T634="Ready",MIN(U634,MAX(0,G634-SUMIFS($U$632:$U$636,$O$632:$O$636,"&lt;"&amp;O634))),"n.a.")</x:f>
        <x:v>0</x:v>
      </x:c>
      <x:c r="Q634" s="22" t="n">
        <x:f>IF(T634="Ready",ROUND(N634+P634,2),"n.a.")</x:f>
        <x:v>0</x:v>
      </x:c>
      <x:c r="R634" s="22" t="n">
        <x:f>IF(T634="Ready",ROUND(Q634-M634,2),"n.a.")</x:f>
        <x:v>0</x:v>
      </x:c>
      <x:c r="S634" s="22" t="n">
        <x:f>IF(T634="Ready",MAX(0,ROUND(I634+M634-Q634,2)),"n.a.")</x:f>
        <x:v>0</x:v>
      </x:c>
      <x:c r="T634" s="22" t="str">
        <x:f>IF(AND(COUNT($I$632:$I$636)=5,COUNT(E634:F634)=2),IF(E634&gt;=F634,"Ready","Budget below minima"),"Check inputs")</x:f>
        <x:v>Ready</x:v>
      </x:c>
      <x:c r="U634" s="22" t="n">
        <x:f>IF(COUNT(I634,M634,N634)=3,MAX(0,ROUND(I634+M634-N634,2)),"n.a.")</x:f>
        <x:v>0</x:v>
      </x:c>
    </x:row>
    <x:row r="635" ht="22" customHeight="1">
      <x:c r="A635" s="2"/>
      <x:c r="B635" s="2"/>
      <x:c r="C635" s="27" t="n">
        <x:f>126</x:f>
        <x:v>126</x:v>
      </x:c>
      <x:c r="D635" s="28" t="n">
        <x:f>IF(ISNUMBER('Inputs'!$D$7),EDATE('Inputs'!$D$7,125),"n.a.")</x:f>
        <x:v>50131</x:v>
      </x:c>
      <x:c r="E635" s="26" t="n">
        <x:f>IF('Inputs'!$D$9&lt;&gt;"Ready","n.a.",IF(ISNUMBER('Inputs'!E144),IF('Inputs'!E144&gt;=0,'Inputs'!E144,"n.a."),IF('Inputs'!E144="",'Inputs'!$D$6,"n.a.")))</x:f>
        <x:v>500</x:v>
      </x:c>
      <x:c r="F635" s="22" t="n">
        <x:f>IF(COUNT($N$632:$N$636)=5,SUM($N$632:$N$636),"n.a.")</x:f>
        <x:v>0</x:v>
      </x:c>
      <x:c r="G635" s="22" t="n">
        <x:f>IF(COUNT(E635:F635)=2,MAX(0,E635-F635),"n.a.")</x:f>
        <x:v>500</x:v>
      </x:c>
      <x:c r="H635" s="26" t="str">
        <x:f>'Inputs'!C14</x:f>
        <x:v>Unused 4</x:v>
      </x:c>
      <x:c r="I635" s="26" t="n">
        <x:f>S630</x:f>
        <x:v>0</x:v>
      </x:c>
      <x:c r="J635" s="29" t="n">
        <x:f>IF('Inputs'!$D$9="Ready",'Inputs'!E14,"n.a.")</x:f>
        <x:v>0</x:v>
      </x:c>
      <x:c r="K635" s="26" t="n">
        <x:f>IF('Inputs'!$D$9="Ready",'Inputs'!F14,"n.a.")</x:f>
        <x:v>0</x:v>
      </x:c>
      <x:c r="L635" s="29" t="n">
        <x:f>IF('Inputs'!$D$9="Ready",'Inputs'!G14,"n.a.")</x:f>
        <x:v>0</x:v>
      </x:c>
      <x:c r="M635" s="22" t="n">
        <x:f>IF(COUNT(I635:L635)=4,ROUND(I635*J635/12,2),"n.a.")</x:f>
        <x:v>0</x:v>
      </x:c>
      <x:c r="N635" s="22" t="n">
        <x:f>IF(COUNT(I635:M635)=5,MIN(I635+M635,ROUND(MAX(K635,I635*L635+M635),2)),"n.a.")</x:f>
        <x:v>0</x:v>
      </x:c>
      <x:c r="O635" s="30" t="n">
        <x:f>IF(COUNT($I$632:$I$636)&lt;&gt;5,"n.a.",IF(I635=0,6,IF('Inputs'!$D$5=1,COUNTIFS($I$632:$I$636,"&gt;0",$I$632:$I$636,"&lt;"&amp;I635)+COUNTIFS($I$632:I635,I635),COUNTIFS($I$632:$I$636,"&gt;0",$J$632:$J$636,"&gt;"&amp;J635)+COUNTIFS($I$632:I635,"&gt;0",$J$632:J635,J635))))</x:f>
        <x:v>6</x:v>
      </x:c>
      <x:c r="P635" s="22" t="n">
        <x:f>IF(T635="Ready",MIN(U635,MAX(0,G635-SUMIFS($U$632:$U$636,$O$632:$O$636,"&lt;"&amp;O635))),"n.a.")</x:f>
        <x:v>0</x:v>
      </x:c>
      <x:c r="Q635" s="22" t="n">
        <x:f>IF(T635="Ready",ROUND(N635+P635,2),"n.a.")</x:f>
        <x:v>0</x:v>
      </x:c>
      <x:c r="R635" s="22" t="n">
        <x:f>IF(T635="Ready",ROUND(Q635-M635,2),"n.a.")</x:f>
        <x:v>0</x:v>
      </x:c>
      <x:c r="S635" s="22" t="n">
        <x:f>IF(T635="Ready",MAX(0,ROUND(I635+M635-Q635,2)),"n.a.")</x:f>
        <x:v>0</x:v>
      </x:c>
      <x:c r="T635" s="22" t="str">
        <x:f>IF(AND(COUNT($I$632:$I$636)=5,COUNT(E635:F635)=2),IF(E635&gt;=F635,"Ready","Budget below minima"),"Check inputs")</x:f>
        <x:v>Ready</x:v>
      </x:c>
      <x:c r="U635" s="22" t="n">
        <x:f>IF(COUNT(I635,M635,N635)=3,MAX(0,ROUND(I635+M635-N635,2)),"n.a.")</x:f>
        <x:v>0</x:v>
      </x:c>
    </x:row>
    <x:row r="636" ht="22" customHeight="1">
      <x:c r="A636" s="2"/>
      <x:c r="B636" s="2"/>
      <x:c r="C636" s="27" t="n">
        <x:f>126</x:f>
        <x:v>126</x:v>
      </x:c>
      <x:c r="D636" s="28" t="n">
        <x:f>IF(ISNUMBER('Inputs'!$D$7),EDATE('Inputs'!$D$7,125),"n.a.")</x:f>
        <x:v>50131</x:v>
      </x:c>
      <x:c r="E636" s="26" t="n">
        <x:f>IF('Inputs'!$D$9&lt;&gt;"Ready","n.a.",IF(ISNUMBER('Inputs'!E144),IF('Inputs'!E144&gt;=0,'Inputs'!E144,"n.a."),IF('Inputs'!E144="",'Inputs'!$D$6,"n.a.")))</x:f>
        <x:v>500</x:v>
      </x:c>
      <x:c r="F636" s="22" t="n">
        <x:f>IF(COUNT($N$632:$N$636)=5,SUM($N$632:$N$636),"n.a.")</x:f>
        <x:v>0</x:v>
      </x:c>
      <x:c r="G636" s="22" t="n">
        <x:f>IF(COUNT(E636:F636)=2,MAX(0,E636-F636),"n.a.")</x:f>
        <x:v>500</x:v>
      </x:c>
      <x:c r="H636" s="26" t="str">
        <x:f>'Inputs'!C15</x:f>
        <x:v>Unused 5</x:v>
      </x:c>
      <x:c r="I636" s="26" t="n">
        <x:f>S631</x:f>
        <x:v>0</x:v>
      </x:c>
      <x:c r="J636" s="29" t="n">
        <x:f>IF('Inputs'!$D$9="Ready",'Inputs'!E15,"n.a.")</x:f>
        <x:v>0</x:v>
      </x:c>
      <x:c r="K636" s="26" t="n">
        <x:f>IF('Inputs'!$D$9="Ready",'Inputs'!F15,"n.a.")</x:f>
        <x:v>0</x:v>
      </x:c>
      <x:c r="L636" s="29" t="n">
        <x:f>IF('Inputs'!$D$9="Ready",'Inputs'!G15,"n.a.")</x:f>
        <x:v>0</x:v>
      </x:c>
      <x:c r="M636" s="22" t="n">
        <x:f>IF(COUNT(I636:L636)=4,ROUND(I636*J636/12,2),"n.a.")</x:f>
        <x:v>0</x:v>
      </x:c>
      <x:c r="N636" s="22" t="n">
        <x:f>IF(COUNT(I636:M636)=5,MIN(I636+M636,ROUND(MAX(K636,I636*L636+M636),2)),"n.a.")</x:f>
        <x:v>0</x:v>
      </x:c>
      <x:c r="O636" s="30" t="n">
        <x:f>IF(COUNT($I$632:$I$636)&lt;&gt;5,"n.a.",IF(I636=0,6,IF('Inputs'!$D$5=1,COUNTIFS($I$632:$I$636,"&gt;0",$I$632:$I$636,"&lt;"&amp;I636)+COUNTIFS($I$632:I636,I636),COUNTIFS($I$632:$I$636,"&gt;0",$J$632:$J$636,"&gt;"&amp;J636)+COUNTIFS($I$632:I636,"&gt;0",$J$632:J636,J636))))</x:f>
        <x:v>6</x:v>
      </x:c>
      <x:c r="P636" s="22" t="n">
        <x:f>IF(T636="Ready",MIN(U636,MAX(0,G636-SUMIFS($U$632:$U$636,$O$632:$O$636,"&lt;"&amp;O636))),"n.a.")</x:f>
        <x:v>0</x:v>
      </x:c>
      <x:c r="Q636" s="22" t="n">
        <x:f>IF(T636="Ready",ROUND(N636+P636,2),"n.a.")</x:f>
        <x:v>0</x:v>
      </x:c>
      <x:c r="R636" s="22" t="n">
        <x:f>IF(T636="Ready",ROUND(Q636-M636,2),"n.a.")</x:f>
        <x:v>0</x:v>
      </x:c>
      <x:c r="S636" s="22" t="n">
        <x:f>IF(T636="Ready",MAX(0,ROUND(I636+M636-Q636,2)),"n.a.")</x:f>
        <x:v>0</x:v>
      </x:c>
      <x:c r="T636" s="22" t="str">
        <x:f>IF(AND(COUNT($I$632:$I$636)=5,COUNT(E636:F636)=2),IF(E636&gt;=F636,"Ready","Budget below minima"),"Check inputs")</x:f>
        <x:v>Ready</x:v>
      </x:c>
      <x:c r="U636" s="22" t="n">
        <x:f>IF(COUNT(I636,M636,N636)=3,MAX(0,ROUND(I636+M636-N636,2)),"n.a.")</x:f>
        <x:v>0</x:v>
      </x:c>
    </x:row>
    <x:row r="637" ht="22" customHeight="1">
      <x:c r="A637" s="2"/>
      <x:c r="B637" s="2"/>
      <x:c r="C637" s="27" t="n">
        <x:f>127</x:f>
        <x:v>127</x:v>
      </x:c>
      <x:c r="D637" s="28" t="n">
        <x:f>IF(ISNUMBER('Inputs'!$D$7),EDATE('Inputs'!$D$7,126),"n.a.")</x:f>
        <x:v>50161</x:v>
      </x:c>
      <x:c r="E637" s="26" t="n">
        <x:f>IF('Inputs'!$D$9&lt;&gt;"Ready","n.a.",IF(ISNUMBER('Inputs'!E145),IF('Inputs'!E145&gt;=0,'Inputs'!E145,"n.a."),IF('Inputs'!E145="",'Inputs'!$D$6,"n.a.")))</x:f>
        <x:v>500</x:v>
      </x:c>
      <x:c r="F637" s="22" t="n">
        <x:f>IF(COUNT($N$637:$N$641)=5,SUM($N$637:$N$641),"n.a.")</x:f>
        <x:v>0</x:v>
      </x:c>
      <x:c r="G637" s="22" t="n">
        <x:f>IF(COUNT(E637:F637)=2,MAX(0,E637-F637),"n.a.")</x:f>
        <x:v>500</x:v>
      </x:c>
      <x:c r="H637" s="26" t="str">
        <x:f>'Inputs'!C11</x:f>
        <x:v>Card A</x:v>
      </x:c>
      <x:c r="I637" s="26" t="n">
        <x:f>S632</x:f>
        <x:v>0</x:v>
      </x:c>
      <x:c r="J637" s="29" t="n">
        <x:f>IF('Inputs'!$D$9="Ready",'Inputs'!E11,"n.a.")</x:f>
        <x:v>0.24</x:v>
      </x:c>
      <x:c r="K637" s="26" t="n">
        <x:f>IF('Inputs'!$D$9="Ready",'Inputs'!F11,"n.a.")</x:f>
        <x:v>35</x:v>
      </x:c>
      <x:c r="L637" s="29" t="n">
        <x:f>IF('Inputs'!$D$9="Ready",'Inputs'!G11,"n.a.")</x:f>
        <x:v>0.02</x:v>
      </x:c>
      <x:c r="M637" s="22" t="n">
        <x:f>IF(COUNT(I637:L637)=4,ROUND(I637*J637/12,2),"n.a.")</x:f>
        <x:v>0</x:v>
      </x:c>
      <x:c r="N637" s="22" t="n">
        <x:f>IF(COUNT(I637:M637)=5,MIN(I637+M637,ROUND(MAX(K637,I637*L637+M637),2)),"n.a.")</x:f>
        <x:v>0</x:v>
      </x:c>
      <x:c r="O637" s="30" t="n">
        <x:f>IF(COUNT($I$637:$I$641)&lt;&gt;5,"n.a.",IF(I637=0,6,IF('Inputs'!$D$5=1,COUNTIFS($I$637:$I$641,"&gt;0",$I$637:$I$641,"&lt;"&amp;I637)+COUNTIFS($I$637:I637,I637),COUNTIFS($I$637:$I$641,"&gt;0",$J$637:$J$641,"&gt;"&amp;J637)+COUNTIFS($I$637:I637,"&gt;0",$J$637:J637,J637))))</x:f>
        <x:v>6</x:v>
      </x:c>
      <x:c r="P637" s="22" t="n">
        <x:f>IF(T637="Ready",MIN(U637,MAX(0,G637-SUMIFS($U$637:$U$641,$O$637:$O$641,"&lt;"&amp;O637))),"n.a.")</x:f>
        <x:v>0</x:v>
      </x:c>
      <x:c r="Q637" s="22" t="n">
        <x:f>IF(T637="Ready",ROUND(N637+P637,2),"n.a.")</x:f>
        <x:v>0</x:v>
      </x:c>
      <x:c r="R637" s="22" t="n">
        <x:f>IF(T637="Ready",ROUND(Q637-M637,2),"n.a.")</x:f>
        <x:v>0</x:v>
      </x:c>
      <x:c r="S637" s="22" t="n">
        <x:f>IF(T637="Ready",MAX(0,ROUND(I637+M637-Q637,2)),"n.a.")</x:f>
        <x:v>0</x:v>
      </x:c>
      <x:c r="T637" s="22" t="str">
        <x:f>IF(AND(COUNT($I$637:$I$641)=5,COUNT(E637:F637)=2),IF(E637&gt;=F637,"Ready","Budget below minima"),"Check inputs")</x:f>
        <x:v>Ready</x:v>
      </x:c>
      <x:c r="U637" s="22" t="n">
        <x:f>IF(COUNT(I637,M637,N637)=3,MAX(0,ROUND(I637+M637-N637,2)),"n.a.")</x:f>
        <x:v>0</x:v>
      </x:c>
    </x:row>
    <x:row r="638" ht="22" customHeight="1">
      <x:c r="A638" s="2"/>
      <x:c r="B638" s="2"/>
      <x:c r="C638" s="27" t="n">
        <x:f>127</x:f>
        <x:v>127</x:v>
      </x:c>
      <x:c r="D638" s="28" t="n">
        <x:f>IF(ISNUMBER('Inputs'!$D$7),EDATE('Inputs'!$D$7,126),"n.a.")</x:f>
        <x:v>50161</x:v>
      </x:c>
      <x:c r="E638" s="26" t="n">
        <x:f>IF('Inputs'!$D$9&lt;&gt;"Ready","n.a.",IF(ISNUMBER('Inputs'!E145),IF('Inputs'!E145&gt;=0,'Inputs'!E145,"n.a."),IF('Inputs'!E145="",'Inputs'!$D$6,"n.a.")))</x:f>
        <x:v>500</x:v>
      </x:c>
      <x:c r="F638" s="22" t="n">
        <x:f>IF(COUNT($N$637:$N$641)=5,SUM($N$637:$N$641),"n.a.")</x:f>
        <x:v>0</x:v>
      </x:c>
      <x:c r="G638" s="22" t="n">
        <x:f>IF(COUNT(E638:F638)=2,MAX(0,E638-F638),"n.a.")</x:f>
        <x:v>500</x:v>
      </x:c>
      <x:c r="H638" s="26" t="str">
        <x:f>'Inputs'!C12</x:f>
        <x:v>Card B</x:v>
      </x:c>
      <x:c r="I638" s="26" t="n">
        <x:f>S633</x:f>
        <x:v>0</x:v>
      </x:c>
      <x:c r="J638" s="29" t="n">
        <x:f>IF('Inputs'!$D$9="Ready",'Inputs'!E12,"n.a.")</x:f>
        <x:v>0.18</x:v>
      </x:c>
      <x:c r="K638" s="26" t="n">
        <x:f>IF('Inputs'!$D$9="Ready",'Inputs'!F12,"n.a.")</x:f>
        <x:v>60</x:v>
      </x:c>
      <x:c r="L638" s="29" t="n">
        <x:f>IF('Inputs'!$D$9="Ready",'Inputs'!G12,"n.a.")</x:f>
        <x:v>0.02</x:v>
      </x:c>
      <x:c r="M638" s="22" t="n">
        <x:f>IF(COUNT(I638:L638)=4,ROUND(I638*J638/12,2),"n.a.")</x:f>
        <x:v>0</x:v>
      </x:c>
      <x:c r="N638" s="22" t="n">
        <x:f>IF(COUNT(I638:M638)=5,MIN(I638+M638,ROUND(MAX(K638,I638*L638+M638),2)),"n.a.")</x:f>
        <x:v>0</x:v>
      </x:c>
      <x:c r="O638" s="30" t="n">
        <x:f>IF(COUNT($I$637:$I$641)&lt;&gt;5,"n.a.",IF(I638=0,6,IF('Inputs'!$D$5=1,COUNTIFS($I$637:$I$641,"&gt;0",$I$637:$I$641,"&lt;"&amp;I638)+COUNTIFS($I$637:I638,I638),COUNTIFS($I$637:$I$641,"&gt;0",$J$637:$J$641,"&gt;"&amp;J638)+COUNTIFS($I$637:I638,"&gt;0",$J$637:J638,J638))))</x:f>
        <x:v>6</x:v>
      </x:c>
      <x:c r="P638" s="22" t="n">
        <x:f>IF(T638="Ready",MIN(U638,MAX(0,G638-SUMIFS($U$637:$U$641,$O$637:$O$641,"&lt;"&amp;O638))),"n.a.")</x:f>
        <x:v>0</x:v>
      </x:c>
      <x:c r="Q638" s="22" t="n">
        <x:f>IF(T638="Ready",ROUND(N638+P638,2),"n.a.")</x:f>
        <x:v>0</x:v>
      </x:c>
      <x:c r="R638" s="22" t="n">
        <x:f>IF(T638="Ready",ROUND(Q638-M638,2),"n.a.")</x:f>
        <x:v>0</x:v>
      </x:c>
      <x:c r="S638" s="22" t="n">
        <x:f>IF(T638="Ready",MAX(0,ROUND(I638+M638-Q638,2)),"n.a.")</x:f>
        <x:v>0</x:v>
      </x:c>
      <x:c r="T638" s="22" t="str">
        <x:f>IF(AND(COUNT($I$637:$I$641)=5,COUNT(E638:F638)=2),IF(E638&gt;=F638,"Ready","Budget below minima"),"Check inputs")</x:f>
        <x:v>Ready</x:v>
      </x:c>
      <x:c r="U638" s="22" t="n">
        <x:f>IF(COUNT(I638,M638,N638)=3,MAX(0,ROUND(I638+M638-N638,2)),"n.a.")</x:f>
        <x:v>0</x:v>
      </x:c>
    </x:row>
    <x:row r="639" ht="22" customHeight="1">
      <x:c r="A639" s="2"/>
      <x:c r="B639" s="2"/>
      <x:c r="C639" s="27" t="n">
        <x:f>127</x:f>
        <x:v>127</x:v>
      </x:c>
      <x:c r="D639" s="28" t="n">
        <x:f>IF(ISNUMBER('Inputs'!$D$7),EDATE('Inputs'!$D$7,126),"n.a.")</x:f>
        <x:v>50161</x:v>
      </x:c>
      <x:c r="E639" s="26" t="n">
        <x:f>IF('Inputs'!$D$9&lt;&gt;"Ready","n.a.",IF(ISNUMBER('Inputs'!E145),IF('Inputs'!E145&gt;=0,'Inputs'!E145,"n.a."),IF('Inputs'!E145="",'Inputs'!$D$6,"n.a.")))</x:f>
        <x:v>500</x:v>
      </x:c>
      <x:c r="F639" s="22" t="n">
        <x:f>IF(COUNT($N$637:$N$641)=5,SUM($N$637:$N$641),"n.a.")</x:f>
        <x:v>0</x:v>
      </x:c>
      <x:c r="G639" s="22" t="n">
        <x:f>IF(COUNT(E639:F639)=2,MAX(0,E639-F639),"n.a.")</x:f>
        <x:v>500</x:v>
      </x:c>
      <x:c r="H639" s="26" t="str">
        <x:f>'Inputs'!C13</x:f>
        <x:v>Loan C</x:v>
      </x:c>
      <x:c r="I639" s="26" t="n">
        <x:f>S634</x:f>
        <x:v>0</x:v>
      </x:c>
      <x:c r="J639" s="29" t="n">
        <x:f>IF('Inputs'!$D$9="Ready",'Inputs'!E13,"n.a.")</x:f>
        <x:v>0.08</x:v>
      </x:c>
      <x:c r="K639" s="26" t="n">
        <x:f>IF('Inputs'!$D$9="Ready",'Inputs'!F13,"n.a.")</x:f>
        <x:v>150</x:v>
      </x:c>
      <x:c r="L639" s="29" t="n">
        <x:f>IF('Inputs'!$D$9="Ready",'Inputs'!G13,"n.a.")</x:f>
        <x:v>0</x:v>
      </x:c>
      <x:c r="M639" s="22" t="n">
        <x:f>IF(COUNT(I639:L639)=4,ROUND(I639*J639/12,2),"n.a.")</x:f>
        <x:v>0</x:v>
      </x:c>
      <x:c r="N639" s="22" t="n">
        <x:f>IF(COUNT(I639:M639)=5,MIN(I639+M639,ROUND(MAX(K639,I639*L639+M639),2)),"n.a.")</x:f>
        <x:v>0</x:v>
      </x:c>
      <x:c r="O639" s="30" t="n">
        <x:f>IF(COUNT($I$637:$I$641)&lt;&gt;5,"n.a.",IF(I639=0,6,IF('Inputs'!$D$5=1,COUNTIFS($I$637:$I$641,"&gt;0",$I$637:$I$641,"&lt;"&amp;I639)+COUNTIFS($I$637:I639,I639),COUNTIFS($I$637:$I$641,"&gt;0",$J$637:$J$641,"&gt;"&amp;J639)+COUNTIFS($I$637:I639,"&gt;0",$J$637:J639,J639))))</x:f>
        <x:v>6</x:v>
      </x:c>
      <x:c r="P639" s="22" t="n">
        <x:f>IF(T639="Ready",MIN(U639,MAX(0,G639-SUMIFS($U$637:$U$641,$O$637:$O$641,"&lt;"&amp;O639))),"n.a.")</x:f>
        <x:v>0</x:v>
      </x:c>
      <x:c r="Q639" s="22" t="n">
        <x:f>IF(T639="Ready",ROUND(N639+P639,2),"n.a.")</x:f>
        <x:v>0</x:v>
      </x:c>
      <x:c r="R639" s="22" t="n">
        <x:f>IF(T639="Ready",ROUND(Q639-M639,2),"n.a.")</x:f>
        <x:v>0</x:v>
      </x:c>
      <x:c r="S639" s="22" t="n">
        <x:f>IF(T639="Ready",MAX(0,ROUND(I639+M639-Q639,2)),"n.a.")</x:f>
        <x:v>0</x:v>
      </x:c>
      <x:c r="T639" s="22" t="str">
        <x:f>IF(AND(COUNT($I$637:$I$641)=5,COUNT(E639:F639)=2),IF(E639&gt;=F639,"Ready","Budget below minima"),"Check inputs")</x:f>
        <x:v>Ready</x:v>
      </x:c>
      <x:c r="U639" s="22" t="n">
        <x:f>IF(COUNT(I639,M639,N639)=3,MAX(0,ROUND(I639+M639-N639,2)),"n.a.")</x:f>
        <x:v>0</x:v>
      </x:c>
    </x:row>
    <x:row r="640" ht="22" customHeight="1">
      <x:c r="A640" s="2"/>
      <x:c r="B640" s="2"/>
      <x:c r="C640" s="27" t="n">
        <x:f>127</x:f>
        <x:v>127</x:v>
      </x:c>
      <x:c r="D640" s="28" t="n">
        <x:f>IF(ISNUMBER('Inputs'!$D$7),EDATE('Inputs'!$D$7,126),"n.a.")</x:f>
        <x:v>50161</x:v>
      </x:c>
      <x:c r="E640" s="26" t="n">
        <x:f>IF('Inputs'!$D$9&lt;&gt;"Ready","n.a.",IF(ISNUMBER('Inputs'!E145),IF('Inputs'!E145&gt;=0,'Inputs'!E145,"n.a."),IF('Inputs'!E145="",'Inputs'!$D$6,"n.a.")))</x:f>
        <x:v>500</x:v>
      </x:c>
      <x:c r="F640" s="22" t="n">
        <x:f>IF(COUNT($N$637:$N$641)=5,SUM($N$637:$N$641),"n.a.")</x:f>
        <x:v>0</x:v>
      </x:c>
      <x:c r="G640" s="22" t="n">
        <x:f>IF(COUNT(E640:F640)=2,MAX(0,E640-F640),"n.a.")</x:f>
        <x:v>500</x:v>
      </x:c>
      <x:c r="H640" s="26" t="str">
        <x:f>'Inputs'!C14</x:f>
        <x:v>Unused 4</x:v>
      </x:c>
      <x:c r="I640" s="26" t="n">
        <x:f>S635</x:f>
        <x:v>0</x:v>
      </x:c>
      <x:c r="J640" s="29" t="n">
        <x:f>IF('Inputs'!$D$9="Ready",'Inputs'!E14,"n.a.")</x:f>
        <x:v>0</x:v>
      </x:c>
      <x:c r="K640" s="26" t="n">
        <x:f>IF('Inputs'!$D$9="Ready",'Inputs'!F14,"n.a.")</x:f>
        <x:v>0</x:v>
      </x:c>
      <x:c r="L640" s="29" t="n">
        <x:f>IF('Inputs'!$D$9="Ready",'Inputs'!G14,"n.a.")</x:f>
        <x:v>0</x:v>
      </x:c>
      <x:c r="M640" s="22" t="n">
        <x:f>IF(COUNT(I640:L640)=4,ROUND(I640*J640/12,2),"n.a.")</x:f>
        <x:v>0</x:v>
      </x:c>
      <x:c r="N640" s="22" t="n">
        <x:f>IF(COUNT(I640:M640)=5,MIN(I640+M640,ROUND(MAX(K640,I640*L640+M640),2)),"n.a.")</x:f>
        <x:v>0</x:v>
      </x:c>
      <x:c r="O640" s="30" t="n">
        <x:f>IF(COUNT($I$637:$I$641)&lt;&gt;5,"n.a.",IF(I640=0,6,IF('Inputs'!$D$5=1,COUNTIFS($I$637:$I$641,"&gt;0",$I$637:$I$641,"&lt;"&amp;I640)+COUNTIFS($I$637:I640,I640),COUNTIFS($I$637:$I$641,"&gt;0",$J$637:$J$641,"&gt;"&amp;J640)+COUNTIFS($I$637:I640,"&gt;0",$J$637:J640,J640))))</x:f>
        <x:v>6</x:v>
      </x:c>
      <x:c r="P640" s="22" t="n">
        <x:f>IF(T640="Ready",MIN(U640,MAX(0,G640-SUMIFS($U$637:$U$641,$O$637:$O$641,"&lt;"&amp;O640))),"n.a.")</x:f>
        <x:v>0</x:v>
      </x:c>
      <x:c r="Q640" s="22" t="n">
        <x:f>IF(T640="Ready",ROUND(N640+P640,2),"n.a.")</x:f>
        <x:v>0</x:v>
      </x:c>
      <x:c r="R640" s="22" t="n">
        <x:f>IF(T640="Ready",ROUND(Q640-M640,2),"n.a.")</x:f>
        <x:v>0</x:v>
      </x:c>
      <x:c r="S640" s="22" t="n">
        <x:f>IF(T640="Ready",MAX(0,ROUND(I640+M640-Q640,2)),"n.a.")</x:f>
        <x:v>0</x:v>
      </x:c>
      <x:c r="T640" s="22" t="str">
        <x:f>IF(AND(COUNT($I$637:$I$641)=5,COUNT(E640:F640)=2),IF(E640&gt;=F640,"Ready","Budget below minima"),"Check inputs")</x:f>
        <x:v>Ready</x:v>
      </x:c>
      <x:c r="U640" s="22" t="n">
        <x:f>IF(COUNT(I640,M640,N640)=3,MAX(0,ROUND(I640+M640-N640,2)),"n.a.")</x:f>
        <x:v>0</x:v>
      </x:c>
    </x:row>
    <x:row r="641" ht="22" customHeight="1">
      <x:c r="A641" s="2"/>
      <x:c r="B641" s="2"/>
      <x:c r="C641" s="27" t="n">
        <x:f>127</x:f>
        <x:v>127</x:v>
      </x:c>
      <x:c r="D641" s="28" t="n">
        <x:f>IF(ISNUMBER('Inputs'!$D$7),EDATE('Inputs'!$D$7,126),"n.a.")</x:f>
        <x:v>50161</x:v>
      </x:c>
      <x:c r="E641" s="26" t="n">
        <x:f>IF('Inputs'!$D$9&lt;&gt;"Ready","n.a.",IF(ISNUMBER('Inputs'!E145),IF('Inputs'!E145&gt;=0,'Inputs'!E145,"n.a."),IF('Inputs'!E145="",'Inputs'!$D$6,"n.a.")))</x:f>
        <x:v>500</x:v>
      </x:c>
      <x:c r="F641" s="22" t="n">
        <x:f>IF(COUNT($N$637:$N$641)=5,SUM($N$637:$N$641),"n.a.")</x:f>
        <x:v>0</x:v>
      </x:c>
      <x:c r="G641" s="22" t="n">
        <x:f>IF(COUNT(E641:F641)=2,MAX(0,E641-F641),"n.a.")</x:f>
        <x:v>500</x:v>
      </x:c>
      <x:c r="H641" s="26" t="str">
        <x:f>'Inputs'!C15</x:f>
        <x:v>Unused 5</x:v>
      </x:c>
      <x:c r="I641" s="26" t="n">
        <x:f>S636</x:f>
        <x:v>0</x:v>
      </x:c>
      <x:c r="J641" s="29" t="n">
        <x:f>IF('Inputs'!$D$9="Ready",'Inputs'!E15,"n.a.")</x:f>
        <x:v>0</x:v>
      </x:c>
      <x:c r="K641" s="26" t="n">
        <x:f>IF('Inputs'!$D$9="Ready",'Inputs'!F15,"n.a.")</x:f>
        <x:v>0</x:v>
      </x:c>
      <x:c r="L641" s="29" t="n">
        <x:f>IF('Inputs'!$D$9="Ready",'Inputs'!G15,"n.a.")</x:f>
        <x:v>0</x:v>
      </x:c>
      <x:c r="M641" s="22" t="n">
        <x:f>IF(COUNT(I641:L641)=4,ROUND(I641*J641/12,2),"n.a.")</x:f>
        <x:v>0</x:v>
      </x:c>
      <x:c r="N641" s="22" t="n">
        <x:f>IF(COUNT(I641:M641)=5,MIN(I641+M641,ROUND(MAX(K641,I641*L641+M641),2)),"n.a.")</x:f>
        <x:v>0</x:v>
      </x:c>
      <x:c r="O641" s="30" t="n">
        <x:f>IF(COUNT($I$637:$I$641)&lt;&gt;5,"n.a.",IF(I641=0,6,IF('Inputs'!$D$5=1,COUNTIFS($I$637:$I$641,"&gt;0",$I$637:$I$641,"&lt;"&amp;I641)+COUNTIFS($I$637:I641,I641),COUNTIFS($I$637:$I$641,"&gt;0",$J$637:$J$641,"&gt;"&amp;J641)+COUNTIFS($I$637:I641,"&gt;0",$J$637:J641,J641))))</x:f>
        <x:v>6</x:v>
      </x:c>
      <x:c r="P641" s="22" t="n">
        <x:f>IF(T641="Ready",MIN(U641,MAX(0,G641-SUMIFS($U$637:$U$641,$O$637:$O$641,"&lt;"&amp;O641))),"n.a.")</x:f>
        <x:v>0</x:v>
      </x:c>
      <x:c r="Q641" s="22" t="n">
        <x:f>IF(T641="Ready",ROUND(N641+P641,2),"n.a.")</x:f>
        <x:v>0</x:v>
      </x:c>
      <x:c r="R641" s="22" t="n">
        <x:f>IF(T641="Ready",ROUND(Q641-M641,2),"n.a.")</x:f>
        <x:v>0</x:v>
      </x:c>
      <x:c r="S641" s="22" t="n">
        <x:f>IF(T641="Ready",MAX(0,ROUND(I641+M641-Q641,2)),"n.a.")</x:f>
        <x:v>0</x:v>
      </x:c>
      <x:c r="T641" s="22" t="str">
        <x:f>IF(AND(COUNT($I$637:$I$641)=5,COUNT(E641:F641)=2),IF(E641&gt;=F641,"Ready","Budget below minima"),"Check inputs")</x:f>
        <x:v>Ready</x:v>
      </x:c>
      <x:c r="U641" s="22" t="n">
        <x:f>IF(COUNT(I641,M641,N641)=3,MAX(0,ROUND(I641+M641-N641,2)),"n.a.")</x:f>
        <x:v>0</x:v>
      </x:c>
    </x:row>
    <x:row r="642" ht="22" customHeight="1">
      <x:c r="A642" s="2"/>
      <x:c r="B642" s="2"/>
      <x:c r="C642" s="27" t="n">
        <x:f>128</x:f>
        <x:v>128</x:v>
      </x:c>
      <x:c r="D642" s="28" t="n">
        <x:f>IF(ISNUMBER('Inputs'!$D$7),EDATE('Inputs'!$D$7,127),"n.a.")</x:f>
        <x:v>50192</x:v>
      </x:c>
      <x:c r="E642" s="26" t="n">
        <x:f>IF('Inputs'!$D$9&lt;&gt;"Ready","n.a.",IF(ISNUMBER('Inputs'!E146),IF('Inputs'!E146&gt;=0,'Inputs'!E146,"n.a."),IF('Inputs'!E146="",'Inputs'!$D$6,"n.a.")))</x:f>
        <x:v>500</x:v>
      </x:c>
      <x:c r="F642" s="22" t="n">
        <x:f>IF(COUNT($N$642:$N$646)=5,SUM($N$642:$N$646),"n.a.")</x:f>
        <x:v>0</x:v>
      </x:c>
      <x:c r="G642" s="22" t="n">
        <x:f>IF(COUNT(E642:F642)=2,MAX(0,E642-F642),"n.a.")</x:f>
        <x:v>500</x:v>
      </x:c>
      <x:c r="H642" s="26" t="str">
        <x:f>'Inputs'!C11</x:f>
        <x:v>Card A</x:v>
      </x:c>
      <x:c r="I642" s="26" t="n">
        <x:f>S637</x:f>
        <x:v>0</x:v>
      </x:c>
      <x:c r="J642" s="29" t="n">
        <x:f>IF('Inputs'!$D$9="Ready",'Inputs'!E11,"n.a.")</x:f>
        <x:v>0.24</x:v>
      </x:c>
      <x:c r="K642" s="26" t="n">
        <x:f>IF('Inputs'!$D$9="Ready",'Inputs'!F11,"n.a.")</x:f>
        <x:v>35</x:v>
      </x:c>
      <x:c r="L642" s="29" t="n">
        <x:f>IF('Inputs'!$D$9="Ready",'Inputs'!G11,"n.a.")</x:f>
        <x:v>0.02</x:v>
      </x:c>
      <x:c r="M642" s="22" t="n">
        <x:f>IF(COUNT(I642:L642)=4,ROUND(I642*J642/12,2),"n.a.")</x:f>
        <x:v>0</x:v>
      </x:c>
      <x:c r="N642" s="22" t="n">
        <x:f>IF(COUNT(I642:M642)=5,MIN(I642+M642,ROUND(MAX(K642,I642*L642+M642),2)),"n.a.")</x:f>
        <x:v>0</x:v>
      </x:c>
      <x:c r="O642" s="30" t="n">
        <x:f>IF(COUNT($I$642:$I$646)&lt;&gt;5,"n.a.",IF(I642=0,6,IF('Inputs'!$D$5=1,COUNTIFS($I$642:$I$646,"&gt;0",$I$642:$I$646,"&lt;"&amp;I642)+COUNTIFS($I$642:I642,I642),COUNTIFS($I$642:$I$646,"&gt;0",$J$642:$J$646,"&gt;"&amp;J642)+COUNTIFS($I$642:I642,"&gt;0",$J$642:J642,J642))))</x:f>
        <x:v>6</x:v>
      </x:c>
      <x:c r="P642" s="22" t="n">
        <x:f>IF(T642="Ready",MIN(U642,MAX(0,G642-SUMIFS($U$642:$U$646,$O$642:$O$646,"&lt;"&amp;O642))),"n.a.")</x:f>
        <x:v>0</x:v>
      </x:c>
      <x:c r="Q642" s="22" t="n">
        <x:f>IF(T642="Ready",ROUND(N642+P642,2),"n.a.")</x:f>
        <x:v>0</x:v>
      </x:c>
      <x:c r="R642" s="22" t="n">
        <x:f>IF(T642="Ready",ROUND(Q642-M642,2),"n.a.")</x:f>
        <x:v>0</x:v>
      </x:c>
      <x:c r="S642" s="22" t="n">
        <x:f>IF(T642="Ready",MAX(0,ROUND(I642+M642-Q642,2)),"n.a.")</x:f>
        <x:v>0</x:v>
      </x:c>
      <x:c r="T642" s="22" t="str">
        <x:f>IF(AND(COUNT($I$642:$I$646)=5,COUNT(E642:F642)=2),IF(E642&gt;=F642,"Ready","Budget below minima"),"Check inputs")</x:f>
        <x:v>Ready</x:v>
      </x:c>
      <x:c r="U642" s="22" t="n">
        <x:f>IF(COUNT(I642,M642,N642)=3,MAX(0,ROUND(I642+M642-N642,2)),"n.a.")</x:f>
        <x:v>0</x:v>
      </x:c>
    </x:row>
    <x:row r="643" ht="22" customHeight="1">
      <x:c r="A643" s="2"/>
      <x:c r="B643" s="2"/>
      <x:c r="C643" s="27" t="n">
        <x:f>128</x:f>
        <x:v>128</x:v>
      </x:c>
      <x:c r="D643" s="28" t="n">
        <x:f>IF(ISNUMBER('Inputs'!$D$7),EDATE('Inputs'!$D$7,127),"n.a.")</x:f>
        <x:v>50192</x:v>
      </x:c>
      <x:c r="E643" s="26" t="n">
        <x:f>IF('Inputs'!$D$9&lt;&gt;"Ready","n.a.",IF(ISNUMBER('Inputs'!E146),IF('Inputs'!E146&gt;=0,'Inputs'!E146,"n.a."),IF('Inputs'!E146="",'Inputs'!$D$6,"n.a.")))</x:f>
        <x:v>500</x:v>
      </x:c>
      <x:c r="F643" s="22" t="n">
        <x:f>IF(COUNT($N$642:$N$646)=5,SUM($N$642:$N$646),"n.a.")</x:f>
        <x:v>0</x:v>
      </x:c>
      <x:c r="G643" s="22" t="n">
        <x:f>IF(COUNT(E643:F643)=2,MAX(0,E643-F643),"n.a.")</x:f>
        <x:v>500</x:v>
      </x:c>
      <x:c r="H643" s="26" t="str">
        <x:f>'Inputs'!C12</x:f>
        <x:v>Card B</x:v>
      </x:c>
      <x:c r="I643" s="26" t="n">
        <x:f>S638</x:f>
        <x:v>0</x:v>
      </x:c>
      <x:c r="J643" s="29" t="n">
        <x:f>IF('Inputs'!$D$9="Ready",'Inputs'!E12,"n.a.")</x:f>
        <x:v>0.18</x:v>
      </x:c>
      <x:c r="K643" s="26" t="n">
        <x:f>IF('Inputs'!$D$9="Ready",'Inputs'!F12,"n.a.")</x:f>
        <x:v>60</x:v>
      </x:c>
      <x:c r="L643" s="29" t="n">
        <x:f>IF('Inputs'!$D$9="Ready",'Inputs'!G12,"n.a.")</x:f>
        <x:v>0.02</x:v>
      </x:c>
      <x:c r="M643" s="22" t="n">
        <x:f>IF(COUNT(I643:L643)=4,ROUND(I643*J643/12,2),"n.a.")</x:f>
        <x:v>0</x:v>
      </x:c>
      <x:c r="N643" s="22" t="n">
        <x:f>IF(COUNT(I643:M643)=5,MIN(I643+M643,ROUND(MAX(K643,I643*L643+M643),2)),"n.a.")</x:f>
        <x:v>0</x:v>
      </x:c>
      <x:c r="O643" s="30" t="n">
        <x:f>IF(COUNT($I$642:$I$646)&lt;&gt;5,"n.a.",IF(I643=0,6,IF('Inputs'!$D$5=1,COUNTIFS($I$642:$I$646,"&gt;0",$I$642:$I$646,"&lt;"&amp;I643)+COUNTIFS($I$642:I643,I643),COUNTIFS($I$642:$I$646,"&gt;0",$J$642:$J$646,"&gt;"&amp;J643)+COUNTIFS($I$642:I643,"&gt;0",$J$642:J643,J643))))</x:f>
        <x:v>6</x:v>
      </x:c>
      <x:c r="P643" s="22" t="n">
        <x:f>IF(T643="Ready",MIN(U643,MAX(0,G643-SUMIFS($U$642:$U$646,$O$642:$O$646,"&lt;"&amp;O643))),"n.a.")</x:f>
        <x:v>0</x:v>
      </x:c>
      <x:c r="Q643" s="22" t="n">
        <x:f>IF(T643="Ready",ROUND(N643+P643,2),"n.a.")</x:f>
        <x:v>0</x:v>
      </x:c>
      <x:c r="R643" s="22" t="n">
        <x:f>IF(T643="Ready",ROUND(Q643-M643,2),"n.a.")</x:f>
        <x:v>0</x:v>
      </x:c>
      <x:c r="S643" s="22" t="n">
        <x:f>IF(T643="Ready",MAX(0,ROUND(I643+M643-Q643,2)),"n.a.")</x:f>
        <x:v>0</x:v>
      </x:c>
      <x:c r="T643" s="22" t="str">
        <x:f>IF(AND(COUNT($I$642:$I$646)=5,COUNT(E643:F643)=2),IF(E643&gt;=F643,"Ready","Budget below minima"),"Check inputs")</x:f>
        <x:v>Ready</x:v>
      </x:c>
      <x:c r="U643" s="22" t="n">
        <x:f>IF(COUNT(I643,M643,N643)=3,MAX(0,ROUND(I643+M643-N643,2)),"n.a.")</x:f>
        <x:v>0</x:v>
      </x:c>
    </x:row>
    <x:row r="644" ht="22" customHeight="1">
      <x:c r="A644" s="2"/>
      <x:c r="B644" s="2"/>
      <x:c r="C644" s="27" t="n">
        <x:f>128</x:f>
        <x:v>128</x:v>
      </x:c>
      <x:c r="D644" s="28" t="n">
        <x:f>IF(ISNUMBER('Inputs'!$D$7),EDATE('Inputs'!$D$7,127),"n.a.")</x:f>
        <x:v>50192</x:v>
      </x:c>
      <x:c r="E644" s="26" t="n">
        <x:f>IF('Inputs'!$D$9&lt;&gt;"Ready","n.a.",IF(ISNUMBER('Inputs'!E146),IF('Inputs'!E146&gt;=0,'Inputs'!E146,"n.a."),IF('Inputs'!E146="",'Inputs'!$D$6,"n.a.")))</x:f>
        <x:v>500</x:v>
      </x:c>
      <x:c r="F644" s="22" t="n">
        <x:f>IF(COUNT($N$642:$N$646)=5,SUM($N$642:$N$646),"n.a.")</x:f>
        <x:v>0</x:v>
      </x:c>
      <x:c r="G644" s="22" t="n">
        <x:f>IF(COUNT(E644:F644)=2,MAX(0,E644-F644),"n.a.")</x:f>
        <x:v>500</x:v>
      </x:c>
      <x:c r="H644" s="26" t="str">
        <x:f>'Inputs'!C13</x:f>
        <x:v>Loan C</x:v>
      </x:c>
      <x:c r="I644" s="26" t="n">
        <x:f>S639</x:f>
        <x:v>0</x:v>
      </x:c>
      <x:c r="J644" s="29" t="n">
        <x:f>IF('Inputs'!$D$9="Ready",'Inputs'!E13,"n.a.")</x:f>
        <x:v>0.08</x:v>
      </x:c>
      <x:c r="K644" s="26" t="n">
        <x:f>IF('Inputs'!$D$9="Ready",'Inputs'!F13,"n.a.")</x:f>
        <x:v>150</x:v>
      </x:c>
      <x:c r="L644" s="29" t="n">
        <x:f>IF('Inputs'!$D$9="Ready",'Inputs'!G13,"n.a.")</x:f>
        <x:v>0</x:v>
      </x:c>
      <x:c r="M644" s="22" t="n">
        <x:f>IF(COUNT(I644:L644)=4,ROUND(I644*J644/12,2),"n.a.")</x:f>
        <x:v>0</x:v>
      </x:c>
      <x:c r="N644" s="22" t="n">
        <x:f>IF(COUNT(I644:M644)=5,MIN(I644+M644,ROUND(MAX(K644,I644*L644+M644),2)),"n.a.")</x:f>
        <x:v>0</x:v>
      </x:c>
      <x:c r="O644" s="30" t="n">
        <x:f>IF(COUNT($I$642:$I$646)&lt;&gt;5,"n.a.",IF(I644=0,6,IF('Inputs'!$D$5=1,COUNTIFS($I$642:$I$646,"&gt;0",$I$642:$I$646,"&lt;"&amp;I644)+COUNTIFS($I$642:I644,I644),COUNTIFS($I$642:$I$646,"&gt;0",$J$642:$J$646,"&gt;"&amp;J644)+COUNTIFS($I$642:I644,"&gt;0",$J$642:J644,J644))))</x:f>
        <x:v>6</x:v>
      </x:c>
      <x:c r="P644" s="22" t="n">
        <x:f>IF(T644="Ready",MIN(U644,MAX(0,G644-SUMIFS($U$642:$U$646,$O$642:$O$646,"&lt;"&amp;O644))),"n.a.")</x:f>
        <x:v>0</x:v>
      </x:c>
      <x:c r="Q644" s="22" t="n">
        <x:f>IF(T644="Ready",ROUND(N644+P644,2),"n.a.")</x:f>
        <x:v>0</x:v>
      </x:c>
      <x:c r="R644" s="22" t="n">
        <x:f>IF(T644="Ready",ROUND(Q644-M644,2),"n.a.")</x:f>
        <x:v>0</x:v>
      </x:c>
      <x:c r="S644" s="22" t="n">
        <x:f>IF(T644="Ready",MAX(0,ROUND(I644+M644-Q644,2)),"n.a.")</x:f>
        <x:v>0</x:v>
      </x:c>
      <x:c r="T644" s="22" t="str">
        <x:f>IF(AND(COUNT($I$642:$I$646)=5,COUNT(E644:F644)=2),IF(E644&gt;=F644,"Ready","Budget below minima"),"Check inputs")</x:f>
        <x:v>Ready</x:v>
      </x:c>
      <x:c r="U644" s="22" t="n">
        <x:f>IF(COUNT(I644,M644,N644)=3,MAX(0,ROUND(I644+M644-N644,2)),"n.a.")</x:f>
        <x:v>0</x:v>
      </x:c>
    </x:row>
    <x:row r="645" ht="22" customHeight="1">
      <x:c r="A645" s="2"/>
      <x:c r="B645" s="2"/>
      <x:c r="C645" s="27" t="n">
        <x:f>128</x:f>
        <x:v>128</x:v>
      </x:c>
      <x:c r="D645" s="28" t="n">
        <x:f>IF(ISNUMBER('Inputs'!$D$7),EDATE('Inputs'!$D$7,127),"n.a.")</x:f>
        <x:v>50192</x:v>
      </x:c>
      <x:c r="E645" s="26" t="n">
        <x:f>IF('Inputs'!$D$9&lt;&gt;"Ready","n.a.",IF(ISNUMBER('Inputs'!E146),IF('Inputs'!E146&gt;=0,'Inputs'!E146,"n.a."),IF('Inputs'!E146="",'Inputs'!$D$6,"n.a.")))</x:f>
        <x:v>500</x:v>
      </x:c>
      <x:c r="F645" s="22" t="n">
        <x:f>IF(COUNT($N$642:$N$646)=5,SUM($N$642:$N$646),"n.a.")</x:f>
        <x:v>0</x:v>
      </x:c>
      <x:c r="G645" s="22" t="n">
        <x:f>IF(COUNT(E645:F645)=2,MAX(0,E645-F645),"n.a.")</x:f>
        <x:v>500</x:v>
      </x:c>
      <x:c r="H645" s="26" t="str">
        <x:f>'Inputs'!C14</x:f>
        <x:v>Unused 4</x:v>
      </x:c>
      <x:c r="I645" s="26" t="n">
        <x:f>S640</x:f>
        <x:v>0</x:v>
      </x:c>
      <x:c r="J645" s="29" t="n">
        <x:f>IF('Inputs'!$D$9="Ready",'Inputs'!E14,"n.a.")</x:f>
        <x:v>0</x:v>
      </x:c>
      <x:c r="K645" s="26" t="n">
        <x:f>IF('Inputs'!$D$9="Ready",'Inputs'!F14,"n.a.")</x:f>
        <x:v>0</x:v>
      </x:c>
      <x:c r="L645" s="29" t="n">
        <x:f>IF('Inputs'!$D$9="Ready",'Inputs'!G14,"n.a.")</x:f>
        <x:v>0</x:v>
      </x:c>
      <x:c r="M645" s="22" t="n">
        <x:f>IF(COUNT(I645:L645)=4,ROUND(I645*J645/12,2),"n.a.")</x:f>
        <x:v>0</x:v>
      </x:c>
      <x:c r="N645" s="22" t="n">
        <x:f>IF(COUNT(I645:M645)=5,MIN(I645+M645,ROUND(MAX(K645,I645*L645+M645),2)),"n.a.")</x:f>
        <x:v>0</x:v>
      </x:c>
      <x:c r="O645" s="30" t="n">
        <x:f>IF(COUNT($I$642:$I$646)&lt;&gt;5,"n.a.",IF(I645=0,6,IF('Inputs'!$D$5=1,COUNTIFS($I$642:$I$646,"&gt;0",$I$642:$I$646,"&lt;"&amp;I645)+COUNTIFS($I$642:I645,I645),COUNTIFS($I$642:$I$646,"&gt;0",$J$642:$J$646,"&gt;"&amp;J645)+COUNTIFS($I$642:I645,"&gt;0",$J$642:J645,J645))))</x:f>
        <x:v>6</x:v>
      </x:c>
      <x:c r="P645" s="22" t="n">
        <x:f>IF(T645="Ready",MIN(U645,MAX(0,G645-SUMIFS($U$642:$U$646,$O$642:$O$646,"&lt;"&amp;O645))),"n.a.")</x:f>
        <x:v>0</x:v>
      </x:c>
      <x:c r="Q645" s="22" t="n">
        <x:f>IF(T645="Ready",ROUND(N645+P645,2),"n.a.")</x:f>
        <x:v>0</x:v>
      </x:c>
      <x:c r="R645" s="22" t="n">
        <x:f>IF(T645="Ready",ROUND(Q645-M645,2),"n.a.")</x:f>
        <x:v>0</x:v>
      </x:c>
      <x:c r="S645" s="22" t="n">
        <x:f>IF(T645="Ready",MAX(0,ROUND(I645+M645-Q645,2)),"n.a.")</x:f>
        <x:v>0</x:v>
      </x:c>
      <x:c r="T645" s="22" t="str">
        <x:f>IF(AND(COUNT($I$642:$I$646)=5,COUNT(E645:F645)=2),IF(E645&gt;=F645,"Ready","Budget below minima"),"Check inputs")</x:f>
        <x:v>Ready</x:v>
      </x:c>
      <x:c r="U645" s="22" t="n">
        <x:f>IF(COUNT(I645,M645,N645)=3,MAX(0,ROUND(I645+M645-N645,2)),"n.a.")</x:f>
        <x:v>0</x:v>
      </x:c>
    </x:row>
    <x:row r="646" ht="22" customHeight="1">
      <x:c r="A646" s="2"/>
      <x:c r="B646" s="2"/>
      <x:c r="C646" s="27" t="n">
        <x:f>128</x:f>
        <x:v>128</x:v>
      </x:c>
      <x:c r="D646" s="28" t="n">
        <x:f>IF(ISNUMBER('Inputs'!$D$7),EDATE('Inputs'!$D$7,127),"n.a.")</x:f>
        <x:v>50192</x:v>
      </x:c>
      <x:c r="E646" s="26" t="n">
        <x:f>IF('Inputs'!$D$9&lt;&gt;"Ready","n.a.",IF(ISNUMBER('Inputs'!E146),IF('Inputs'!E146&gt;=0,'Inputs'!E146,"n.a."),IF('Inputs'!E146="",'Inputs'!$D$6,"n.a.")))</x:f>
        <x:v>500</x:v>
      </x:c>
      <x:c r="F646" s="22" t="n">
        <x:f>IF(COUNT($N$642:$N$646)=5,SUM($N$642:$N$646),"n.a.")</x:f>
        <x:v>0</x:v>
      </x:c>
      <x:c r="G646" s="22" t="n">
        <x:f>IF(COUNT(E646:F646)=2,MAX(0,E646-F646),"n.a.")</x:f>
        <x:v>500</x:v>
      </x:c>
      <x:c r="H646" s="26" t="str">
        <x:f>'Inputs'!C15</x:f>
        <x:v>Unused 5</x:v>
      </x:c>
      <x:c r="I646" s="26" t="n">
        <x:f>S641</x:f>
        <x:v>0</x:v>
      </x:c>
      <x:c r="J646" s="29" t="n">
        <x:f>IF('Inputs'!$D$9="Ready",'Inputs'!E15,"n.a.")</x:f>
        <x:v>0</x:v>
      </x:c>
      <x:c r="K646" s="26" t="n">
        <x:f>IF('Inputs'!$D$9="Ready",'Inputs'!F15,"n.a.")</x:f>
        <x:v>0</x:v>
      </x:c>
      <x:c r="L646" s="29" t="n">
        <x:f>IF('Inputs'!$D$9="Ready",'Inputs'!G15,"n.a.")</x:f>
        <x:v>0</x:v>
      </x:c>
      <x:c r="M646" s="22" t="n">
        <x:f>IF(COUNT(I646:L646)=4,ROUND(I646*J646/12,2),"n.a.")</x:f>
        <x:v>0</x:v>
      </x:c>
      <x:c r="N646" s="22" t="n">
        <x:f>IF(COUNT(I646:M646)=5,MIN(I646+M646,ROUND(MAX(K646,I646*L646+M646),2)),"n.a.")</x:f>
        <x:v>0</x:v>
      </x:c>
      <x:c r="O646" s="30" t="n">
        <x:f>IF(COUNT($I$642:$I$646)&lt;&gt;5,"n.a.",IF(I646=0,6,IF('Inputs'!$D$5=1,COUNTIFS($I$642:$I$646,"&gt;0",$I$642:$I$646,"&lt;"&amp;I646)+COUNTIFS($I$642:I646,I646),COUNTIFS($I$642:$I$646,"&gt;0",$J$642:$J$646,"&gt;"&amp;J646)+COUNTIFS($I$642:I646,"&gt;0",$J$642:J646,J646))))</x:f>
        <x:v>6</x:v>
      </x:c>
      <x:c r="P646" s="22" t="n">
        <x:f>IF(T646="Ready",MIN(U646,MAX(0,G646-SUMIFS($U$642:$U$646,$O$642:$O$646,"&lt;"&amp;O646))),"n.a.")</x:f>
        <x:v>0</x:v>
      </x:c>
      <x:c r="Q646" s="22" t="n">
        <x:f>IF(T646="Ready",ROUND(N646+P646,2),"n.a.")</x:f>
        <x:v>0</x:v>
      </x:c>
      <x:c r="R646" s="22" t="n">
        <x:f>IF(T646="Ready",ROUND(Q646-M646,2),"n.a.")</x:f>
        <x:v>0</x:v>
      </x:c>
      <x:c r="S646" s="22" t="n">
        <x:f>IF(T646="Ready",MAX(0,ROUND(I646+M646-Q646,2)),"n.a.")</x:f>
        <x:v>0</x:v>
      </x:c>
      <x:c r="T646" s="22" t="str">
        <x:f>IF(AND(COUNT($I$642:$I$646)=5,COUNT(E646:F646)=2),IF(E646&gt;=F646,"Ready","Budget below minima"),"Check inputs")</x:f>
        <x:v>Ready</x:v>
      </x:c>
      <x:c r="U646" s="22" t="n">
        <x:f>IF(COUNT(I646,M646,N646)=3,MAX(0,ROUND(I646+M646-N646,2)),"n.a.")</x:f>
        <x:v>0</x:v>
      </x:c>
    </x:row>
    <x:row r="647" ht="22" customHeight="1">
      <x:c r="A647" s="2"/>
      <x:c r="B647" s="2"/>
      <x:c r="C647" s="27" t="n">
        <x:f>129</x:f>
        <x:v>129</x:v>
      </x:c>
      <x:c r="D647" s="28" t="n">
        <x:f>IF(ISNUMBER('Inputs'!$D$7),EDATE('Inputs'!$D$7,128),"n.a.")</x:f>
        <x:v>50222</x:v>
      </x:c>
      <x:c r="E647" s="26" t="n">
        <x:f>IF('Inputs'!$D$9&lt;&gt;"Ready","n.a.",IF(ISNUMBER('Inputs'!E147),IF('Inputs'!E147&gt;=0,'Inputs'!E147,"n.a."),IF('Inputs'!E147="",'Inputs'!$D$6,"n.a.")))</x:f>
        <x:v>500</x:v>
      </x:c>
      <x:c r="F647" s="22" t="n">
        <x:f>IF(COUNT($N$647:$N$651)=5,SUM($N$647:$N$651),"n.a.")</x:f>
        <x:v>0</x:v>
      </x:c>
      <x:c r="G647" s="22" t="n">
        <x:f>IF(COUNT(E647:F647)=2,MAX(0,E647-F647),"n.a.")</x:f>
        <x:v>500</x:v>
      </x:c>
      <x:c r="H647" s="26" t="str">
        <x:f>'Inputs'!C11</x:f>
        <x:v>Card A</x:v>
      </x:c>
      <x:c r="I647" s="26" t="n">
        <x:f>S642</x:f>
        <x:v>0</x:v>
      </x:c>
      <x:c r="J647" s="29" t="n">
        <x:f>IF('Inputs'!$D$9="Ready",'Inputs'!E11,"n.a.")</x:f>
        <x:v>0.24</x:v>
      </x:c>
      <x:c r="K647" s="26" t="n">
        <x:f>IF('Inputs'!$D$9="Ready",'Inputs'!F11,"n.a.")</x:f>
        <x:v>35</x:v>
      </x:c>
      <x:c r="L647" s="29" t="n">
        <x:f>IF('Inputs'!$D$9="Ready",'Inputs'!G11,"n.a.")</x:f>
        <x:v>0.02</x:v>
      </x:c>
      <x:c r="M647" s="22" t="n">
        <x:f>IF(COUNT(I647:L647)=4,ROUND(I647*J647/12,2),"n.a.")</x:f>
        <x:v>0</x:v>
      </x:c>
      <x:c r="N647" s="22" t="n">
        <x:f>IF(COUNT(I647:M647)=5,MIN(I647+M647,ROUND(MAX(K647,I647*L647+M647),2)),"n.a.")</x:f>
        <x:v>0</x:v>
      </x:c>
      <x:c r="O647" s="30" t="n">
        <x:f>IF(COUNT($I$647:$I$651)&lt;&gt;5,"n.a.",IF(I647=0,6,IF('Inputs'!$D$5=1,COUNTIFS($I$647:$I$651,"&gt;0",$I$647:$I$651,"&lt;"&amp;I647)+COUNTIFS($I$647:I647,I647),COUNTIFS($I$647:$I$651,"&gt;0",$J$647:$J$651,"&gt;"&amp;J647)+COUNTIFS($I$647:I647,"&gt;0",$J$647:J647,J647))))</x:f>
        <x:v>6</x:v>
      </x:c>
      <x:c r="P647" s="22" t="n">
        <x:f>IF(T647="Ready",MIN(U647,MAX(0,G647-SUMIFS($U$647:$U$651,$O$647:$O$651,"&lt;"&amp;O647))),"n.a.")</x:f>
        <x:v>0</x:v>
      </x:c>
      <x:c r="Q647" s="22" t="n">
        <x:f>IF(T647="Ready",ROUND(N647+P647,2),"n.a.")</x:f>
        <x:v>0</x:v>
      </x:c>
      <x:c r="R647" s="22" t="n">
        <x:f>IF(T647="Ready",ROUND(Q647-M647,2),"n.a.")</x:f>
        <x:v>0</x:v>
      </x:c>
      <x:c r="S647" s="22" t="n">
        <x:f>IF(T647="Ready",MAX(0,ROUND(I647+M647-Q647,2)),"n.a.")</x:f>
        <x:v>0</x:v>
      </x:c>
      <x:c r="T647" s="22" t="str">
        <x:f>IF(AND(COUNT($I$647:$I$651)=5,COUNT(E647:F647)=2),IF(E647&gt;=F647,"Ready","Budget below minima"),"Check inputs")</x:f>
        <x:v>Ready</x:v>
      </x:c>
      <x:c r="U647" s="22" t="n">
        <x:f>IF(COUNT(I647,M647,N647)=3,MAX(0,ROUND(I647+M647-N647,2)),"n.a.")</x:f>
        <x:v>0</x:v>
      </x:c>
    </x:row>
    <x:row r="648" ht="22" customHeight="1">
      <x:c r="A648" s="2"/>
      <x:c r="B648" s="2"/>
      <x:c r="C648" s="27" t="n">
        <x:f>129</x:f>
        <x:v>129</x:v>
      </x:c>
      <x:c r="D648" s="28" t="n">
        <x:f>IF(ISNUMBER('Inputs'!$D$7),EDATE('Inputs'!$D$7,128),"n.a.")</x:f>
        <x:v>50222</x:v>
      </x:c>
      <x:c r="E648" s="26" t="n">
        <x:f>IF('Inputs'!$D$9&lt;&gt;"Ready","n.a.",IF(ISNUMBER('Inputs'!E147),IF('Inputs'!E147&gt;=0,'Inputs'!E147,"n.a."),IF('Inputs'!E147="",'Inputs'!$D$6,"n.a.")))</x:f>
        <x:v>500</x:v>
      </x:c>
      <x:c r="F648" s="22" t="n">
        <x:f>IF(COUNT($N$647:$N$651)=5,SUM($N$647:$N$651),"n.a.")</x:f>
        <x:v>0</x:v>
      </x:c>
      <x:c r="G648" s="22" t="n">
        <x:f>IF(COUNT(E648:F648)=2,MAX(0,E648-F648),"n.a.")</x:f>
        <x:v>500</x:v>
      </x:c>
      <x:c r="H648" s="26" t="str">
        <x:f>'Inputs'!C12</x:f>
        <x:v>Card B</x:v>
      </x:c>
      <x:c r="I648" s="26" t="n">
        <x:f>S643</x:f>
        <x:v>0</x:v>
      </x:c>
      <x:c r="J648" s="29" t="n">
        <x:f>IF('Inputs'!$D$9="Ready",'Inputs'!E12,"n.a.")</x:f>
        <x:v>0.18</x:v>
      </x:c>
      <x:c r="K648" s="26" t="n">
        <x:f>IF('Inputs'!$D$9="Ready",'Inputs'!F12,"n.a.")</x:f>
        <x:v>60</x:v>
      </x:c>
      <x:c r="L648" s="29" t="n">
        <x:f>IF('Inputs'!$D$9="Ready",'Inputs'!G12,"n.a.")</x:f>
        <x:v>0.02</x:v>
      </x:c>
      <x:c r="M648" s="22" t="n">
        <x:f>IF(COUNT(I648:L648)=4,ROUND(I648*J648/12,2),"n.a.")</x:f>
        <x:v>0</x:v>
      </x:c>
      <x:c r="N648" s="22" t="n">
        <x:f>IF(COUNT(I648:M648)=5,MIN(I648+M648,ROUND(MAX(K648,I648*L648+M648),2)),"n.a.")</x:f>
        <x:v>0</x:v>
      </x:c>
      <x:c r="O648" s="30" t="n">
        <x:f>IF(COUNT($I$647:$I$651)&lt;&gt;5,"n.a.",IF(I648=0,6,IF('Inputs'!$D$5=1,COUNTIFS($I$647:$I$651,"&gt;0",$I$647:$I$651,"&lt;"&amp;I648)+COUNTIFS($I$647:I648,I648),COUNTIFS($I$647:$I$651,"&gt;0",$J$647:$J$651,"&gt;"&amp;J648)+COUNTIFS($I$647:I648,"&gt;0",$J$647:J648,J648))))</x:f>
        <x:v>6</x:v>
      </x:c>
      <x:c r="P648" s="22" t="n">
        <x:f>IF(T648="Ready",MIN(U648,MAX(0,G648-SUMIFS($U$647:$U$651,$O$647:$O$651,"&lt;"&amp;O648))),"n.a.")</x:f>
        <x:v>0</x:v>
      </x:c>
      <x:c r="Q648" s="22" t="n">
        <x:f>IF(T648="Ready",ROUND(N648+P648,2),"n.a.")</x:f>
        <x:v>0</x:v>
      </x:c>
      <x:c r="R648" s="22" t="n">
        <x:f>IF(T648="Ready",ROUND(Q648-M648,2),"n.a.")</x:f>
        <x:v>0</x:v>
      </x:c>
      <x:c r="S648" s="22" t="n">
        <x:f>IF(T648="Ready",MAX(0,ROUND(I648+M648-Q648,2)),"n.a.")</x:f>
        <x:v>0</x:v>
      </x:c>
      <x:c r="T648" s="22" t="str">
        <x:f>IF(AND(COUNT($I$647:$I$651)=5,COUNT(E648:F648)=2),IF(E648&gt;=F648,"Ready","Budget below minima"),"Check inputs")</x:f>
        <x:v>Ready</x:v>
      </x:c>
      <x:c r="U648" s="22" t="n">
        <x:f>IF(COUNT(I648,M648,N648)=3,MAX(0,ROUND(I648+M648-N648,2)),"n.a.")</x:f>
        <x:v>0</x:v>
      </x:c>
    </x:row>
    <x:row r="649" ht="22" customHeight="1">
      <x:c r="A649" s="2"/>
      <x:c r="B649" s="2"/>
      <x:c r="C649" s="27" t="n">
        <x:f>129</x:f>
        <x:v>129</x:v>
      </x:c>
      <x:c r="D649" s="28" t="n">
        <x:f>IF(ISNUMBER('Inputs'!$D$7),EDATE('Inputs'!$D$7,128),"n.a.")</x:f>
        <x:v>50222</x:v>
      </x:c>
      <x:c r="E649" s="26" t="n">
        <x:f>IF('Inputs'!$D$9&lt;&gt;"Ready","n.a.",IF(ISNUMBER('Inputs'!E147),IF('Inputs'!E147&gt;=0,'Inputs'!E147,"n.a."),IF('Inputs'!E147="",'Inputs'!$D$6,"n.a.")))</x:f>
        <x:v>500</x:v>
      </x:c>
      <x:c r="F649" s="22" t="n">
        <x:f>IF(COUNT($N$647:$N$651)=5,SUM($N$647:$N$651),"n.a.")</x:f>
        <x:v>0</x:v>
      </x:c>
      <x:c r="G649" s="22" t="n">
        <x:f>IF(COUNT(E649:F649)=2,MAX(0,E649-F649),"n.a.")</x:f>
        <x:v>500</x:v>
      </x:c>
      <x:c r="H649" s="26" t="str">
        <x:f>'Inputs'!C13</x:f>
        <x:v>Loan C</x:v>
      </x:c>
      <x:c r="I649" s="26" t="n">
        <x:f>S644</x:f>
        <x:v>0</x:v>
      </x:c>
      <x:c r="J649" s="29" t="n">
        <x:f>IF('Inputs'!$D$9="Ready",'Inputs'!E13,"n.a.")</x:f>
        <x:v>0.08</x:v>
      </x:c>
      <x:c r="K649" s="26" t="n">
        <x:f>IF('Inputs'!$D$9="Ready",'Inputs'!F13,"n.a.")</x:f>
        <x:v>150</x:v>
      </x:c>
      <x:c r="L649" s="29" t="n">
        <x:f>IF('Inputs'!$D$9="Ready",'Inputs'!G13,"n.a.")</x:f>
        <x:v>0</x:v>
      </x:c>
      <x:c r="M649" s="22" t="n">
        <x:f>IF(COUNT(I649:L649)=4,ROUND(I649*J649/12,2),"n.a.")</x:f>
        <x:v>0</x:v>
      </x:c>
      <x:c r="N649" s="22" t="n">
        <x:f>IF(COUNT(I649:M649)=5,MIN(I649+M649,ROUND(MAX(K649,I649*L649+M649),2)),"n.a.")</x:f>
        <x:v>0</x:v>
      </x:c>
      <x:c r="O649" s="30" t="n">
        <x:f>IF(COUNT($I$647:$I$651)&lt;&gt;5,"n.a.",IF(I649=0,6,IF('Inputs'!$D$5=1,COUNTIFS($I$647:$I$651,"&gt;0",$I$647:$I$651,"&lt;"&amp;I649)+COUNTIFS($I$647:I649,I649),COUNTIFS($I$647:$I$651,"&gt;0",$J$647:$J$651,"&gt;"&amp;J649)+COUNTIFS($I$647:I649,"&gt;0",$J$647:J649,J649))))</x:f>
        <x:v>6</x:v>
      </x:c>
      <x:c r="P649" s="22" t="n">
        <x:f>IF(T649="Ready",MIN(U649,MAX(0,G649-SUMIFS($U$647:$U$651,$O$647:$O$651,"&lt;"&amp;O649))),"n.a.")</x:f>
        <x:v>0</x:v>
      </x:c>
      <x:c r="Q649" s="22" t="n">
        <x:f>IF(T649="Ready",ROUND(N649+P649,2),"n.a.")</x:f>
        <x:v>0</x:v>
      </x:c>
      <x:c r="R649" s="22" t="n">
        <x:f>IF(T649="Ready",ROUND(Q649-M649,2),"n.a.")</x:f>
        <x:v>0</x:v>
      </x:c>
      <x:c r="S649" s="22" t="n">
        <x:f>IF(T649="Ready",MAX(0,ROUND(I649+M649-Q649,2)),"n.a.")</x:f>
        <x:v>0</x:v>
      </x:c>
      <x:c r="T649" s="22" t="str">
        <x:f>IF(AND(COUNT($I$647:$I$651)=5,COUNT(E649:F649)=2),IF(E649&gt;=F649,"Ready","Budget below minima"),"Check inputs")</x:f>
        <x:v>Ready</x:v>
      </x:c>
      <x:c r="U649" s="22" t="n">
        <x:f>IF(COUNT(I649,M649,N649)=3,MAX(0,ROUND(I649+M649-N649,2)),"n.a.")</x:f>
        <x:v>0</x:v>
      </x:c>
    </x:row>
    <x:row r="650" ht="22" customHeight="1">
      <x:c r="A650" s="2"/>
      <x:c r="B650" s="2"/>
      <x:c r="C650" s="27" t="n">
        <x:f>129</x:f>
        <x:v>129</x:v>
      </x:c>
      <x:c r="D650" s="28" t="n">
        <x:f>IF(ISNUMBER('Inputs'!$D$7),EDATE('Inputs'!$D$7,128),"n.a.")</x:f>
        <x:v>50222</x:v>
      </x:c>
      <x:c r="E650" s="26" t="n">
        <x:f>IF('Inputs'!$D$9&lt;&gt;"Ready","n.a.",IF(ISNUMBER('Inputs'!E147),IF('Inputs'!E147&gt;=0,'Inputs'!E147,"n.a."),IF('Inputs'!E147="",'Inputs'!$D$6,"n.a.")))</x:f>
        <x:v>500</x:v>
      </x:c>
      <x:c r="F650" s="22" t="n">
        <x:f>IF(COUNT($N$647:$N$651)=5,SUM($N$647:$N$651),"n.a.")</x:f>
        <x:v>0</x:v>
      </x:c>
      <x:c r="G650" s="22" t="n">
        <x:f>IF(COUNT(E650:F650)=2,MAX(0,E650-F650),"n.a.")</x:f>
        <x:v>500</x:v>
      </x:c>
      <x:c r="H650" s="26" t="str">
        <x:f>'Inputs'!C14</x:f>
        <x:v>Unused 4</x:v>
      </x:c>
      <x:c r="I650" s="26" t="n">
        <x:f>S645</x:f>
        <x:v>0</x:v>
      </x:c>
      <x:c r="J650" s="29" t="n">
        <x:f>IF('Inputs'!$D$9="Ready",'Inputs'!E14,"n.a.")</x:f>
        <x:v>0</x:v>
      </x:c>
      <x:c r="K650" s="26" t="n">
        <x:f>IF('Inputs'!$D$9="Ready",'Inputs'!F14,"n.a.")</x:f>
        <x:v>0</x:v>
      </x:c>
      <x:c r="L650" s="29" t="n">
        <x:f>IF('Inputs'!$D$9="Ready",'Inputs'!G14,"n.a.")</x:f>
        <x:v>0</x:v>
      </x:c>
      <x:c r="M650" s="22" t="n">
        <x:f>IF(COUNT(I650:L650)=4,ROUND(I650*J650/12,2),"n.a.")</x:f>
        <x:v>0</x:v>
      </x:c>
      <x:c r="N650" s="22" t="n">
        <x:f>IF(COUNT(I650:M650)=5,MIN(I650+M650,ROUND(MAX(K650,I650*L650+M650),2)),"n.a.")</x:f>
        <x:v>0</x:v>
      </x:c>
      <x:c r="O650" s="30" t="n">
        <x:f>IF(COUNT($I$647:$I$651)&lt;&gt;5,"n.a.",IF(I650=0,6,IF('Inputs'!$D$5=1,COUNTIFS($I$647:$I$651,"&gt;0",$I$647:$I$651,"&lt;"&amp;I650)+COUNTIFS($I$647:I650,I650),COUNTIFS($I$647:$I$651,"&gt;0",$J$647:$J$651,"&gt;"&amp;J650)+COUNTIFS($I$647:I650,"&gt;0",$J$647:J650,J650))))</x:f>
        <x:v>6</x:v>
      </x:c>
      <x:c r="P650" s="22" t="n">
        <x:f>IF(T650="Ready",MIN(U650,MAX(0,G650-SUMIFS($U$647:$U$651,$O$647:$O$651,"&lt;"&amp;O650))),"n.a.")</x:f>
        <x:v>0</x:v>
      </x:c>
      <x:c r="Q650" s="22" t="n">
        <x:f>IF(T650="Ready",ROUND(N650+P650,2),"n.a.")</x:f>
        <x:v>0</x:v>
      </x:c>
      <x:c r="R650" s="22" t="n">
        <x:f>IF(T650="Ready",ROUND(Q650-M650,2),"n.a.")</x:f>
        <x:v>0</x:v>
      </x:c>
      <x:c r="S650" s="22" t="n">
        <x:f>IF(T650="Ready",MAX(0,ROUND(I650+M650-Q650,2)),"n.a.")</x:f>
        <x:v>0</x:v>
      </x:c>
      <x:c r="T650" s="22" t="str">
        <x:f>IF(AND(COUNT($I$647:$I$651)=5,COUNT(E650:F650)=2),IF(E650&gt;=F650,"Ready","Budget below minima"),"Check inputs")</x:f>
        <x:v>Ready</x:v>
      </x:c>
      <x:c r="U650" s="22" t="n">
        <x:f>IF(COUNT(I650,M650,N650)=3,MAX(0,ROUND(I650+M650-N650,2)),"n.a.")</x:f>
        <x:v>0</x:v>
      </x:c>
    </x:row>
    <x:row r="651" ht="22" customHeight="1">
      <x:c r="A651" s="2"/>
      <x:c r="B651" s="2"/>
      <x:c r="C651" s="27" t="n">
        <x:f>129</x:f>
        <x:v>129</x:v>
      </x:c>
      <x:c r="D651" s="28" t="n">
        <x:f>IF(ISNUMBER('Inputs'!$D$7),EDATE('Inputs'!$D$7,128),"n.a.")</x:f>
        <x:v>50222</x:v>
      </x:c>
      <x:c r="E651" s="26" t="n">
        <x:f>IF('Inputs'!$D$9&lt;&gt;"Ready","n.a.",IF(ISNUMBER('Inputs'!E147),IF('Inputs'!E147&gt;=0,'Inputs'!E147,"n.a."),IF('Inputs'!E147="",'Inputs'!$D$6,"n.a.")))</x:f>
        <x:v>500</x:v>
      </x:c>
      <x:c r="F651" s="22" t="n">
        <x:f>IF(COUNT($N$647:$N$651)=5,SUM($N$647:$N$651),"n.a.")</x:f>
        <x:v>0</x:v>
      </x:c>
      <x:c r="G651" s="22" t="n">
        <x:f>IF(COUNT(E651:F651)=2,MAX(0,E651-F651),"n.a.")</x:f>
        <x:v>500</x:v>
      </x:c>
      <x:c r="H651" s="26" t="str">
        <x:f>'Inputs'!C15</x:f>
        <x:v>Unused 5</x:v>
      </x:c>
      <x:c r="I651" s="26" t="n">
        <x:f>S646</x:f>
        <x:v>0</x:v>
      </x:c>
      <x:c r="J651" s="29" t="n">
        <x:f>IF('Inputs'!$D$9="Ready",'Inputs'!E15,"n.a.")</x:f>
        <x:v>0</x:v>
      </x:c>
      <x:c r="K651" s="26" t="n">
        <x:f>IF('Inputs'!$D$9="Ready",'Inputs'!F15,"n.a.")</x:f>
        <x:v>0</x:v>
      </x:c>
      <x:c r="L651" s="29" t="n">
        <x:f>IF('Inputs'!$D$9="Ready",'Inputs'!G15,"n.a.")</x:f>
        <x:v>0</x:v>
      </x:c>
      <x:c r="M651" s="22" t="n">
        <x:f>IF(COUNT(I651:L651)=4,ROUND(I651*J651/12,2),"n.a.")</x:f>
        <x:v>0</x:v>
      </x:c>
      <x:c r="N651" s="22" t="n">
        <x:f>IF(COUNT(I651:M651)=5,MIN(I651+M651,ROUND(MAX(K651,I651*L651+M651),2)),"n.a.")</x:f>
        <x:v>0</x:v>
      </x:c>
      <x:c r="O651" s="30" t="n">
        <x:f>IF(COUNT($I$647:$I$651)&lt;&gt;5,"n.a.",IF(I651=0,6,IF('Inputs'!$D$5=1,COUNTIFS($I$647:$I$651,"&gt;0",$I$647:$I$651,"&lt;"&amp;I651)+COUNTIFS($I$647:I651,I651),COUNTIFS($I$647:$I$651,"&gt;0",$J$647:$J$651,"&gt;"&amp;J651)+COUNTIFS($I$647:I651,"&gt;0",$J$647:J651,J651))))</x:f>
        <x:v>6</x:v>
      </x:c>
      <x:c r="P651" s="22" t="n">
        <x:f>IF(T651="Ready",MIN(U651,MAX(0,G651-SUMIFS($U$647:$U$651,$O$647:$O$651,"&lt;"&amp;O651))),"n.a.")</x:f>
        <x:v>0</x:v>
      </x:c>
      <x:c r="Q651" s="22" t="n">
        <x:f>IF(T651="Ready",ROUND(N651+P651,2),"n.a.")</x:f>
        <x:v>0</x:v>
      </x:c>
      <x:c r="R651" s="22" t="n">
        <x:f>IF(T651="Ready",ROUND(Q651-M651,2),"n.a.")</x:f>
        <x:v>0</x:v>
      </x:c>
      <x:c r="S651" s="22" t="n">
        <x:f>IF(T651="Ready",MAX(0,ROUND(I651+M651-Q651,2)),"n.a.")</x:f>
        <x:v>0</x:v>
      </x:c>
      <x:c r="T651" s="22" t="str">
        <x:f>IF(AND(COUNT($I$647:$I$651)=5,COUNT(E651:F651)=2),IF(E651&gt;=F651,"Ready","Budget below minima"),"Check inputs")</x:f>
        <x:v>Ready</x:v>
      </x:c>
      <x:c r="U651" s="22" t="n">
        <x:f>IF(COUNT(I651,M651,N651)=3,MAX(0,ROUND(I651+M651-N651,2)),"n.a.")</x:f>
        <x:v>0</x:v>
      </x:c>
    </x:row>
    <x:row r="652" ht="22" customHeight="1">
      <x:c r="A652" s="2"/>
      <x:c r="B652" s="2"/>
      <x:c r="C652" s="27" t="n">
        <x:f>130</x:f>
        <x:v>130</x:v>
      </x:c>
      <x:c r="D652" s="28" t="n">
        <x:f>IF(ISNUMBER('Inputs'!$D$7),EDATE('Inputs'!$D$7,129),"n.a.")</x:f>
        <x:v>50253</x:v>
      </x:c>
      <x:c r="E652" s="26" t="n">
        <x:f>IF('Inputs'!$D$9&lt;&gt;"Ready","n.a.",IF(ISNUMBER('Inputs'!E148),IF('Inputs'!E148&gt;=0,'Inputs'!E148,"n.a."),IF('Inputs'!E148="",'Inputs'!$D$6,"n.a.")))</x:f>
        <x:v>500</x:v>
      </x:c>
      <x:c r="F652" s="22" t="n">
        <x:f>IF(COUNT($N$652:$N$656)=5,SUM($N$652:$N$656),"n.a.")</x:f>
        <x:v>0</x:v>
      </x:c>
      <x:c r="G652" s="22" t="n">
        <x:f>IF(COUNT(E652:F652)=2,MAX(0,E652-F652),"n.a.")</x:f>
        <x:v>500</x:v>
      </x:c>
      <x:c r="H652" s="26" t="str">
        <x:f>'Inputs'!C11</x:f>
        <x:v>Card A</x:v>
      </x:c>
      <x:c r="I652" s="26" t="n">
        <x:f>S647</x:f>
        <x:v>0</x:v>
      </x:c>
      <x:c r="J652" s="29" t="n">
        <x:f>IF('Inputs'!$D$9="Ready",'Inputs'!E11,"n.a.")</x:f>
        <x:v>0.24</x:v>
      </x:c>
      <x:c r="K652" s="26" t="n">
        <x:f>IF('Inputs'!$D$9="Ready",'Inputs'!F11,"n.a.")</x:f>
        <x:v>35</x:v>
      </x:c>
      <x:c r="L652" s="29" t="n">
        <x:f>IF('Inputs'!$D$9="Ready",'Inputs'!G11,"n.a.")</x:f>
        <x:v>0.02</x:v>
      </x:c>
      <x:c r="M652" s="22" t="n">
        <x:f>IF(COUNT(I652:L652)=4,ROUND(I652*J652/12,2),"n.a.")</x:f>
        <x:v>0</x:v>
      </x:c>
      <x:c r="N652" s="22" t="n">
        <x:f>IF(COUNT(I652:M652)=5,MIN(I652+M652,ROUND(MAX(K652,I652*L652+M652),2)),"n.a.")</x:f>
        <x:v>0</x:v>
      </x:c>
      <x:c r="O652" s="30" t="n">
        <x:f>IF(COUNT($I$652:$I$656)&lt;&gt;5,"n.a.",IF(I652=0,6,IF('Inputs'!$D$5=1,COUNTIFS($I$652:$I$656,"&gt;0",$I$652:$I$656,"&lt;"&amp;I652)+COUNTIFS($I$652:I652,I652),COUNTIFS($I$652:$I$656,"&gt;0",$J$652:$J$656,"&gt;"&amp;J652)+COUNTIFS($I$652:I652,"&gt;0",$J$652:J652,J652))))</x:f>
        <x:v>6</x:v>
      </x:c>
      <x:c r="P652" s="22" t="n">
        <x:f>IF(T652="Ready",MIN(U652,MAX(0,G652-SUMIFS($U$652:$U$656,$O$652:$O$656,"&lt;"&amp;O652))),"n.a.")</x:f>
        <x:v>0</x:v>
      </x:c>
      <x:c r="Q652" s="22" t="n">
        <x:f>IF(T652="Ready",ROUND(N652+P652,2),"n.a.")</x:f>
        <x:v>0</x:v>
      </x:c>
      <x:c r="R652" s="22" t="n">
        <x:f>IF(T652="Ready",ROUND(Q652-M652,2),"n.a.")</x:f>
        <x:v>0</x:v>
      </x:c>
      <x:c r="S652" s="22" t="n">
        <x:f>IF(T652="Ready",MAX(0,ROUND(I652+M652-Q652,2)),"n.a.")</x:f>
        <x:v>0</x:v>
      </x:c>
      <x:c r="T652" s="22" t="str">
        <x:f>IF(AND(COUNT($I$652:$I$656)=5,COUNT(E652:F652)=2),IF(E652&gt;=F652,"Ready","Budget below minima"),"Check inputs")</x:f>
        <x:v>Ready</x:v>
      </x:c>
      <x:c r="U652" s="22" t="n">
        <x:f>IF(COUNT(I652,M652,N652)=3,MAX(0,ROUND(I652+M652-N652,2)),"n.a.")</x:f>
        <x:v>0</x:v>
      </x:c>
    </x:row>
    <x:row r="653" ht="22" customHeight="1">
      <x:c r="A653" s="2"/>
      <x:c r="B653" s="2"/>
      <x:c r="C653" s="27" t="n">
        <x:f>130</x:f>
        <x:v>130</x:v>
      </x:c>
      <x:c r="D653" s="28" t="n">
        <x:f>IF(ISNUMBER('Inputs'!$D$7),EDATE('Inputs'!$D$7,129),"n.a.")</x:f>
        <x:v>50253</x:v>
      </x:c>
      <x:c r="E653" s="26" t="n">
        <x:f>IF('Inputs'!$D$9&lt;&gt;"Ready","n.a.",IF(ISNUMBER('Inputs'!E148),IF('Inputs'!E148&gt;=0,'Inputs'!E148,"n.a."),IF('Inputs'!E148="",'Inputs'!$D$6,"n.a.")))</x:f>
        <x:v>500</x:v>
      </x:c>
      <x:c r="F653" s="22" t="n">
        <x:f>IF(COUNT($N$652:$N$656)=5,SUM($N$652:$N$656),"n.a.")</x:f>
        <x:v>0</x:v>
      </x:c>
      <x:c r="G653" s="22" t="n">
        <x:f>IF(COUNT(E653:F653)=2,MAX(0,E653-F653),"n.a.")</x:f>
        <x:v>500</x:v>
      </x:c>
      <x:c r="H653" s="26" t="str">
        <x:f>'Inputs'!C12</x:f>
        <x:v>Card B</x:v>
      </x:c>
      <x:c r="I653" s="26" t="n">
        <x:f>S648</x:f>
        <x:v>0</x:v>
      </x:c>
      <x:c r="J653" s="29" t="n">
        <x:f>IF('Inputs'!$D$9="Ready",'Inputs'!E12,"n.a.")</x:f>
        <x:v>0.18</x:v>
      </x:c>
      <x:c r="K653" s="26" t="n">
        <x:f>IF('Inputs'!$D$9="Ready",'Inputs'!F12,"n.a.")</x:f>
        <x:v>60</x:v>
      </x:c>
      <x:c r="L653" s="29" t="n">
        <x:f>IF('Inputs'!$D$9="Ready",'Inputs'!G12,"n.a.")</x:f>
        <x:v>0.02</x:v>
      </x:c>
      <x:c r="M653" s="22" t="n">
        <x:f>IF(COUNT(I653:L653)=4,ROUND(I653*J653/12,2),"n.a.")</x:f>
        <x:v>0</x:v>
      </x:c>
      <x:c r="N653" s="22" t="n">
        <x:f>IF(COUNT(I653:M653)=5,MIN(I653+M653,ROUND(MAX(K653,I653*L653+M653),2)),"n.a.")</x:f>
        <x:v>0</x:v>
      </x:c>
      <x:c r="O653" s="30" t="n">
        <x:f>IF(COUNT($I$652:$I$656)&lt;&gt;5,"n.a.",IF(I653=0,6,IF('Inputs'!$D$5=1,COUNTIFS($I$652:$I$656,"&gt;0",$I$652:$I$656,"&lt;"&amp;I653)+COUNTIFS($I$652:I653,I653),COUNTIFS($I$652:$I$656,"&gt;0",$J$652:$J$656,"&gt;"&amp;J653)+COUNTIFS($I$652:I653,"&gt;0",$J$652:J653,J653))))</x:f>
        <x:v>6</x:v>
      </x:c>
      <x:c r="P653" s="22" t="n">
        <x:f>IF(T653="Ready",MIN(U653,MAX(0,G653-SUMIFS($U$652:$U$656,$O$652:$O$656,"&lt;"&amp;O653))),"n.a.")</x:f>
        <x:v>0</x:v>
      </x:c>
      <x:c r="Q653" s="22" t="n">
        <x:f>IF(T653="Ready",ROUND(N653+P653,2),"n.a.")</x:f>
        <x:v>0</x:v>
      </x:c>
      <x:c r="R653" s="22" t="n">
        <x:f>IF(T653="Ready",ROUND(Q653-M653,2),"n.a.")</x:f>
        <x:v>0</x:v>
      </x:c>
      <x:c r="S653" s="22" t="n">
        <x:f>IF(T653="Ready",MAX(0,ROUND(I653+M653-Q653,2)),"n.a.")</x:f>
        <x:v>0</x:v>
      </x:c>
      <x:c r="T653" s="22" t="str">
        <x:f>IF(AND(COUNT($I$652:$I$656)=5,COUNT(E653:F653)=2),IF(E653&gt;=F653,"Ready","Budget below minima"),"Check inputs")</x:f>
        <x:v>Ready</x:v>
      </x:c>
      <x:c r="U653" s="22" t="n">
        <x:f>IF(COUNT(I653,M653,N653)=3,MAX(0,ROUND(I653+M653-N653,2)),"n.a.")</x:f>
        <x:v>0</x:v>
      </x:c>
    </x:row>
    <x:row r="654" ht="22" customHeight="1">
      <x:c r="A654" s="2"/>
      <x:c r="B654" s="2"/>
      <x:c r="C654" s="27" t="n">
        <x:f>130</x:f>
        <x:v>130</x:v>
      </x:c>
      <x:c r="D654" s="28" t="n">
        <x:f>IF(ISNUMBER('Inputs'!$D$7),EDATE('Inputs'!$D$7,129),"n.a.")</x:f>
        <x:v>50253</x:v>
      </x:c>
      <x:c r="E654" s="26" t="n">
        <x:f>IF('Inputs'!$D$9&lt;&gt;"Ready","n.a.",IF(ISNUMBER('Inputs'!E148),IF('Inputs'!E148&gt;=0,'Inputs'!E148,"n.a."),IF('Inputs'!E148="",'Inputs'!$D$6,"n.a.")))</x:f>
        <x:v>500</x:v>
      </x:c>
      <x:c r="F654" s="22" t="n">
        <x:f>IF(COUNT($N$652:$N$656)=5,SUM($N$652:$N$656),"n.a.")</x:f>
        <x:v>0</x:v>
      </x:c>
      <x:c r="G654" s="22" t="n">
        <x:f>IF(COUNT(E654:F654)=2,MAX(0,E654-F654),"n.a.")</x:f>
        <x:v>500</x:v>
      </x:c>
      <x:c r="H654" s="26" t="str">
        <x:f>'Inputs'!C13</x:f>
        <x:v>Loan C</x:v>
      </x:c>
      <x:c r="I654" s="26" t="n">
        <x:f>S649</x:f>
        <x:v>0</x:v>
      </x:c>
      <x:c r="J654" s="29" t="n">
        <x:f>IF('Inputs'!$D$9="Ready",'Inputs'!E13,"n.a.")</x:f>
        <x:v>0.08</x:v>
      </x:c>
      <x:c r="K654" s="26" t="n">
        <x:f>IF('Inputs'!$D$9="Ready",'Inputs'!F13,"n.a.")</x:f>
        <x:v>150</x:v>
      </x:c>
      <x:c r="L654" s="29" t="n">
        <x:f>IF('Inputs'!$D$9="Ready",'Inputs'!G13,"n.a.")</x:f>
        <x:v>0</x:v>
      </x:c>
      <x:c r="M654" s="22" t="n">
        <x:f>IF(COUNT(I654:L654)=4,ROUND(I654*J654/12,2),"n.a.")</x:f>
        <x:v>0</x:v>
      </x:c>
      <x:c r="N654" s="22" t="n">
        <x:f>IF(COUNT(I654:M654)=5,MIN(I654+M654,ROUND(MAX(K654,I654*L654+M654),2)),"n.a.")</x:f>
        <x:v>0</x:v>
      </x:c>
      <x:c r="O654" s="30" t="n">
        <x:f>IF(COUNT($I$652:$I$656)&lt;&gt;5,"n.a.",IF(I654=0,6,IF('Inputs'!$D$5=1,COUNTIFS($I$652:$I$656,"&gt;0",$I$652:$I$656,"&lt;"&amp;I654)+COUNTIFS($I$652:I654,I654),COUNTIFS($I$652:$I$656,"&gt;0",$J$652:$J$656,"&gt;"&amp;J654)+COUNTIFS($I$652:I654,"&gt;0",$J$652:J654,J654))))</x:f>
        <x:v>6</x:v>
      </x:c>
      <x:c r="P654" s="22" t="n">
        <x:f>IF(T654="Ready",MIN(U654,MAX(0,G654-SUMIFS($U$652:$U$656,$O$652:$O$656,"&lt;"&amp;O654))),"n.a.")</x:f>
        <x:v>0</x:v>
      </x:c>
      <x:c r="Q654" s="22" t="n">
        <x:f>IF(T654="Ready",ROUND(N654+P654,2),"n.a.")</x:f>
        <x:v>0</x:v>
      </x:c>
      <x:c r="R654" s="22" t="n">
        <x:f>IF(T654="Ready",ROUND(Q654-M654,2),"n.a.")</x:f>
        <x:v>0</x:v>
      </x:c>
      <x:c r="S654" s="22" t="n">
        <x:f>IF(T654="Ready",MAX(0,ROUND(I654+M654-Q654,2)),"n.a.")</x:f>
        <x:v>0</x:v>
      </x:c>
      <x:c r="T654" s="22" t="str">
        <x:f>IF(AND(COUNT($I$652:$I$656)=5,COUNT(E654:F654)=2),IF(E654&gt;=F654,"Ready","Budget below minima"),"Check inputs")</x:f>
        <x:v>Ready</x:v>
      </x:c>
      <x:c r="U654" s="22" t="n">
        <x:f>IF(COUNT(I654,M654,N654)=3,MAX(0,ROUND(I654+M654-N654,2)),"n.a.")</x:f>
        <x:v>0</x:v>
      </x:c>
    </x:row>
    <x:row r="655" ht="22" customHeight="1">
      <x:c r="A655" s="2"/>
      <x:c r="B655" s="2"/>
      <x:c r="C655" s="27" t="n">
        <x:f>130</x:f>
        <x:v>130</x:v>
      </x:c>
      <x:c r="D655" s="28" t="n">
        <x:f>IF(ISNUMBER('Inputs'!$D$7),EDATE('Inputs'!$D$7,129),"n.a.")</x:f>
        <x:v>50253</x:v>
      </x:c>
      <x:c r="E655" s="26" t="n">
        <x:f>IF('Inputs'!$D$9&lt;&gt;"Ready","n.a.",IF(ISNUMBER('Inputs'!E148),IF('Inputs'!E148&gt;=0,'Inputs'!E148,"n.a."),IF('Inputs'!E148="",'Inputs'!$D$6,"n.a.")))</x:f>
        <x:v>500</x:v>
      </x:c>
      <x:c r="F655" s="22" t="n">
        <x:f>IF(COUNT($N$652:$N$656)=5,SUM($N$652:$N$656),"n.a.")</x:f>
        <x:v>0</x:v>
      </x:c>
      <x:c r="G655" s="22" t="n">
        <x:f>IF(COUNT(E655:F655)=2,MAX(0,E655-F655),"n.a.")</x:f>
        <x:v>500</x:v>
      </x:c>
      <x:c r="H655" s="26" t="str">
        <x:f>'Inputs'!C14</x:f>
        <x:v>Unused 4</x:v>
      </x:c>
      <x:c r="I655" s="26" t="n">
        <x:f>S650</x:f>
        <x:v>0</x:v>
      </x:c>
      <x:c r="J655" s="29" t="n">
        <x:f>IF('Inputs'!$D$9="Ready",'Inputs'!E14,"n.a.")</x:f>
        <x:v>0</x:v>
      </x:c>
      <x:c r="K655" s="26" t="n">
        <x:f>IF('Inputs'!$D$9="Ready",'Inputs'!F14,"n.a.")</x:f>
        <x:v>0</x:v>
      </x:c>
      <x:c r="L655" s="29" t="n">
        <x:f>IF('Inputs'!$D$9="Ready",'Inputs'!G14,"n.a.")</x:f>
        <x:v>0</x:v>
      </x:c>
      <x:c r="M655" s="22" t="n">
        <x:f>IF(COUNT(I655:L655)=4,ROUND(I655*J655/12,2),"n.a.")</x:f>
        <x:v>0</x:v>
      </x:c>
      <x:c r="N655" s="22" t="n">
        <x:f>IF(COUNT(I655:M655)=5,MIN(I655+M655,ROUND(MAX(K655,I655*L655+M655),2)),"n.a.")</x:f>
        <x:v>0</x:v>
      </x:c>
      <x:c r="O655" s="30" t="n">
        <x:f>IF(COUNT($I$652:$I$656)&lt;&gt;5,"n.a.",IF(I655=0,6,IF('Inputs'!$D$5=1,COUNTIFS($I$652:$I$656,"&gt;0",$I$652:$I$656,"&lt;"&amp;I655)+COUNTIFS($I$652:I655,I655),COUNTIFS($I$652:$I$656,"&gt;0",$J$652:$J$656,"&gt;"&amp;J655)+COUNTIFS($I$652:I655,"&gt;0",$J$652:J655,J655))))</x:f>
        <x:v>6</x:v>
      </x:c>
      <x:c r="P655" s="22" t="n">
        <x:f>IF(T655="Ready",MIN(U655,MAX(0,G655-SUMIFS($U$652:$U$656,$O$652:$O$656,"&lt;"&amp;O655))),"n.a.")</x:f>
        <x:v>0</x:v>
      </x:c>
      <x:c r="Q655" s="22" t="n">
        <x:f>IF(T655="Ready",ROUND(N655+P655,2),"n.a.")</x:f>
        <x:v>0</x:v>
      </x:c>
      <x:c r="R655" s="22" t="n">
        <x:f>IF(T655="Ready",ROUND(Q655-M655,2),"n.a.")</x:f>
        <x:v>0</x:v>
      </x:c>
      <x:c r="S655" s="22" t="n">
        <x:f>IF(T655="Ready",MAX(0,ROUND(I655+M655-Q655,2)),"n.a.")</x:f>
        <x:v>0</x:v>
      </x:c>
      <x:c r="T655" s="22" t="str">
        <x:f>IF(AND(COUNT($I$652:$I$656)=5,COUNT(E655:F655)=2),IF(E655&gt;=F655,"Ready","Budget below minima"),"Check inputs")</x:f>
        <x:v>Ready</x:v>
      </x:c>
      <x:c r="U655" s="22" t="n">
        <x:f>IF(COUNT(I655,M655,N655)=3,MAX(0,ROUND(I655+M655-N655,2)),"n.a.")</x:f>
        <x:v>0</x:v>
      </x:c>
    </x:row>
    <x:row r="656" ht="22" customHeight="1">
      <x:c r="A656" s="2"/>
      <x:c r="B656" s="2"/>
      <x:c r="C656" s="27" t="n">
        <x:f>130</x:f>
        <x:v>130</x:v>
      </x:c>
      <x:c r="D656" s="28" t="n">
        <x:f>IF(ISNUMBER('Inputs'!$D$7),EDATE('Inputs'!$D$7,129),"n.a.")</x:f>
        <x:v>50253</x:v>
      </x:c>
      <x:c r="E656" s="26" t="n">
        <x:f>IF('Inputs'!$D$9&lt;&gt;"Ready","n.a.",IF(ISNUMBER('Inputs'!E148),IF('Inputs'!E148&gt;=0,'Inputs'!E148,"n.a."),IF('Inputs'!E148="",'Inputs'!$D$6,"n.a.")))</x:f>
        <x:v>500</x:v>
      </x:c>
      <x:c r="F656" s="22" t="n">
        <x:f>IF(COUNT($N$652:$N$656)=5,SUM($N$652:$N$656),"n.a.")</x:f>
        <x:v>0</x:v>
      </x:c>
      <x:c r="G656" s="22" t="n">
        <x:f>IF(COUNT(E656:F656)=2,MAX(0,E656-F656),"n.a.")</x:f>
        <x:v>500</x:v>
      </x:c>
      <x:c r="H656" s="26" t="str">
        <x:f>'Inputs'!C15</x:f>
        <x:v>Unused 5</x:v>
      </x:c>
      <x:c r="I656" s="26" t="n">
        <x:f>S651</x:f>
        <x:v>0</x:v>
      </x:c>
      <x:c r="J656" s="29" t="n">
        <x:f>IF('Inputs'!$D$9="Ready",'Inputs'!E15,"n.a.")</x:f>
        <x:v>0</x:v>
      </x:c>
      <x:c r="K656" s="26" t="n">
        <x:f>IF('Inputs'!$D$9="Ready",'Inputs'!F15,"n.a.")</x:f>
        <x:v>0</x:v>
      </x:c>
      <x:c r="L656" s="29" t="n">
        <x:f>IF('Inputs'!$D$9="Ready",'Inputs'!G15,"n.a.")</x:f>
        <x:v>0</x:v>
      </x:c>
      <x:c r="M656" s="22" t="n">
        <x:f>IF(COUNT(I656:L656)=4,ROUND(I656*J656/12,2),"n.a.")</x:f>
        <x:v>0</x:v>
      </x:c>
      <x:c r="N656" s="22" t="n">
        <x:f>IF(COUNT(I656:M656)=5,MIN(I656+M656,ROUND(MAX(K656,I656*L656+M656),2)),"n.a.")</x:f>
        <x:v>0</x:v>
      </x:c>
      <x:c r="O656" s="30" t="n">
        <x:f>IF(COUNT($I$652:$I$656)&lt;&gt;5,"n.a.",IF(I656=0,6,IF('Inputs'!$D$5=1,COUNTIFS($I$652:$I$656,"&gt;0",$I$652:$I$656,"&lt;"&amp;I656)+COUNTIFS($I$652:I656,I656),COUNTIFS($I$652:$I$656,"&gt;0",$J$652:$J$656,"&gt;"&amp;J656)+COUNTIFS($I$652:I656,"&gt;0",$J$652:J656,J656))))</x:f>
        <x:v>6</x:v>
      </x:c>
      <x:c r="P656" s="22" t="n">
        <x:f>IF(T656="Ready",MIN(U656,MAX(0,G656-SUMIFS($U$652:$U$656,$O$652:$O$656,"&lt;"&amp;O656))),"n.a.")</x:f>
        <x:v>0</x:v>
      </x:c>
      <x:c r="Q656" s="22" t="n">
        <x:f>IF(T656="Ready",ROUND(N656+P656,2),"n.a.")</x:f>
        <x:v>0</x:v>
      </x:c>
      <x:c r="R656" s="22" t="n">
        <x:f>IF(T656="Ready",ROUND(Q656-M656,2),"n.a.")</x:f>
        <x:v>0</x:v>
      </x:c>
      <x:c r="S656" s="22" t="n">
        <x:f>IF(T656="Ready",MAX(0,ROUND(I656+M656-Q656,2)),"n.a.")</x:f>
        <x:v>0</x:v>
      </x:c>
      <x:c r="T656" s="22" t="str">
        <x:f>IF(AND(COUNT($I$652:$I$656)=5,COUNT(E656:F656)=2),IF(E656&gt;=F656,"Ready","Budget below minima"),"Check inputs")</x:f>
        <x:v>Ready</x:v>
      </x:c>
      <x:c r="U656" s="22" t="n">
        <x:f>IF(COUNT(I656,M656,N656)=3,MAX(0,ROUND(I656+M656-N656,2)),"n.a.")</x:f>
        <x:v>0</x:v>
      </x:c>
    </x:row>
    <x:row r="657" ht="22" customHeight="1">
      <x:c r="A657" s="2"/>
      <x:c r="B657" s="2"/>
      <x:c r="C657" s="27" t="n">
        <x:f>131</x:f>
        <x:v>131</x:v>
      </x:c>
      <x:c r="D657" s="28" t="n">
        <x:f>IF(ISNUMBER('Inputs'!$D$7),EDATE('Inputs'!$D$7,130),"n.a.")</x:f>
        <x:v>50284</x:v>
      </x:c>
      <x:c r="E657" s="26" t="n">
        <x:f>IF('Inputs'!$D$9&lt;&gt;"Ready","n.a.",IF(ISNUMBER('Inputs'!E149),IF('Inputs'!E149&gt;=0,'Inputs'!E149,"n.a."),IF('Inputs'!E149="",'Inputs'!$D$6,"n.a.")))</x:f>
        <x:v>500</x:v>
      </x:c>
      <x:c r="F657" s="22" t="n">
        <x:f>IF(COUNT($N$657:$N$661)=5,SUM($N$657:$N$661),"n.a.")</x:f>
        <x:v>0</x:v>
      </x:c>
      <x:c r="G657" s="22" t="n">
        <x:f>IF(COUNT(E657:F657)=2,MAX(0,E657-F657),"n.a.")</x:f>
        <x:v>500</x:v>
      </x:c>
      <x:c r="H657" s="26" t="str">
        <x:f>'Inputs'!C11</x:f>
        <x:v>Card A</x:v>
      </x:c>
      <x:c r="I657" s="26" t="n">
        <x:f>S652</x:f>
        <x:v>0</x:v>
      </x:c>
      <x:c r="J657" s="29" t="n">
        <x:f>IF('Inputs'!$D$9="Ready",'Inputs'!E11,"n.a.")</x:f>
        <x:v>0.24</x:v>
      </x:c>
      <x:c r="K657" s="26" t="n">
        <x:f>IF('Inputs'!$D$9="Ready",'Inputs'!F11,"n.a.")</x:f>
        <x:v>35</x:v>
      </x:c>
      <x:c r="L657" s="29" t="n">
        <x:f>IF('Inputs'!$D$9="Ready",'Inputs'!G11,"n.a.")</x:f>
        <x:v>0.02</x:v>
      </x:c>
      <x:c r="M657" s="22" t="n">
        <x:f>IF(COUNT(I657:L657)=4,ROUND(I657*J657/12,2),"n.a.")</x:f>
        <x:v>0</x:v>
      </x:c>
      <x:c r="N657" s="22" t="n">
        <x:f>IF(COUNT(I657:M657)=5,MIN(I657+M657,ROUND(MAX(K657,I657*L657+M657),2)),"n.a.")</x:f>
        <x:v>0</x:v>
      </x:c>
      <x:c r="O657" s="30" t="n">
        <x:f>IF(COUNT($I$657:$I$661)&lt;&gt;5,"n.a.",IF(I657=0,6,IF('Inputs'!$D$5=1,COUNTIFS($I$657:$I$661,"&gt;0",$I$657:$I$661,"&lt;"&amp;I657)+COUNTIFS($I$657:I657,I657),COUNTIFS($I$657:$I$661,"&gt;0",$J$657:$J$661,"&gt;"&amp;J657)+COUNTIFS($I$657:I657,"&gt;0",$J$657:J657,J657))))</x:f>
        <x:v>6</x:v>
      </x:c>
      <x:c r="P657" s="22" t="n">
        <x:f>IF(T657="Ready",MIN(U657,MAX(0,G657-SUMIFS($U$657:$U$661,$O$657:$O$661,"&lt;"&amp;O657))),"n.a.")</x:f>
        <x:v>0</x:v>
      </x:c>
      <x:c r="Q657" s="22" t="n">
        <x:f>IF(T657="Ready",ROUND(N657+P657,2),"n.a.")</x:f>
        <x:v>0</x:v>
      </x:c>
      <x:c r="R657" s="22" t="n">
        <x:f>IF(T657="Ready",ROUND(Q657-M657,2),"n.a.")</x:f>
        <x:v>0</x:v>
      </x:c>
      <x:c r="S657" s="22" t="n">
        <x:f>IF(T657="Ready",MAX(0,ROUND(I657+M657-Q657,2)),"n.a.")</x:f>
        <x:v>0</x:v>
      </x:c>
      <x:c r="T657" s="22" t="str">
        <x:f>IF(AND(COUNT($I$657:$I$661)=5,COUNT(E657:F657)=2),IF(E657&gt;=F657,"Ready","Budget below minima"),"Check inputs")</x:f>
        <x:v>Ready</x:v>
      </x:c>
      <x:c r="U657" s="22" t="n">
        <x:f>IF(COUNT(I657,M657,N657)=3,MAX(0,ROUND(I657+M657-N657,2)),"n.a.")</x:f>
        <x:v>0</x:v>
      </x:c>
    </x:row>
    <x:row r="658" ht="22" customHeight="1">
      <x:c r="A658" s="2"/>
      <x:c r="B658" s="2"/>
      <x:c r="C658" s="27" t="n">
        <x:f>131</x:f>
        <x:v>131</x:v>
      </x:c>
      <x:c r="D658" s="28" t="n">
        <x:f>IF(ISNUMBER('Inputs'!$D$7),EDATE('Inputs'!$D$7,130),"n.a.")</x:f>
        <x:v>50284</x:v>
      </x:c>
      <x:c r="E658" s="26" t="n">
        <x:f>IF('Inputs'!$D$9&lt;&gt;"Ready","n.a.",IF(ISNUMBER('Inputs'!E149),IF('Inputs'!E149&gt;=0,'Inputs'!E149,"n.a."),IF('Inputs'!E149="",'Inputs'!$D$6,"n.a.")))</x:f>
        <x:v>500</x:v>
      </x:c>
      <x:c r="F658" s="22" t="n">
        <x:f>IF(COUNT($N$657:$N$661)=5,SUM($N$657:$N$661),"n.a.")</x:f>
        <x:v>0</x:v>
      </x:c>
      <x:c r="G658" s="22" t="n">
        <x:f>IF(COUNT(E658:F658)=2,MAX(0,E658-F658),"n.a.")</x:f>
        <x:v>500</x:v>
      </x:c>
      <x:c r="H658" s="26" t="str">
        <x:f>'Inputs'!C12</x:f>
        <x:v>Card B</x:v>
      </x:c>
      <x:c r="I658" s="26" t="n">
        <x:f>S653</x:f>
        <x:v>0</x:v>
      </x:c>
      <x:c r="J658" s="29" t="n">
        <x:f>IF('Inputs'!$D$9="Ready",'Inputs'!E12,"n.a.")</x:f>
        <x:v>0.18</x:v>
      </x:c>
      <x:c r="K658" s="26" t="n">
        <x:f>IF('Inputs'!$D$9="Ready",'Inputs'!F12,"n.a.")</x:f>
        <x:v>60</x:v>
      </x:c>
      <x:c r="L658" s="29" t="n">
        <x:f>IF('Inputs'!$D$9="Ready",'Inputs'!G12,"n.a.")</x:f>
        <x:v>0.02</x:v>
      </x:c>
      <x:c r="M658" s="22" t="n">
        <x:f>IF(COUNT(I658:L658)=4,ROUND(I658*J658/12,2),"n.a.")</x:f>
        <x:v>0</x:v>
      </x:c>
      <x:c r="N658" s="22" t="n">
        <x:f>IF(COUNT(I658:M658)=5,MIN(I658+M658,ROUND(MAX(K658,I658*L658+M658),2)),"n.a.")</x:f>
        <x:v>0</x:v>
      </x:c>
      <x:c r="O658" s="30" t="n">
        <x:f>IF(COUNT($I$657:$I$661)&lt;&gt;5,"n.a.",IF(I658=0,6,IF('Inputs'!$D$5=1,COUNTIFS($I$657:$I$661,"&gt;0",$I$657:$I$661,"&lt;"&amp;I658)+COUNTIFS($I$657:I658,I658),COUNTIFS($I$657:$I$661,"&gt;0",$J$657:$J$661,"&gt;"&amp;J658)+COUNTIFS($I$657:I658,"&gt;0",$J$657:J658,J658))))</x:f>
        <x:v>6</x:v>
      </x:c>
      <x:c r="P658" s="22" t="n">
        <x:f>IF(T658="Ready",MIN(U658,MAX(0,G658-SUMIFS($U$657:$U$661,$O$657:$O$661,"&lt;"&amp;O658))),"n.a.")</x:f>
        <x:v>0</x:v>
      </x:c>
      <x:c r="Q658" s="22" t="n">
        <x:f>IF(T658="Ready",ROUND(N658+P658,2),"n.a.")</x:f>
        <x:v>0</x:v>
      </x:c>
      <x:c r="R658" s="22" t="n">
        <x:f>IF(T658="Ready",ROUND(Q658-M658,2),"n.a.")</x:f>
        <x:v>0</x:v>
      </x:c>
      <x:c r="S658" s="22" t="n">
        <x:f>IF(T658="Ready",MAX(0,ROUND(I658+M658-Q658,2)),"n.a.")</x:f>
        <x:v>0</x:v>
      </x:c>
      <x:c r="T658" s="22" t="str">
        <x:f>IF(AND(COUNT($I$657:$I$661)=5,COUNT(E658:F658)=2),IF(E658&gt;=F658,"Ready","Budget below minima"),"Check inputs")</x:f>
        <x:v>Ready</x:v>
      </x:c>
      <x:c r="U658" s="22" t="n">
        <x:f>IF(COUNT(I658,M658,N658)=3,MAX(0,ROUND(I658+M658-N658,2)),"n.a.")</x:f>
        <x:v>0</x:v>
      </x:c>
    </x:row>
    <x:row r="659" ht="22" customHeight="1">
      <x:c r="A659" s="2"/>
      <x:c r="B659" s="2"/>
      <x:c r="C659" s="27" t="n">
        <x:f>131</x:f>
        <x:v>131</x:v>
      </x:c>
      <x:c r="D659" s="28" t="n">
        <x:f>IF(ISNUMBER('Inputs'!$D$7),EDATE('Inputs'!$D$7,130),"n.a.")</x:f>
        <x:v>50284</x:v>
      </x:c>
      <x:c r="E659" s="26" t="n">
        <x:f>IF('Inputs'!$D$9&lt;&gt;"Ready","n.a.",IF(ISNUMBER('Inputs'!E149),IF('Inputs'!E149&gt;=0,'Inputs'!E149,"n.a."),IF('Inputs'!E149="",'Inputs'!$D$6,"n.a.")))</x:f>
        <x:v>500</x:v>
      </x:c>
      <x:c r="F659" s="22" t="n">
        <x:f>IF(COUNT($N$657:$N$661)=5,SUM($N$657:$N$661),"n.a.")</x:f>
        <x:v>0</x:v>
      </x:c>
      <x:c r="G659" s="22" t="n">
        <x:f>IF(COUNT(E659:F659)=2,MAX(0,E659-F659),"n.a.")</x:f>
        <x:v>500</x:v>
      </x:c>
      <x:c r="H659" s="26" t="str">
        <x:f>'Inputs'!C13</x:f>
        <x:v>Loan C</x:v>
      </x:c>
      <x:c r="I659" s="26" t="n">
        <x:f>S654</x:f>
        <x:v>0</x:v>
      </x:c>
      <x:c r="J659" s="29" t="n">
        <x:f>IF('Inputs'!$D$9="Ready",'Inputs'!E13,"n.a.")</x:f>
        <x:v>0.08</x:v>
      </x:c>
      <x:c r="K659" s="26" t="n">
        <x:f>IF('Inputs'!$D$9="Ready",'Inputs'!F13,"n.a.")</x:f>
        <x:v>150</x:v>
      </x:c>
      <x:c r="L659" s="29" t="n">
        <x:f>IF('Inputs'!$D$9="Ready",'Inputs'!G13,"n.a.")</x:f>
        <x:v>0</x:v>
      </x:c>
      <x:c r="M659" s="22" t="n">
        <x:f>IF(COUNT(I659:L659)=4,ROUND(I659*J659/12,2),"n.a.")</x:f>
        <x:v>0</x:v>
      </x:c>
      <x:c r="N659" s="22" t="n">
        <x:f>IF(COUNT(I659:M659)=5,MIN(I659+M659,ROUND(MAX(K659,I659*L659+M659),2)),"n.a.")</x:f>
        <x:v>0</x:v>
      </x:c>
      <x:c r="O659" s="30" t="n">
        <x:f>IF(COUNT($I$657:$I$661)&lt;&gt;5,"n.a.",IF(I659=0,6,IF('Inputs'!$D$5=1,COUNTIFS($I$657:$I$661,"&gt;0",$I$657:$I$661,"&lt;"&amp;I659)+COUNTIFS($I$657:I659,I659),COUNTIFS($I$657:$I$661,"&gt;0",$J$657:$J$661,"&gt;"&amp;J659)+COUNTIFS($I$657:I659,"&gt;0",$J$657:J659,J659))))</x:f>
        <x:v>6</x:v>
      </x:c>
      <x:c r="P659" s="22" t="n">
        <x:f>IF(T659="Ready",MIN(U659,MAX(0,G659-SUMIFS($U$657:$U$661,$O$657:$O$661,"&lt;"&amp;O659))),"n.a.")</x:f>
        <x:v>0</x:v>
      </x:c>
      <x:c r="Q659" s="22" t="n">
        <x:f>IF(T659="Ready",ROUND(N659+P659,2),"n.a.")</x:f>
        <x:v>0</x:v>
      </x:c>
      <x:c r="R659" s="22" t="n">
        <x:f>IF(T659="Ready",ROUND(Q659-M659,2),"n.a.")</x:f>
        <x:v>0</x:v>
      </x:c>
      <x:c r="S659" s="22" t="n">
        <x:f>IF(T659="Ready",MAX(0,ROUND(I659+M659-Q659,2)),"n.a.")</x:f>
        <x:v>0</x:v>
      </x:c>
      <x:c r="T659" s="22" t="str">
        <x:f>IF(AND(COUNT($I$657:$I$661)=5,COUNT(E659:F659)=2),IF(E659&gt;=F659,"Ready","Budget below minima"),"Check inputs")</x:f>
        <x:v>Ready</x:v>
      </x:c>
      <x:c r="U659" s="22" t="n">
        <x:f>IF(COUNT(I659,M659,N659)=3,MAX(0,ROUND(I659+M659-N659,2)),"n.a.")</x:f>
        <x:v>0</x:v>
      </x:c>
    </x:row>
    <x:row r="660" ht="22" customHeight="1">
      <x:c r="A660" s="2"/>
      <x:c r="B660" s="2"/>
      <x:c r="C660" s="27" t="n">
        <x:f>131</x:f>
        <x:v>131</x:v>
      </x:c>
      <x:c r="D660" s="28" t="n">
        <x:f>IF(ISNUMBER('Inputs'!$D$7),EDATE('Inputs'!$D$7,130),"n.a.")</x:f>
        <x:v>50284</x:v>
      </x:c>
      <x:c r="E660" s="26" t="n">
        <x:f>IF('Inputs'!$D$9&lt;&gt;"Ready","n.a.",IF(ISNUMBER('Inputs'!E149),IF('Inputs'!E149&gt;=0,'Inputs'!E149,"n.a."),IF('Inputs'!E149="",'Inputs'!$D$6,"n.a.")))</x:f>
        <x:v>500</x:v>
      </x:c>
      <x:c r="F660" s="22" t="n">
        <x:f>IF(COUNT($N$657:$N$661)=5,SUM($N$657:$N$661),"n.a.")</x:f>
        <x:v>0</x:v>
      </x:c>
      <x:c r="G660" s="22" t="n">
        <x:f>IF(COUNT(E660:F660)=2,MAX(0,E660-F660),"n.a.")</x:f>
        <x:v>500</x:v>
      </x:c>
      <x:c r="H660" s="26" t="str">
        <x:f>'Inputs'!C14</x:f>
        <x:v>Unused 4</x:v>
      </x:c>
      <x:c r="I660" s="26" t="n">
        <x:f>S655</x:f>
        <x:v>0</x:v>
      </x:c>
      <x:c r="J660" s="29" t="n">
        <x:f>IF('Inputs'!$D$9="Ready",'Inputs'!E14,"n.a.")</x:f>
        <x:v>0</x:v>
      </x:c>
      <x:c r="K660" s="26" t="n">
        <x:f>IF('Inputs'!$D$9="Ready",'Inputs'!F14,"n.a.")</x:f>
        <x:v>0</x:v>
      </x:c>
      <x:c r="L660" s="29" t="n">
        <x:f>IF('Inputs'!$D$9="Ready",'Inputs'!G14,"n.a.")</x:f>
        <x:v>0</x:v>
      </x:c>
      <x:c r="M660" s="22" t="n">
        <x:f>IF(COUNT(I660:L660)=4,ROUND(I660*J660/12,2),"n.a.")</x:f>
        <x:v>0</x:v>
      </x:c>
      <x:c r="N660" s="22" t="n">
        <x:f>IF(COUNT(I660:M660)=5,MIN(I660+M660,ROUND(MAX(K660,I660*L660+M660),2)),"n.a.")</x:f>
        <x:v>0</x:v>
      </x:c>
      <x:c r="O660" s="30" t="n">
        <x:f>IF(COUNT($I$657:$I$661)&lt;&gt;5,"n.a.",IF(I660=0,6,IF('Inputs'!$D$5=1,COUNTIFS($I$657:$I$661,"&gt;0",$I$657:$I$661,"&lt;"&amp;I660)+COUNTIFS($I$657:I660,I660),COUNTIFS($I$657:$I$661,"&gt;0",$J$657:$J$661,"&gt;"&amp;J660)+COUNTIFS($I$657:I660,"&gt;0",$J$657:J660,J660))))</x:f>
        <x:v>6</x:v>
      </x:c>
      <x:c r="P660" s="22" t="n">
        <x:f>IF(T660="Ready",MIN(U660,MAX(0,G660-SUMIFS($U$657:$U$661,$O$657:$O$661,"&lt;"&amp;O660))),"n.a.")</x:f>
        <x:v>0</x:v>
      </x:c>
      <x:c r="Q660" s="22" t="n">
        <x:f>IF(T660="Ready",ROUND(N660+P660,2),"n.a.")</x:f>
        <x:v>0</x:v>
      </x:c>
      <x:c r="R660" s="22" t="n">
        <x:f>IF(T660="Ready",ROUND(Q660-M660,2),"n.a.")</x:f>
        <x:v>0</x:v>
      </x:c>
      <x:c r="S660" s="22" t="n">
        <x:f>IF(T660="Ready",MAX(0,ROUND(I660+M660-Q660,2)),"n.a.")</x:f>
        <x:v>0</x:v>
      </x:c>
      <x:c r="T660" s="22" t="str">
        <x:f>IF(AND(COUNT($I$657:$I$661)=5,COUNT(E660:F660)=2),IF(E660&gt;=F660,"Ready","Budget below minima"),"Check inputs")</x:f>
        <x:v>Ready</x:v>
      </x:c>
      <x:c r="U660" s="22" t="n">
        <x:f>IF(COUNT(I660,M660,N660)=3,MAX(0,ROUND(I660+M660-N660,2)),"n.a.")</x:f>
        <x:v>0</x:v>
      </x:c>
    </x:row>
    <x:row r="661" ht="22" customHeight="1">
      <x:c r="A661" s="2"/>
      <x:c r="B661" s="2"/>
      <x:c r="C661" s="27" t="n">
        <x:f>131</x:f>
        <x:v>131</x:v>
      </x:c>
      <x:c r="D661" s="28" t="n">
        <x:f>IF(ISNUMBER('Inputs'!$D$7),EDATE('Inputs'!$D$7,130),"n.a.")</x:f>
        <x:v>50284</x:v>
      </x:c>
      <x:c r="E661" s="26" t="n">
        <x:f>IF('Inputs'!$D$9&lt;&gt;"Ready","n.a.",IF(ISNUMBER('Inputs'!E149),IF('Inputs'!E149&gt;=0,'Inputs'!E149,"n.a."),IF('Inputs'!E149="",'Inputs'!$D$6,"n.a.")))</x:f>
        <x:v>500</x:v>
      </x:c>
      <x:c r="F661" s="22" t="n">
        <x:f>IF(COUNT($N$657:$N$661)=5,SUM($N$657:$N$661),"n.a.")</x:f>
        <x:v>0</x:v>
      </x:c>
      <x:c r="G661" s="22" t="n">
        <x:f>IF(COUNT(E661:F661)=2,MAX(0,E661-F661),"n.a.")</x:f>
        <x:v>500</x:v>
      </x:c>
      <x:c r="H661" s="26" t="str">
        <x:f>'Inputs'!C15</x:f>
        <x:v>Unused 5</x:v>
      </x:c>
      <x:c r="I661" s="26" t="n">
        <x:f>S656</x:f>
        <x:v>0</x:v>
      </x:c>
      <x:c r="J661" s="29" t="n">
        <x:f>IF('Inputs'!$D$9="Ready",'Inputs'!E15,"n.a.")</x:f>
        <x:v>0</x:v>
      </x:c>
      <x:c r="K661" s="26" t="n">
        <x:f>IF('Inputs'!$D$9="Ready",'Inputs'!F15,"n.a.")</x:f>
        <x:v>0</x:v>
      </x:c>
      <x:c r="L661" s="29" t="n">
        <x:f>IF('Inputs'!$D$9="Ready",'Inputs'!G15,"n.a.")</x:f>
        <x:v>0</x:v>
      </x:c>
      <x:c r="M661" s="22" t="n">
        <x:f>IF(COUNT(I661:L661)=4,ROUND(I661*J661/12,2),"n.a.")</x:f>
        <x:v>0</x:v>
      </x:c>
      <x:c r="N661" s="22" t="n">
        <x:f>IF(COUNT(I661:M661)=5,MIN(I661+M661,ROUND(MAX(K661,I661*L661+M661),2)),"n.a.")</x:f>
        <x:v>0</x:v>
      </x:c>
      <x:c r="O661" s="30" t="n">
        <x:f>IF(COUNT($I$657:$I$661)&lt;&gt;5,"n.a.",IF(I661=0,6,IF('Inputs'!$D$5=1,COUNTIFS($I$657:$I$661,"&gt;0",$I$657:$I$661,"&lt;"&amp;I661)+COUNTIFS($I$657:I661,I661),COUNTIFS($I$657:$I$661,"&gt;0",$J$657:$J$661,"&gt;"&amp;J661)+COUNTIFS($I$657:I661,"&gt;0",$J$657:J661,J661))))</x:f>
        <x:v>6</x:v>
      </x:c>
      <x:c r="P661" s="22" t="n">
        <x:f>IF(T661="Ready",MIN(U661,MAX(0,G661-SUMIFS($U$657:$U$661,$O$657:$O$661,"&lt;"&amp;O661))),"n.a.")</x:f>
        <x:v>0</x:v>
      </x:c>
      <x:c r="Q661" s="22" t="n">
        <x:f>IF(T661="Ready",ROUND(N661+P661,2),"n.a.")</x:f>
        <x:v>0</x:v>
      </x:c>
      <x:c r="R661" s="22" t="n">
        <x:f>IF(T661="Ready",ROUND(Q661-M661,2),"n.a.")</x:f>
        <x:v>0</x:v>
      </x:c>
      <x:c r="S661" s="22" t="n">
        <x:f>IF(T661="Ready",MAX(0,ROUND(I661+M661-Q661,2)),"n.a.")</x:f>
        <x:v>0</x:v>
      </x:c>
      <x:c r="T661" s="22" t="str">
        <x:f>IF(AND(COUNT($I$657:$I$661)=5,COUNT(E661:F661)=2),IF(E661&gt;=F661,"Ready","Budget below minima"),"Check inputs")</x:f>
        <x:v>Ready</x:v>
      </x:c>
      <x:c r="U661" s="22" t="n">
        <x:f>IF(COUNT(I661,M661,N661)=3,MAX(0,ROUND(I661+M661-N661,2)),"n.a.")</x:f>
        <x:v>0</x:v>
      </x:c>
    </x:row>
    <x:row r="662" ht="22" customHeight="1">
      <x:c r="A662" s="2"/>
      <x:c r="B662" s="2"/>
      <x:c r="C662" s="27" t="n">
        <x:f>132</x:f>
        <x:v>132</x:v>
      </x:c>
      <x:c r="D662" s="28" t="n">
        <x:f>IF(ISNUMBER('Inputs'!$D$7),EDATE('Inputs'!$D$7,131),"n.a.")</x:f>
        <x:v>50314</x:v>
      </x:c>
      <x:c r="E662" s="26" t="n">
        <x:f>IF('Inputs'!$D$9&lt;&gt;"Ready","n.a.",IF(ISNUMBER('Inputs'!E150),IF('Inputs'!E150&gt;=0,'Inputs'!E150,"n.a."),IF('Inputs'!E150="",'Inputs'!$D$6,"n.a.")))</x:f>
        <x:v>500</x:v>
      </x:c>
      <x:c r="F662" s="22" t="n">
        <x:f>IF(COUNT($N$662:$N$666)=5,SUM($N$662:$N$666),"n.a.")</x:f>
        <x:v>0</x:v>
      </x:c>
      <x:c r="G662" s="22" t="n">
        <x:f>IF(COUNT(E662:F662)=2,MAX(0,E662-F662),"n.a.")</x:f>
        <x:v>500</x:v>
      </x:c>
      <x:c r="H662" s="26" t="str">
        <x:f>'Inputs'!C11</x:f>
        <x:v>Card A</x:v>
      </x:c>
      <x:c r="I662" s="26" t="n">
        <x:f>S657</x:f>
        <x:v>0</x:v>
      </x:c>
      <x:c r="J662" s="29" t="n">
        <x:f>IF('Inputs'!$D$9="Ready",'Inputs'!E11,"n.a.")</x:f>
        <x:v>0.24</x:v>
      </x:c>
      <x:c r="K662" s="26" t="n">
        <x:f>IF('Inputs'!$D$9="Ready",'Inputs'!F11,"n.a.")</x:f>
        <x:v>35</x:v>
      </x:c>
      <x:c r="L662" s="29" t="n">
        <x:f>IF('Inputs'!$D$9="Ready",'Inputs'!G11,"n.a.")</x:f>
        <x:v>0.02</x:v>
      </x:c>
      <x:c r="M662" s="22" t="n">
        <x:f>IF(COUNT(I662:L662)=4,ROUND(I662*J662/12,2),"n.a.")</x:f>
        <x:v>0</x:v>
      </x:c>
      <x:c r="N662" s="22" t="n">
        <x:f>IF(COUNT(I662:M662)=5,MIN(I662+M662,ROUND(MAX(K662,I662*L662+M662),2)),"n.a.")</x:f>
        <x:v>0</x:v>
      </x:c>
      <x:c r="O662" s="30" t="n">
        <x:f>IF(COUNT($I$662:$I$666)&lt;&gt;5,"n.a.",IF(I662=0,6,IF('Inputs'!$D$5=1,COUNTIFS($I$662:$I$666,"&gt;0",$I$662:$I$666,"&lt;"&amp;I662)+COUNTIFS($I$662:I662,I662),COUNTIFS($I$662:$I$666,"&gt;0",$J$662:$J$666,"&gt;"&amp;J662)+COUNTIFS($I$662:I662,"&gt;0",$J$662:J662,J662))))</x:f>
        <x:v>6</x:v>
      </x:c>
      <x:c r="P662" s="22" t="n">
        <x:f>IF(T662="Ready",MIN(U662,MAX(0,G662-SUMIFS($U$662:$U$666,$O$662:$O$666,"&lt;"&amp;O662))),"n.a.")</x:f>
        <x:v>0</x:v>
      </x:c>
      <x:c r="Q662" s="22" t="n">
        <x:f>IF(T662="Ready",ROUND(N662+P662,2),"n.a.")</x:f>
        <x:v>0</x:v>
      </x:c>
      <x:c r="R662" s="22" t="n">
        <x:f>IF(T662="Ready",ROUND(Q662-M662,2),"n.a.")</x:f>
        <x:v>0</x:v>
      </x:c>
      <x:c r="S662" s="22" t="n">
        <x:f>IF(T662="Ready",MAX(0,ROUND(I662+M662-Q662,2)),"n.a.")</x:f>
        <x:v>0</x:v>
      </x:c>
      <x:c r="T662" s="22" t="str">
        <x:f>IF(AND(COUNT($I$662:$I$666)=5,COUNT(E662:F662)=2),IF(E662&gt;=F662,"Ready","Budget below minima"),"Check inputs")</x:f>
        <x:v>Ready</x:v>
      </x:c>
      <x:c r="U662" s="22" t="n">
        <x:f>IF(COUNT(I662,M662,N662)=3,MAX(0,ROUND(I662+M662-N662,2)),"n.a.")</x:f>
        <x:v>0</x:v>
      </x:c>
    </x:row>
    <x:row r="663" ht="22" customHeight="1">
      <x:c r="A663" s="2"/>
      <x:c r="B663" s="2"/>
      <x:c r="C663" s="27" t="n">
        <x:f>132</x:f>
        <x:v>132</x:v>
      </x:c>
      <x:c r="D663" s="28" t="n">
        <x:f>IF(ISNUMBER('Inputs'!$D$7),EDATE('Inputs'!$D$7,131),"n.a.")</x:f>
        <x:v>50314</x:v>
      </x:c>
      <x:c r="E663" s="26" t="n">
        <x:f>IF('Inputs'!$D$9&lt;&gt;"Ready","n.a.",IF(ISNUMBER('Inputs'!E150),IF('Inputs'!E150&gt;=0,'Inputs'!E150,"n.a."),IF('Inputs'!E150="",'Inputs'!$D$6,"n.a.")))</x:f>
        <x:v>500</x:v>
      </x:c>
      <x:c r="F663" s="22" t="n">
        <x:f>IF(COUNT($N$662:$N$666)=5,SUM($N$662:$N$666),"n.a.")</x:f>
        <x:v>0</x:v>
      </x:c>
      <x:c r="G663" s="22" t="n">
        <x:f>IF(COUNT(E663:F663)=2,MAX(0,E663-F663),"n.a.")</x:f>
        <x:v>500</x:v>
      </x:c>
      <x:c r="H663" s="26" t="str">
        <x:f>'Inputs'!C12</x:f>
        <x:v>Card B</x:v>
      </x:c>
      <x:c r="I663" s="26" t="n">
        <x:f>S658</x:f>
        <x:v>0</x:v>
      </x:c>
      <x:c r="J663" s="29" t="n">
        <x:f>IF('Inputs'!$D$9="Ready",'Inputs'!E12,"n.a.")</x:f>
        <x:v>0.18</x:v>
      </x:c>
      <x:c r="K663" s="26" t="n">
        <x:f>IF('Inputs'!$D$9="Ready",'Inputs'!F12,"n.a.")</x:f>
        <x:v>60</x:v>
      </x:c>
      <x:c r="L663" s="29" t="n">
        <x:f>IF('Inputs'!$D$9="Ready",'Inputs'!G12,"n.a.")</x:f>
        <x:v>0.02</x:v>
      </x:c>
      <x:c r="M663" s="22" t="n">
        <x:f>IF(COUNT(I663:L663)=4,ROUND(I663*J663/12,2),"n.a.")</x:f>
        <x:v>0</x:v>
      </x:c>
      <x:c r="N663" s="22" t="n">
        <x:f>IF(COUNT(I663:M663)=5,MIN(I663+M663,ROUND(MAX(K663,I663*L663+M663),2)),"n.a.")</x:f>
        <x:v>0</x:v>
      </x:c>
      <x:c r="O663" s="30" t="n">
        <x:f>IF(COUNT($I$662:$I$666)&lt;&gt;5,"n.a.",IF(I663=0,6,IF('Inputs'!$D$5=1,COUNTIFS($I$662:$I$666,"&gt;0",$I$662:$I$666,"&lt;"&amp;I663)+COUNTIFS($I$662:I663,I663),COUNTIFS($I$662:$I$666,"&gt;0",$J$662:$J$666,"&gt;"&amp;J663)+COUNTIFS($I$662:I663,"&gt;0",$J$662:J663,J663))))</x:f>
        <x:v>6</x:v>
      </x:c>
      <x:c r="P663" s="22" t="n">
        <x:f>IF(T663="Ready",MIN(U663,MAX(0,G663-SUMIFS($U$662:$U$666,$O$662:$O$666,"&lt;"&amp;O663))),"n.a.")</x:f>
        <x:v>0</x:v>
      </x:c>
      <x:c r="Q663" s="22" t="n">
        <x:f>IF(T663="Ready",ROUND(N663+P663,2),"n.a.")</x:f>
        <x:v>0</x:v>
      </x:c>
      <x:c r="R663" s="22" t="n">
        <x:f>IF(T663="Ready",ROUND(Q663-M663,2),"n.a.")</x:f>
        <x:v>0</x:v>
      </x:c>
      <x:c r="S663" s="22" t="n">
        <x:f>IF(T663="Ready",MAX(0,ROUND(I663+M663-Q663,2)),"n.a.")</x:f>
        <x:v>0</x:v>
      </x:c>
      <x:c r="T663" s="22" t="str">
        <x:f>IF(AND(COUNT($I$662:$I$666)=5,COUNT(E663:F663)=2),IF(E663&gt;=F663,"Ready","Budget below minima"),"Check inputs")</x:f>
        <x:v>Ready</x:v>
      </x:c>
      <x:c r="U663" s="22" t="n">
        <x:f>IF(COUNT(I663,M663,N663)=3,MAX(0,ROUND(I663+M663-N663,2)),"n.a.")</x:f>
        <x:v>0</x:v>
      </x:c>
    </x:row>
    <x:row r="664" ht="22" customHeight="1">
      <x:c r="A664" s="2"/>
      <x:c r="B664" s="2"/>
      <x:c r="C664" s="27" t="n">
        <x:f>132</x:f>
        <x:v>132</x:v>
      </x:c>
      <x:c r="D664" s="28" t="n">
        <x:f>IF(ISNUMBER('Inputs'!$D$7),EDATE('Inputs'!$D$7,131),"n.a.")</x:f>
        <x:v>50314</x:v>
      </x:c>
      <x:c r="E664" s="26" t="n">
        <x:f>IF('Inputs'!$D$9&lt;&gt;"Ready","n.a.",IF(ISNUMBER('Inputs'!E150),IF('Inputs'!E150&gt;=0,'Inputs'!E150,"n.a."),IF('Inputs'!E150="",'Inputs'!$D$6,"n.a.")))</x:f>
        <x:v>500</x:v>
      </x:c>
      <x:c r="F664" s="22" t="n">
        <x:f>IF(COUNT($N$662:$N$666)=5,SUM($N$662:$N$666),"n.a.")</x:f>
        <x:v>0</x:v>
      </x:c>
      <x:c r="G664" s="22" t="n">
        <x:f>IF(COUNT(E664:F664)=2,MAX(0,E664-F664),"n.a.")</x:f>
        <x:v>500</x:v>
      </x:c>
      <x:c r="H664" s="26" t="str">
        <x:f>'Inputs'!C13</x:f>
        <x:v>Loan C</x:v>
      </x:c>
      <x:c r="I664" s="26" t="n">
        <x:f>S659</x:f>
        <x:v>0</x:v>
      </x:c>
      <x:c r="J664" s="29" t="n">
        <x:f>IF('Inputs'!$D$9="Ready",'Inputs'!E13,"n.a.")</x:f>
        <x:v>0.08</x:v>
      </x:c>
      <x:c r="K664" s="26" t="n">
        <x:f>IF('Inputs'!$D$9="Ready",'Inputs'!F13,"n.a.")</x:f>
        <x:v>150</x:v>
      </x:c>
      <x:c r="L664" s="29" t="n">
        <x:f>IF('Inputs'!$D$9="Ready",'Inputs'!G13,"n.a.")</x:f>
        <x:v>0</x:v>
      </x:c>
      <x:c r="M664" s="22" t="n">
        <x:f>IF(COUNT(I664:L664)=4,ROUND(I664*J664/12,2),"n.a.")</x:f>
        <x:v>0</x:v>
      </x:c>
      <x:c r="N664" s="22" t="n">
        <x:f>IF(COUNT(I664:M664)=5,MIN(I664+M664,ROUND(MAX(K664,I664*L664+M664),2)),"n.a.")</x:f>
        <x:v>0</x:v>
      </x:c>
      <x:c r="O664" s="30" t="n">
        <x:f>IF(COUNT($I$662:$I$666)&lt;&gt;5,"n.a.",IF(I664=0,6,IF('Inputs'!$D$5=1,COUNTIFS($I$662:$I$666,"&gt;0",$I$662:$I$666,"&lt;"&amp;I664)+COUNTIFS($I$662:I664,I664),COUNTIFS($I$662:$I$666,"&gt;0",$J$662:$J$666,"&gt;"&amp;J664)+COUNTIFS($I$662:I664,"&gt;0",$J$662:J664,J664))))</x:f>
        <x:v>6</x:v>
      </x:c>
      <x:c r="P664" s="22" t="n">
        <x:f>IF(T664="Ready",MIN(U664,MAX(0,G664-SUMIFS($U$662:$U$666,$O$662:$O$666,"&lt;"&amp;O664))),"n.a.")</x:f>
        <x:v>0</x:v>
      </x:c>
      <x:c r="Q664" s="22" t="n">
        <x:f>IF(T664="Ready",ROUND(N664+P664,2),"n.a.")</x:f>
        <x:v>0</x:v>
      </x:c>
      <x:c r="R664" s="22" t="n">
        <x:f>IF(T664="Ready",ROUND(Q664-M664,2),"n.a.")</x:f>
        <x:v>0</x:v>
      </x:c>
      <x:c r="S664" s="22" t="n">
        <x:f>IF(T664="Ready",MAX(0,ROUND(I664+M664-Q664,2)),"n.a.")</x:f>
        <x:v>0</x:v>
      </x:c>
      <x:c r="T664" s="22" t="str">
        <x:f>IF(AND(COUNT($I$662:$I$666)=5,COUNT(E664:F664)=2),IF(E664&gt;=F664,"Ready","Budget below minima"),"Check inputs")</x:f>
        <x:v>Ready</x:v>
      </x:c>
      <x:c r="U664" s="22" t="n">
        <x:f>IF(COUNT(I664,M664,N664)=3,MAX(0,ROUND(I664+M664-N664,2)),"n.a.")</x:f>
        <x:v>0</x:v>
      </x:c>
    </x:row>
    <x:row r="665" ht="22" customHeight="1">
      <x:c r="A665" s="2"/>
      <x:c r="B665" s="2"/>
      <x:c r="C665" s="27" t="n">
        <x:f>132</x:f>
        <x:v>132</x:v>
      </x:c>
      <x:c r="D665" s="28" t="n">
        <x:f>IF(ISNUMBER('Inputs'!$D$7),EDATE('Inputs'!$D$7,131),"n.a.")</x:f>
        <x:v>50314</x:v>
      </x:c>
      <x:c r="E665" s="26" t="n">
        <x:f>IF('Inputs'!$D$9&lt;&gt;"Ready","n.a.",IF(ISNUMBER('Inputs'!E150),IF('Inputs'!E150&gt;=0,'Inputs'!E150,"n.a."),IF('Inputs'!E150="",'Inputs'!$D$6,"n.a.")))</x:f>
        <x:v>500</x:v>
      </x:c>
      <x:c r="F665" s="22" t="n">
        <x:f>IF(COUNT($N$662:$N$666)=5,SUM($N$662:$N$666),"n.a.")</x:f>
        <x:v>0</x:v>
      </x:c>
      <x:c r="G665" s="22" t="n">
        <x:f>IF(COUNT(E665:F665)=2,MAX(0,E665-F665),"n.a.")</x:f>
        <x:v>500</x:v>
      </x:c>
      <x:c r="H665" s="26" t="str">
        <x:f>'Inputs'!C14</x:f>
        <x:v>Unused 4</x:v>
      </x:c>
      <x:c r="I665" s="26" t="n">
        <x:f>S660</x:f>
        <x:v>0</x:v>
      </x:c>
      <x:c r="J665" s="29" t="n">
        <x:f>IF('Inputs'!$D$9="Ready",'Inputs'!E14,"n.a.")</x:f>
        <x:v>0</x:v>
      </x:c>
      <x:c r="K665" s="26" t="n">
        <x:f>IF('Inputs'!$D$9="Ready",'Inputs'!F14,"n.a.")</x:f>
        <x:v>0</x:v>
      </x:c>
      <x:c r="L665" s="29" t="n">
        <x:f>IF('Inputs'!$D$9="Ready",'Inputs'!G14,"n.a.")</x:f>
        <x:v>0</x:v>
      </x:c>
      <x:c r="M665" s="22" t="n">
        <x:f>IF(COUNT(I665:L665)=4,ROUND(I665*J665/12,2),"n.a.")</x:f>
        <x:v>0</x:v>
      </x:c>
      <x:c r="N665" s="22" t="n">
        <x:f>IF(COUNT(I665:M665)=5,MIN(I665+M665,ROUND(MAX(K665,I665*L665+M665),2)),"n.a.")</x:f>
        <x:v>0</x:v>
      </x:c>
      <x:c r="O665" s="30" t="n">
        <x:f>IF(COUNT($I$662:$I$666)&lt;&gt;5,"n.a.",IF(I665=0,6,IF('Inputs'!$D$5=1,COUNTIFS($I$662:$I$666,"&gt;0",$I$662:$I$666,"&lt;"&amp;I665)+COUNTIFS($I$662:I665,I665),COUNTIFS($I$662:$I$666,"&gt;0",$J$662:$J$666,"&gt;"&amp;J665)+COUNTIFS($I$662:I665,"&gt;0",$J$662:J665,J665))))</x:f>
        <x:v>6</x:v>
      </x:c>
      <x:c r="P665" s="22" t="n">
        <x:f>IF(T665="Ready",MIN(U665,MAX(0,G665-SUMIFS($U$662:$U$666,$O$662:$O$666,"&lt;"&amp;O665))),"n.a.")</x:f>
        <x:v>0</x:v>
      </x:c>
      <x:c r="Q665" s="22" t="n">
        <x:f>IF(T665="Ready",ROUND(N665+P665,2),"n.a.")</x:f>
        <x:v>0</x:v>
      </x:c>
      <x:c r="R665" s="22" t="n">
        <x:f>IF(T665="Ready",ROUND(Q665-M665,2),"n.a.")</x:f>
        <x:v>0</x:v>
      </x:c>
      <x:c r="S665" s="22" t="n">
        <x:f>IF(T665="Ready",MAX(0,ROUND(I665+M665-Q665,2)),"n.a.")</x:f>
        <x:v>0</x:v>
      </x:c>
      <x:c r="T665" s="22" t="str">
        <x:f>IF(AND(COUNT($I$662:$I$666)=5,COUNT(E665:F665)=2),IF(E665&gt;=F665,"Ready","Budget below minima"),"Check inputs")</x:f>
        <x:v>Ready</x:v>
      </x:c>
      <x:c r="U665" s="22" t="n">
        <x:f>IF(COUNT(I665,M665,N665)=3,MAX(0,ROUND(I665+M665-N665,2)),"n.a.")</x:f>
        <x:v>0</x:v>
      </x:c>
    </x:row>
    <x:row r="666" ht="22" customHeight="1">
      <x:c r="A666" s="2"/>
      <x:c r="B666" s="2"/>
      <x:c r="C666" s="27" t="n">
        <x:f>132</x:f>
        <x:v>132</x:v>
      </x:c>
      <x:c r="D666" s="28" t="n">
        <x:f>IF(ISNUMBER('Inputs'!$D$7),EDATE('Inputs'!$D$7,131),"n.a.")</x:f>
        <x:v>50314</x:v>
      </x:c>
      <x:c r="E666" s="26" t="n">
        <x:f>IF('Inputs'!$D$9&lt;&gt;"Ready","n.a.",IF(ISNUMBER('Inputs'!E150),IF('Inputs'!E150&gt;=0,'Inputs'!E150,"n.a."),IF('Inputs'!E150="",'Inputs'!$D$6,"n.a.")))</x:f>
        <x:v>500</x:v>
      </x:c>
      <x:c r="F666" s="22" t="n">
        <x:f>IF(COUNT($N$662:$N$666)=5,SUM($N$662:$N$666),"n.a.")</x:f>
        <x:v>0</x:v>
      </x:c>
      <x:c r="G666" s="22" t="n">
        <x:f>IF(COUNT(E666:F666)=2,MAX(0,E666-F666),"n.a.")</x:f>
        <x:v>500</x:v>
      </x:c>
      <x:c r="H666" s="26" t="str">
        <x:f>'Inputs'!C15</x:f>
        <x:v>Unused 5</x:v>
      </x:c>
      <x:c r="I666" s="26" t="n">
        <x:f>S661</x:f>
        <x:v>0</x:v>
      </x:c>
      <x:c r="J666" s="29" t="n">
        <x:f>IF('Inputs'!$D$9="Ready",'Inputs'!E15,"n.a.")</x:f>
        <x:v>0</x:v>
      </x:c>
      <x:c r="K666" s="26" t="n">
        <x:f>IF('Inputs'!$D$9="Ready",'Inputs'!F15,"n.a.")</x:f>
        <x:v>0</x:v>
      </x:c>
      <x:c r="L666" s="29" t="n">
        <x:f>IF('Inputs'!$D$9="Ready",'Inputs'!G15,"n.a.")</x:f>
        <x:v>0</x:v>
      </x:c>
      <x:c r="M666" s="22" t="n">
        <x:f>IF(COUNT(I666:L666)=4,ROUND(I666*J666/12,2),"n.a.")</x:f>
        <x:v>0</x:v>
      </x:c>
      <x:c r="N666" s="22" t="n">
        <x:f>IF(COUNT(I666:M666)=5,MIN(I666+M666,ROUND(MAX(K666,I666*L666+M666),2)),"n.a.")</x:f>
        <x:v>0</x:v>
      </x:c>
      <x:c r="O666" s="30" t="n">
        <x:f>IF(COUNT($I$662:$I$666)&lt;&gt;5,"n.a.",IF(I666=0,6,IF('Inputs'!$D$5=1,COUNTIFS($I$662:$I$666,"&gt;0",$I$662:$I$666,"&lt;"&amp;I666)+COUNTIFS($I$662:I666,I666),COUNTIFS($I$662:$I$666,"&gt;0",$J$662:$J$666,"&gt;"&amp;J666)+COUNTIFS($I$662:I666,"&gt;0",$J$662:J666,J666))))</x:f>
        <x:v>6</x:v>
      </x:c>
      <x:c r="P666" s="22" t="n">
        <x:f>IF(T666="Ready",MIN(U666,MAX(0,G666-SUMIFS($U$662:$U$666,$O$662:$O$666,"&lt;"&amp;O666))),"n.a.")</x:f>
        <x:v>0</x:v>
      </x:c>
      <x:c r="Q666" s="22" t="n">
        <x:f>IF(T666="Ready",ROUND(N666+P666,2),"n.a.")</x:f>
        <x:v>0</x:v>
      </x:c>
      <x:c r="R666" s="22" t="n">
        <x:f>IF(T666="Ready",ROUND(Q666-M666,2),"n.a.")</x:f>
        <x:v>0</x:v>
      </x:c>
      <x:c r="S666" s="22" t="n">
        <x:f>IF(T666="Ready",MAX(0,ROUND(I666+M666-Q666,2)),"n.a.")</x:f>
        <x:v>0</x:v>
      </x:c>
      <x:c r="T666" s="22" t="str">
        <x:f>IF(AND(COUNT($I$662:$I$666)=5,COUNT(E666:F666)=2),IF(E666&gt;=F666,"Ready","Budget below minima"),"Check inputs")</x:f>
        <x:v>Ready</x:v>
      </x:c>
      <x:c r="U666" s="22" t="n">
        <x:f>IF(COUNT(I666,M666,N666)=3,MAX(0,ROUND(I666+M666-N666,2)),"n.a.")</x:f>
        <x:v>0</x:v>
      </x:c>
    </x:row>
    <x:row r="667" ht="22" customHeight="1">
      <x:c r="A667" s="2"/>
      <x:c r="B667" s="2"/>
      <x:c r="C667" s="27" t="n">
        <x:f>133</x:f>
        <x:v>133</x:v>
      </x:c>
      <x:c r="D667" s="28" t="n">
        <x:f>IF(ISNUMBER('Inputs'!$D$7),EDATE('Inputs'!$D$7,132),"n.a.")</x:f>
        <x:v>50345</x:v>
      </x:c>
      <x:c r="E667" s="26" t="n">
        <x:f>IF('Inputs'!$D$9&lt;&gt;"Ready","n.a.",IF(ISNUMBER('Inputs'!E151),IF('Inputs'!E151&gt;=0,'Inputs'!E151,"n.a."),IF('Inputs'!E151="",'Inputs'!$D$6,"n.a.")))</x:f>
        <x:v>500</x:v>
      </x:c>
      <x:c r="F667" s="22" t="n">
        <x:f>IF(COUNT($N$667:$N$671)=5,SUM($N$667:$N$671),"n.a.")</x:f>
        <x:v>0</x:v>
      </x:c>
      <x:c r="G667" s="22" t="n">
        <x:f>IF(COUNT(E667:F667)=2,MAX(0,E667-F667),"n.a.")</x:f>
        <x:v>500</x:v>
      </x:c>
      <x:c r="H667" s="26" t="str">
        <x:f>'Inputs'!C11</x:f>
        <x:v>Card A</x:v>
      </x:c>
      <x:c r="I667" s="26" t="n">
        <x:f>S662</x:f>
        <x:v>0</x:v>
      </x:c>
      <x:c r="J667" s="29" t="n">
        <x:f>IF('Inputs'!$D$9="Ready",'Inputs'!E11,"n.a.")</x:f>
        <x:v>0.24</x:v>
      </x:c>
      <x:c r="K667" s="26" t="n">
        <x:f>IF('Inputs'!$D$9="Ready",'Inputs'!F11,"n.a.")</x:f>
        <x:v>35</x:v>
      </x:c>
      <x:c r="L667" s="29" t="n">
        <x:f>IF('Inputs'!$D$9="Ready",'Inputs'!G11,"n.a.")</x:f>
        <x:v>0.02</x:v>
      </x:c>
      <x:c r="M667" s="22" t="n">
        <x:f>IF(COUNT(I667:L667)=4,ROUND(I667*J667/12,2),"n.a.")</x:f>
        <x:v>0</x:v>
      </x:c>
      <x:c r="N667" s="22" t="n">
        <x:f>IF(COUNT(I667:M667)=5,MIN(I667+M667,ROUND(MAX(K667,I667*L667+M667),2)),"n.a.")</x:f>
        <x:v>0</x:v>
      </x:c>
      <x:c r="O667" s="30" t="n">
        <x:f>IF(COUNT($I$667:$I$671)&lt;&gt;5,"n.a.",IF(I667=0,6,IF('Inputs'!$D$5=1,COUNTIFS($I$667:$I$671,"&gt;0",$I$667:$I$671,"&lt;"&amp;I667)+COUNTIFS($I$667:I667,I667),COUNTIFS($I$667:$I$671,"&gt;0",$J$667:$J$671,"&gt;"&amp;J667)+COUNTIFS($I$667:I667,"&gt;0",$J$667:J667,J667))))</x:f>
        <x:v>6</x:v>
      </x:c>
      <x:c r="P667" s="22" t="n">
        <x:f>IF(T667="Ready",MIN(U667,MAX(0,G667-SUMIFS($U$667:$U$671,$O$667:$O$671,"&lt;"&amp;O667))),"n.a.")</x:f>
        <x:v>0</x:v>
      </x:c>
      <x:c r="Q667" s="22" t="n">
        <x:f>IF(T667="Ready",ROUND(N667+P667,2),"n.a.")</x:f>
        <x:v>0</x:v>
      </x:c>
      <x:c r="R667" s="22" t="n">
        <x:f>IF(T667="Ready",ROUND(Q667-M667,2),"n.a.")</x:f>
        <x:v>0</x:v>
      </x:c>
      <x:c r="S667" s="22" t="n">
        <x:f>IF(T667="Ready",MAX(0,ROUND(I667+M667-Q667,2)),"n.a.")</x:f>
        <x:v>0</x:v>
      </x:c>
      <x:c r="T667" s="22" t="str">
        <x:f>IF(AND(COUNT($I$667:$I$671)=5,COUNT(E667:F667)=2),IF(E667&gt;=F667,"Ready","Budget below minima"),"Check inputs")</x:f>
        <x:v>Ready</x:v>
      </x:c>
      <x:c r="U667" s="22" t="n">
        <x:f>IF(COUNT(I667,M667,N667)=3,MAX(0,ROUND(I667+M667-N667,2)),"n.a.")</x:f>
        <x:v>0</x:v>
      </x:c>
    </x:row>
    <x:row r="668" ht="22" customHeight="1">
      <x:c r="A668" s="2"/>
      <x:c r="B668" s="2"/>
      <x:c r="C668" s="27" t="n">
        <x:f>133</x:f>
        <x:v>133</x:v>
      </x:c>
      <x:c r="D668" s="28" t="n">
        <x:f>IF(ISNUMBER('Inputs'!$D$7),EDATE('Inputs'!$D$7,132),"n.a.")</x:f>
        <x:v>50345</x:v>
      </x:c>
      <x:c r="E668" s="26" t="n">
        <x:f>IF('Inputs'!$D$9&lt;&gt;"Ready","n.a.",IF(ISNUMBER('Inputs'!E151),IF('Inputs'!E151&gt;=0,'Inputs'!E151,"n.a."),IF('Inputs'!E151="",'Inputs'!$D$6,"n.a.")))</x:f>
        <x:v>500</x:v>
      </x:c>
      <x:c r="F668" s="22" t="n">
        <x:f>IF(COUNT($N$667:$N$671)=5,SUM($N$667:$N$671),"n.a.")</x:f>
        <x:v>0</x:v>
      </x:c>
      <x:c r="G668" s="22" t="n">
        <x:f>IF(COUNT(E668:F668)=2,MAX(0,E668-F668),"n.a.")</x:f>
        <x:v>500</x:v>
      </x:c>
      <x:c r="H668" s="26" t="str">
        <x:f>'Inputs'!C12</x:f>
        <x:v>Card B</x:v>
      </x:c>
      <x:c r="I668" s="26" t="n">
        <x:f>S663</x:f>
        <x:v>0</x:v>
      </x:c>
      <x:c r="J668" s="29" t="n">
        <x:f>IF('Inputs'!$D$9="Ready",'Inputs'!E12,"n.a.")</x:f>
        <x:v>0.18</x:v>
      </x:c>
      <x:c r="K668" s="26" t="n">
        <x:f>IF('Inputs'!$D$9="Ready",'Inputs'!F12,"n.a.")</x:f>
        <x:v>60</x:v>
      </x:c>
      <x:c r="L668" s="29" t="n">
        <x:f>IF('Inputs'!$D$9="Ready",'Inputs'!G12,"n.a.")</x:f>
        <x:v>0.02</x:v>
      </x:c>
      <x:c r="M668" s="22" t="n">
        <x:f>IF(COUNT(I668:L668)=4,ROUND(I668*J668/12,2),"n.a.")</x:f>
        <x:v>0</x:v>
      </x:c>
      <x:c r="N668" s="22" t="n">
        <x:f>IF(COUNT(I668:M668)=5,MIN(I668+M668,ROUND(MAX(K668,I668*L668+M668),2)),"n.a.")</x:f>
        <x:v>0</x:v>
      </x:c>
      <x:c r="O668" s="30" t="n">
        <x:f>IF(COUNT($I$667:$I$671)&lt;&gt;5,"n.a.",IF(I668=0,6,IF('Inputs'!$D$5=1,COUNTIFS($I$667:$I$671,"&gt;0",$I$667:$I$671,"&lt;"&amp;I668)+COUNTIFS($I$667:I668,I668),COUNTIFS($I$667:$I$671,"&gt;0",$J$667:$J$671,"&gt;"&amp;J668)+COUNTIFS($I$667:I668,"&gt;0",$J$667:J668,J668))))</x:f>
        <x:v>6</x:v>
      </x:c>
      <x:c r="P668" s="22" t="n">
        <x:f>IF(T668="Ready",MIN(U668,MAX(0,G668-SUMIFS($U$667:$U$671,$O$667:$O$671,"&lt;"&amp;O668))),"n.a.")</x:f>
        <x:v>0</x:v>
      </x:c>
      <x:c r="Q668" s="22" t="n">
        <x:f>IF(T668="Ready",ROUND(N668+P668,2),"n.a.")</x:f>
        <x:v>0</x:v>
      </x:c>
      <x:c r="R668" s="22" t="n">
        <x:f>IF(T668="Ready",ROUND(Q668-M668,2),"n.a.")</x:f>
        <x:v>0</x:v>
      </x:c>
      <x:c r="S668" s="22" t="n">
        <x:f>IF(T668="Ready",MAX(0,ROUND(I668+M668-Q668,2)),"n.a.")</x:f>
        <x:v>0</x:v>
      </x:c>
      <x:c r="T668" s="22" t="str">
        <x:f>IF(AND(COUNT($I$667:$I$671)=5,COUNT(E668:F668)=2),IF(E668&gt;=F668,"Ready","Budget below minima"),"Check inputs")</x:f>
        <x:v>Ready</x:v>
      </x:c>
      <x:c r="U668" s="22" t="n">
        <x:f>IF(COUNT(I668,M668,N668)=3,MAX(0,ROUND(I668+M668-N668,2)),"n.a.")</x:f>
        <x:v>0</x:v>
      </x:c>
    </x:row>
    <x:row r="669" ht="22" customHeight="1">
      <x:c r="A669" s="2"/>
      <x:c r="B669" s="2"/>
      <x:c r="C669" s="27" t="n">
        <x:f>133</x:f>
        <x:v>133</x:v>
      </x:c>
      <x:c r="D669" s="28" t="n">
        <x:f>IF(ISNUMBER('Inputs'!$D$7),EDATE('Inputs'!$D$7,132),"n.a.")</x:f>
        <x:v>50345</x:v>
      </x:c>
      <x:c r="E669" s="26" t="n">
        <x:f>IF('Inputs'!$D$9&lt;&gt;"Ready","n.a.",IF(ISNUMBER('Inputs'!E151),IF('Inputs'!E151&gt;=0,'Inputs'!E151,"n.a."),IF('Inputs'!E151="",'Inputs'!$D$6,"n.a.")))</x:f>
        <x:v>500</x:v>
      </x:c>
      <x:c r="F669" s="22" t="n">
        <x:f>IF(COUNT($N$667:$N$671)=5,SUM($N$667:$N$671),"n.a.")</x:f>
        <x:v>0</x:v>
      </x:c>
      <x:c r="G669" s="22" t="n">
        <x:f>IF(COUNT(E669:F669)=2,MAX(0,E669-F669),"n.a.")</x:f>
        <x:v>500</x:v>
      </x:c>
      <x:c r="H669" s="26" t="str">
        <x:f>'Inputs'!C13</x:f>
        <x:v>Loan C</x:v>
      </x:c>
      <x:c r="I669" s="26" t="n">
        <x:f>S664</x:f>
        <x:v>0</x:v>
      </x:c>
      <x:c r="J669" s="29" t="n">
        <x:f>IF('Inputs'!$D$9="Ready",'Inputs'!E13,"n.a.")</x:f>
        <x:v>0.08</x:v>
      </x:c>
      <x:c r="K669" s="26" t="n">
        <x:f>IF('Inputs'!$D$9="Ready",'Inputs'!F13,"n.a.")</x:f>
        <x:v>150</x:v>
      </x:c>
      <x:c r="L669" s="29" t="n">
        <x:f>IF('Inputs'!$D$9="Ready",'Inputs'!G13,"n.a.")</x:f>
        <x:v>0</x:v>
      </x:c>
      <x:c r="M669" s="22" t="n">
        <x:f>IF(COUNT(I669:L669)=4,ROUND(I669*J669/12,2),"n.a.")</x:f>
        <x:v>0</x:v>
      </x:c>
      <x:c r="N669" s="22" t="n">
        <x:f>IF(COUNT(I669:M669)=5,MIN(I669+M669,ROUND(MAX(K669,I669*L669+M669),2)),"n.a.")</x:f>
        <x:v>0</x:v>
      </x:c>
      <x:c r="O669" s="30" t="n">
        <x:f>IF(COUNT($I$667:$I$671)&lt;&gt;5,"n.a.",IF(I669=0,6,IF('Inputs'!$D$5=1,COUNTIFS($I$667:$I$671,"&gt;0",$I$667:$I$671,"&lt;"&amp;I669)+COUNTIFS($I$667:I669,I669),COUNTIFS($I$667:$I$671,"&gt;0",$J$667:$J$671,"&gt;"&amp;J669)+COUNTIFS($I$667:I669,"&gt;0",$J$667:J669,J669))))</x:f>
        <x:v>6</x:v>
      </x:c>
      <x:c r="P669" s="22" t="n">
        <x:f>IF(T669="Ready",MIN(U669,MAX(0,G669-SUMIFS($U$667:$U$671,$O$667:$O$671,"&lt;"&amp;O669))),"n.a.")</x:f>
        <x:v>0</x:v>
      </x:c>
      <x:c r="Q669" s="22" t="n">
        <x:f>IF(T669="Ready",ROUND(N669+P669,2),"n.a.")</x:f>
        <x:v>0</x:v>
      </x:c>
      <x:c r="R669" s="22" t="n">
        <x:f>IF(T669="Ready",ROUND(Q669-M669,2),"n.a.")</x:f>
        <x:v>0</x:v>
      </x:c>
      <x:c r="S669" s="22" t="n">
        <x:f>IF(T669="Ready",MAX(0,ROUND(I669+M669-Q669,2)),"n.a.")</x:f>
        <x:v>0</x:v>
      </x:c>
      <x:c r="T669" s="22" t="str">
        <x:f>IF(AND(COUNT($I$667:$I$671)=5,COUNT(E669:F669)=2),IF(E669&gt;=F669,"Ready","Budget below minima"),"Check inputs")</x:f>
        <x:v>Ready</x:v>
      </x:c>
      <x:c r="U669" s="22" t="n">
        <x:f>IF(COUNT(I669,M669,N669)=3,MAX(0,ROUND(I669+M669-N669,2)),"n.a.")</x:f>
        <x:v>0</x:v>
      </x:c>
    </x:row>
    <x:row r="670" ht="22" customHeight="1">
      <x:c r="A670" s="2"/>
      <x:c r="B670" s="2"/>
      <x:c r="C670" s="27" t="n">
        <x:f>133</x:f>
        <x:v>133</x:v>
      </x:c>
      <x:c r="D670" s="28" t="n">
        <x:f>IF(ISNUMBER('Inputs'!$D$7),EDATE('Inputs'!$D$7,132),"n.a.")</x:f>
        <x:v>50345</x:v>
      </x:c>
      <x:c r="E670" s="26" t="n">
        <x:f>IF('Inputs'!$D$9&lt;&gt;"Ready","n.a.",IF(ISNUMBER('Inputs'!E151),IF('Inputs'!E151&gt;=0,'Inputs'!E151,"n.a."),IF('Inputs'!E151="",'Inputs'!$D$6,"n.a.")))</x:f>
        <x:v>500</x:v>
      </x:c>
      <x:c r="F670" s="22" t="n">
        <x:f>IF(COUNT($N$667:$N$671)=5,SUM($N$667:$N$671),"n.a.")</x:f>
        <x:v>0</x:v>
      </x:c>
      <x:c r="G670" s="22" t="n">
        <x:f>IF(COUNT(E670:F670)=2,MAX(0,E670-F670),"n.a.")</x:f>
        <x:v>500</x:v>
      </x:c>
      <x:c r="H670" s="26" t="str">
        <x:f>'Inputs'!C14</x:f>
        <x:v>Unused 4</x:v>
      </x:c>
      <x:c r="I670" s="26" t="n">
        <x:f>S665</x:f>
        <x:v>0</x:v>
      </x:c>
      <x:c r="J670" s="29" t="n">
        <x:f>IF('Inputs'!$D$9="Ready",'Inputs'!E14,"n.a.")</x:f>
        <x:v>0</x:v>
      </x:c>
      <x:c r="K670" s="26" t="n">
        <x:f>IF('Inputs'!$D$9="Ready",'Inputs'!F14,"n.a.")</x:f>
        <x:v>0</x:v>
      </x:c>
      <x:c r="L670" s="29" t="n">
        <x:f>IF('Inputs'!$D$9="Ready",'Inputs'!G14,"n.a.")</x:f>
        <x:v>0</x:v>
      </x:c>
      <x:c r="M670" s="22" t="n">
        <x:f>IF(COUNT(I670:L670)=4,ROUND(I670*J670/12,2),"n.a.")</x:f>
        <x:v>0</x:v>
      </x:c>
      <x:c r="N670" s="22" t="n">
        <x:f>IF(COUNT(I670:M670)=5,MIN(I670+M670,ROUND(MAX(K670,I670*L670+M670),2)),"n.a.")</x:f>
        <x:v>0</x:v>
      </x:c>
      <x:c r="O670" s="30" t="n">
        <x:f>IF(COUNT($I$667:$I$671)&lt;&gt;5,"n.a.",IF(I670=0,6,IF('Inputs'!$D$5=1,COUNTIFS($I$667:$I$671,"&gt;0",$I$667:$I$671,"&lt;"&amp;I670)+COUNTIFS($I$667:I670,I670),COUNTIFS($I$667:$I$671,"&gt;0",$J$667:$J$671,"&gt;"&amp;J670)+COUNTIFS($I$667:I670,"&gt;0",$J$667:J670,J670))))</x:f>
        <x:v>6</x:v>
      </x:c>
      <x:c r="P670" s="22" t="n">
        <x:f>IF(T670="Ready",MIN(U670,MAX(0,G670-SUMIFS($U$667:$U$671,$O$667:$O$671,"&lt;"&amp;O670))),"n.a.")</x:f>
        <x:v>0</x:v>
      </x:c>
      <x:c r="Q670" s="22" t="n">
        <x:f>IF(T670="Ready",ROUND(N670+P670,2),"n.a.")</x:f>
        <x:v>0</x:v>
      </x:c>
      <x:c r="R670" s="22" t="n">
        <x:f>IF(T670="Ready",ROUND(Q670-M670,2),"n.a.")</x:f>
        <x:v>0</x:v>
      </x:c>
      <x:c r="S670" s="22" t="n">
        <x:f>IF(T670="Ready",MAX(0,ROUND(I670+M670-Q670,2)),"n.a.")</x:f>
        <x:v>0</x:v>
      </x:c>
      <x:c r="T670" s="22" t="str">
        <x:f>IF(AND(COUNT($I$667:$I$671)=5,COUNT(E670:F670)=2),IF(E670&gt;=F670,"Ready","Budget below minima"),"Check inputs")</x:f>
        <x:v>Ready</x:v>
      </x:c>
      <x:c r="U670" s="22" t="n">
        <x:f>IF(COUNT(I670,M670,N670)=3,MAX(0,ROUND(I670+M670-N670,2)),"n.a.")</x:f>
        <x:v>0</x:v>
      </x:c>
    </x:row>
    <x:row r="671" ht="22" customHeight="1">
      <x:c r="A671" s="2"/>
      <x:c r="B671" s="2"/>
      <x:c r="C671" s="27" t="n">
        <x:f>133</x:f>
        <x:v>133</x:v>
      </x:c>
      <x:c r="D671" s="28" t="n">
        <x:f>IF(ISNUMBER('Inputs'!$D$7),EDATE('Inputs'!$D$7,132),"n.a.")</x:f>
        <x:v>50345</x:v>
      </x:c>
      <x:c r="E671" s="26" t="n">
        <x:f>IF('Inputs'!$D$9&lt;&gt;"Ready","n.a.",IF(ISNUMBER('Inputs'!E151),IF('Inputs'!E151&gt;=0,'Inputs'!E151,"n.a."),IF('Inputs'!E151="",'Inputs'!$D$6,"n.a.")))</x:f>
        <x:v>500</x:v>
      </x:c>
      <x:c r="F671" s="22" t="n">
        <x:f>IF(COUNT($N$667:$N$671)=5,SUM($N$667:$N$671),"n.a.")</x:f>
        <x:v>0</x:v>
      </x:c>
      <x:c r="G671" s="22" t="n">
        <x:f>IF(COUNT(E671:F671)=2,MAX(0,E671-F671),"n.a.")</x:f>
        <x:v>500</x:v>
      </x:c>
      <x:c r="H671" s="26" t="str">
        <x:f>'Inputs'!C15</x:f>
        <x:v>Unused 5</x:v>
      </x:c>
      <x:c r="I671" s="26" t="n">
        <x:f>S666</x:f>
        <x:v>0</x:v>
      </x:c>
      <x:c r="J671" s="29" t="n">
        <x:f>IF('Inputs'!$D$9="Ready",'Inputs'!E15,"n.a.")</x:f>
        <x:v>0</x:v>
      </x:c>
      <x:c r="K671" s="26" t="n">
        <x:f>IF('Inputs'!$D$9="Ready",'Inputs'!F15,"n.a.")</x:f>
        <x:v>0</x:v>
      </x:c>
      <x:c r="L671" s="29" t="n">
        <x:f>IF('Inputs'!$D$9="Ready",'Inputs'!G15,"n.a.")</x:f>
        <x:v>0</x:v>
      </x:c>
      <x:c r="M671" s="22" t="n">
        <x:f>IF(COUNT(I671:L671)=4,ROUND(I671*J671/12,2),"n.a.")</x:f>
        <x:v>0</x:v>
      </x:c>
      <x:c r="N671" s="22" t="n">
        <x:f>IF(COUNT(I671:M671)=5,MIN(I671+M671,ROUND(MAX(K671,I671*L671+M671),2)),"n.a.")</x:f>
        <x:v>0</x:v>
      </x:c>
      <x:c r="O671" s="30" t="n">
        <x:f>IF(COUNT($I$667:$I$671)&lt;&gt;5,"n.a.",IF(I671=0,6,IF('Inputs'!$D$5=1,COUNTIFS($I$667:$I$671,"&gt;0",$I$667:$I$671,"&lt;"&amp;I671)+COUNTIFS($I$667:I671,I671),COUNTIFS($I$667:$I$671,"&gt;0",$J$667:$J$671,"&gt;"&amp;J671)+COUNTIFS($I$667:I671,"&gt;0",$J$667:J671,J671))))</x:f>
        <x:v>6</x:v>
      </x:c>
      <x:c r="P671" s="22" t="n">
        <x:f>IF(T671="Ready",MIN(U671,MAX(0,G671-SUMIFS($U$667:$U$671,$O$667:$O$671,"&lt;"&amp;O671))),"n.a.")</x:f>
        <x:v>0</x:v>
      </x:c>
      <x:c r="Q671" s="22" t="n">
        <x:f>IF(T671="Ready",ROUND(N671+P671,2),"n.a.")</x:f>
        <x:v>0</x:v>
      </x:c>
      <x:c r="R671" s="22" t="n">
        <x:f>IF(T671="Ready",ROUND(Q671-M671,2),"n.a.")</x:f>
        <x:v>0</x:v>
      </x:c>
      <x:c r="S671" s="22" t="n">
        <x:f>IF(T671="Ready",MAX(0,ROUND(I671+M671-Q671,2)),"n.a.")</x:f>
        <x:v>0</x:v>
      </x:c>
      <x:c r="T671" s="22" t="str">
        <x:f>IF(AND(COUNT($I$667:$I$671)=5,COUNT(E671:F671)=2),IF(E671&gt;=F671,"Ready","Budget below minima"),"Check inputs")</x:f>
        <x:v>Ready</x:v>
      </x:c>
      <x:c r="U671" s="22" t="n">
        <x:f>IF(COUNT(I671,M671,N671)=3,MAX(0,ROUND(I671+M671-N671,2)),"n.a.")</x:f>
        <x:v>0</x:v>
      </x:c>
    </x:row>
    <x:row r="672" ht="22" customHeight="1">
      <x:c r="A672" s="2"/>
      <x:c r="B672" s="2"/>
      <x:c r="C672" s="27" t="n">
        <x:f>134</x:f>
        <x:v>134</x:v>
      </x:c>
      <x:c r="D672" s="28" t="n">
        <x:f>IF(ISNUMBER('Inputs'!$D$7),EDATE('Inputs'!$D$7,133),"n.a.")</x:f>
        <x:v>50375</x:v>
      </x:c>
      <x:c r="E672" s="26" t="n">
        <x:f>IF('Inputs'!$D$9&lt;&gt;"Ready","n.a.",IF(ISNUMBER('Inputs'!E152),IF('Inputs'!E152&gt;=0,'Inputs'!E152,"n.a."),IF('Inputs'!E152="",'Inputs'!$D$6,"n.a.")))</x:f>
        <x:v>500</x:v>
      </x:c>
      <x:c r="F672" s="22" t="n">
        <x:f>IF(COUNT($N$672:$N$676)=5,SUM($N$672:$N$676),"n.a.")</x:f>
        <x:v>0</x:v>
      </x:c>
      <x:c r="G672" s="22" t="n">
        <x:f>IF(COUNT(E672:F672)=2,MAX(0,E672-F672),"n.a.")</x:f>
        <x:v>500</x:v>
      </x:c>
      <x:c r="H672" s="26" t="str">
        <x:f>'Inputs'!C11</x:f>
        <x:v>Card A</x:v>
      </x:c>
      <x:c r="I672" s="26" t="n">
        <x:f>S667</x:f>
        <x:v>0</x:v>
      </x:c>
      <x:c r="J672" s="29" t="n">
        <x:f>IF('Inputs'!$D$9="Ready",'Inputs'!E11,"n.a.")</x:f>
        <x:v>0.24</x:v>
      </x:c>
      <x:c r="K672" s="26" t="n">
        <x:f>IF('Inputs'!$D$9="Ready",'Inputs'!F11,"n.a.")</x:f>
        <x:v>35</x:v>
      </x:c>
      <x:c r="L672" s="29" t="n">
        <x:f>IF('Inputs'!$D$9="Ready",'Inputs'!G11,"n.a.")</x:f>
        <x:v>0.02</x:v>
      </x:c>
      <x:c r="M672" s="22" t="n">
        <x:f>IF(COUNT(I672:L672)=4,ROUND(I672*J672/12,2),"n.a.")</x:f>
        <x:v>0</x:v>
      </x:c>
      <x:c r="N672" s="22" t="n">
        <x:f>IF(COUNT(I672:M672)=5,MIN(I672+M672,ROUND(MAX(K672,I672*L672+M672),2)),"n.a.")</x:f>
        <x:v>0</x:v>
      </x:c>
      <x:c r="O672" s="30" t="n">
        <x:f>IF(COUNT($I$672:$I$676)&lt;&gt;5,"n.a.",IF(I672=0,6,IF('Inputs'!$D$5=1,COUNTIFS($I$672:$I$676,"&gt;0",$I$672:$I$676,"&lt;"&amp;I672)+COUNTIFS($I$672:I672,I672),COUNTIFS($I$672:$I$676,"&gt;0",$J$672:$J$676,"&gt;"&amp;J672)+COUNTIFS($I$672:I672,"&gt;0",$J$672:J672,J672))))</x:f>
        <x:v>6</x:v>
      </x:c>
      <x:c r="P672" s="22" t="n">
        <x:f>IF(T672="Ready",MIN(U672,MAX(0,G672-SUMIFS($U$672:$U$676,$O$672:$O$676,"&lt;"&amp;O672))),"n.a.")</x:f>
        <x:v>0</x:v>
      </x:c>
      <x:c r="Q672" s="22" t="n">
        <x:f>IF(T672="Ready",ROUND(N672+P672,2),"n.a.")</x:f>
        <x:v>0</x:v>
      </x:c>
      <x:c r="R672" s="22" t="n">
        <x:f>IF(T672="Ready",ROUND(Q672-M672,2),"n.a.")</x:f>
        <x:v>0</x:v>
      </x:c>
      <x:c r="S672" s="22" t="n">
        <x:f>IF(T672="Ready",MAX(0,ROUND(I672+M672-Q672,2)),"n.a.")</x:f>
        <x:v>0</x:v>
      </x:c>
      <x:c r="T672" s="22" t="str">
        <x:f>IF(AND(COUNT($I$672:$I$676)=5,COUNT(E672:F672)=2),IF(E672&gt;=F672,"Ready","Budget below minima"),"Check inputs")</x:f>
        <x:v>Ready</x:v>
      </x:c>
      <x:c r="U672" s="22" t="n">
        <x:f>IF(COUNT(I672,M672,N672)=3,MAX(0,ROUND(I672+M672-N672,2)),"n.a.")</x:f>
        <x:v>0</x:v>
      </x:c>
    </x:row>
    <x:row r="673" ht="22" customHeight="1">
      <x:c r="A673" s="2"/>
      <x:c r="B673" s="2"/>
      <x:c r="C673" s="27" t="n">
        <x:f>134</x:f>
        <x:v>134</x:v>
      </x:c>
      <x:c r="D673" s="28" t="n">
        <x:f>IF(ISNUMBER('Inputs'!$D$7),EDATE('Inputs'!$D$7,133),"n.a.")</x:f>
        <x:v>50375</x:v>
      </x:c>
      <x:c r="E673" s="26" t="n">
        <x:f>IF('Inputs'!$D$9&lt;&gt;"Ready","n.a.",IF(ISNUMBER('Inputs'!E152),IF('Inputs'!E152&gt;=0,'Inputs'!E152,"n.a."),IF('Inputs'!E152="",'Inputs'!$D$6,"n.a.")))</x:f>
        <x:v>500</x:v>
      </x:c>
      <x:c r="F673" s="22" t="n">
        <x:f>IF(COUNT($N$672:$N$676)=5,SUM($N$672:$N$676),"n.a.")</x:f>
        <x:v>0</x:v>
      </x:c>
      <x:c r="G673" s="22" t="n">
        <x:f>IF(COUNT(E673:F673)=2,MAX(0,E673-F673),"n.a.")</x:f>
        <x:v>500</x:v>
      </x:c>
      <x:c r="H673" s="26" t="str">
        <x:f>'Inputs'!C12</x:f>
        <x:v>Card B</x:v>
      </x:c>
      <x:c r="I673" s="26" t="n">
        <x:f>S668</x:f>
        <x:v>0</x:v>
      </x:c>
      <x:c r="J673" s="29" t="n">
        <x:f>IF('Inputs'!$D$9="Ready",'Inputs'!E12,"n.a.")</x:f>
        <x:v>0.18</x:v>
      </x:c>
      <x:c r="K673" s="26" t="n">
        <x:f>IF('Inputs'!$D$9="Ready",'Inputs'!F12,"n.a.")</x:f>
        <x:v>60</x:v>
      </x:c>
      <x:c r="L673" s="29" t="n">
        <x:f>IF('Inputs'!$D$9="Ready",'Inputs'!G12,"n.a.")</x:f>
        <x:v>0.02</x:v>
      </x:c>
      <x:c r="M673" s="22" t="n">
        <x:f>IF(COUNT(I673:L673)=4,ROUND(I673*J673/12,2),"n.a.")</x:f>
        <x:v>0</x:v>
      </x:c>
      <x:c r="N673" s="22" t="n">
        <x:f>IF(COUNT(I673:M673)=5,MIN(I673+M673,ROUND(MAX(K673,I673*L673+M673),2)),"n.a.")</x:f>
        <x:v>0</x:v>
      </x:c>
      <x:c r="O673" s="30" t="n">
        <x:f>IF(COUNT($I$672:$I$676)&lt;&gt;5,"n.a.",IF(I673=0,6,IF('Inputs'!$D$5=1,COUNTIFS($I$672:$I$676,"&gt;0",$I$672:$I$676,"&lt;"&amp;I673)+COUNTIFS($I$672:I673,I673),COUNTIFS($I$672:$I$676,"&gt;0",$J$672:$J$676,"&gt;"&amp;J673)+COUNTIFS($I$672:I673,"&gt;0",$J$672:J673,J673))))</x:f>
        <x:v>6</x:v>
      </x:c>
      <x:c r="P673" s="22" t="n">
        <x:f>IF(T673="Ready",MIN(U673,MAX(0,G673-SUMIFS($U$672:$U$676,$O$672:$O$676,"&lt;"&amp;O673))),"n.a.")</x:f>
        <x:v>0</x:v>
      </x:c>
      <x:c r="Q673" s="22" t="n">
        <x:f>IF(T673="Ready",ROUND(N673+P673,2),"n.a.")</x:f>
        <x:v>0</x:v>
      </x:c>
      <x:c r="R673" s="22" t="n">
        <x:f>IF(T673="Ready",ROUND(Q673-M673,2),"n.a.")</x:f>
        <x:v>0</x:v>
      </x:c>
      <x:c r="S673" s="22" t="n">
        <x:f>IF(T673="Ready",MAX(0,ROUND(I673+M673-Q673,2)),"n.a.")</x:f>
        <x:v>0</x:v>
      </x:c>
      <x:c r="T673" s="22" t="str">
        <x:f>IF(AND(COUNT($I$672:$I$676)=5,COUNT(E673:F673)=2),IF(E673&gt;=F673,"Ready","Budget below minima"),"Check inputs")</x:f>
        <x:v>Ready</x:v>
      </x:c>
      <x:c r="U673" s="22" t="n">
        <x:f>IF(COUNT(I673,M673,N673)=3,MAX(0,ROUND(I673+M673-N673,2)),"n.a.")</x:f>
        <x:v>0</x:v>
      </x:c>
    </x:row>
    <x:row r="674" ht="22" customHeight="1">
      <x:c r="A674" s="2"/>
      <x:c r="B674" s="2"/>
      <x:c r="C674" s="27" t="n">
        <x:f>134</x:f>
        <x:v>134</x:v>
      </x:c>
      <x:c r="D674" s="28" t="n">
        <x:f>IF(ISNUMBER('Inputs'!$D$7),EDATE('Inputs'!$D$7,133),"n.a.")</x:f>
        <x:v>50375</x:v>
      </x:c>
      <x:c r="E674" s="26" t="n">
        <x:f>IF('Inputs'!$D$9&lt;&gt;"Ready","n.a.",IF(ISNUMBER('Inputs'!E152),IF('Inputs'!E152&gt;=0,'Inputs'!E152,"n.a."),IF('Inputs'!E152="",'Inputs'!$D$6,"n.a.")))</x:f>
        <x:v>500</x:v>
      </x:c>
      <x:c r="F674" s="22" t="n">
        <x:f>IF(COUNT($N$672:$N$676)=5,SUM($N$672:$N$676),"n.a.")</x:f>
        <x:v>0</x:v>
      </x:c>
      <x:c r="G674" s="22" t="n">
        <x:f>IF(COUNT(E674:F674)=2,MAX(0,E674-F674),"n.a.")</x:f>
        <x:v>500</x:v>
      </x:c>
      <x:c r="H674" s="26" t="str">
        <x:f>'Inputs'!C13</x:f>
        <x:v>Loan C</x:v>
      </x:c>
      <x:c r="I674" s="26" t="n">
        <x:f>S669</x:f>
        <x:v>0</x:v>
      </x:c>
      <x:c r="J674" s="29" t="n">
        <x:f>IF('Inputs'!$D$9="Ready",'Inputs'!E13,"n.a.")</x:f>
        <x:v>0.08</x:v>
      </x:c>
      <x:c r="K674" s="26" t="n">
        <x:f>IF('Inputs'!$D$9="Ready",'Inputs'!F13,"n.a.")</x:f>
        <x:v>150</x:v>
      </x:c>
      <x:c r="L674" s="29" t="n">
        <x:f>IF('Inputs'!$D$9="Ready",'Inputs'!G13,"n.a.")</x:f>
        <x:v>0</x:v>
      </x:c>
      <x:c r="M674" s="22" t="n">
        <x:f>IF(COUNT(I674:L674)=4,ROUND(I674*J674/12,2),"n.a.")</x:f>
        <x:v>0</x:v>
      </x:c>
      <x:c r="N674" s="22" t="n">
        <x:f>IF(COUNT(I674:M674)=5,MIN(I674+M674,ROUND(MAX(K674,I674*L674+M674),2)),"n.a.")</x:f>
        <x:v>0</x:v>
      </x:c>
      <x:c r="O674" s="30" t="n">
        <x:f>IF(COUNT($I$672:$I$676)&lt;&gt;5,"n.a.",IF(I674=0,6,IF('Inputs'!$D$5=1,COUNTIFS($I$672:$I$676,"&gt;0",$I$672:$I$676,"&lt;"&amp;I674)+COUNTIFS($I$672:I674,I674),COUNTIFS($I$672:$I$676,"&gt;0",$J$672:$J$676,"&gt;"&amp;J674)+COUNTIFS($I$672:I674,"&gt;0",$J$672:J674,J674))))</x:f>
        <x:v>6</x:v>
      </x:c>
      <x:c r="P674" s="22" t="n">
        <x:f>IF(T674="Ready",MIN(U674,MAX(0,G674-SUMIFS($U$672:$U$676,$O$672:$O$676,"&lt;"&amp;O674))),"n.a.")</x:f>
        <x:v>0</x:v>
      </x:c>
      <x:c r="Q674" s="22" t="n">
        <x:f>IF(T674="Ready",ROUND(N674+P674,2),"n.a.")</x:f>
        <x:v>0</x:v>
      </x:c>
      <x:c r="R674" s="22" t="n">
        <x:f>IF(T674="Ready",ROUND(Q674-M674,2),"n.a.")</x:f>
        <x:v>0</x:v>
      </x:c>
      <x:c r="S674" s="22" t="n">
        <x:f>IF(T674="Ready",MAX(0,ROUND(I674+M674-Q674,2)),"n.a.")</x:f>
        <x:v>0</x:v>
      </x:c>
      <x:c r="T674" s="22" t="str">
        <x:f>IF(AND(COUNT($I$672:$I$676)=5,COUNT(E674:F674)=2),IF(E674&gt;=F674,"Ready","Budget below minima"),"Check inputs")</x:f>
        <x:v>Ready</x:v>
      </x:c>
      <x:c r="U674" s="22" t="n">
        <x:f>IF(COUNT(I674,M674,N674)=3,MAX(0,ROUND(I674+M674-N674,2)),"n.a.")</x:f>
        <x:v>0</x:v>
      </x:c>
    </x:row>
    <x:row r="675" ht="22" customHeight="1">
      <x:c r="A675" s="2"/>
      <x:c r="B675" s="2"/>
      <x:c r="C675" s="27" t="n">
        <x:f>134</x:f>
        <x:v>134</x:v>
      </x:c>
      <x:c r="D675" s="28" t="n">
        <x:f>IF(ISNUMBER('Inputs'!$D$7),EDATE('Inputs'!$D$7,133),"n.a.")</x:f>
        <x:v>50375</x:v>
      </x:c>
      <x:c r="E675" s="26" t="n">
        <x:f>IF('Inputs'!$D$9&lt;&gt;"Ready","n.a.",IF(ISNUMBER('Inputs'!E152),IF('Inputs'!E152&gt;=0,'Inputs'!E152,"n.a."),IF('Inputs'!E152="",'Inputs'!$D$6,"n.a.")))</x:f>
        <x:v>500</x:v>
      </x:c>
      <x:c r="F675" s="22" t="n">
        <x:f>IF(COUNT($N$672:$N$676)=5,SUM($N$672:$N$676),"n.a.")</x:f>
        <x:v>0</x:v>
      </x:c>
      <x:c r="G675" s="22" t="n">
        <x:f>IF(COUNT(E675:F675)=2,MAX(0,E675-F675),"n.a.")</x:f>
        <x:v>500</x:v>
      </x:c>
      <x:c r="H675" s="26" t="str">
        <x:f>'Inputs'!C14</x:f>
        <x:v>Unused 4</x:v>
      </x:c>
      <x:c r="I675" s="26" t="n">
        <x:f>S670</x:f>
        <x:v>0</x:v>
      </x:c>
      <x:c r="J675" s="29" t="n">
        <x:f>IF('Inputs'!$D$9="Ready",'Inputs'!E14,"n.a.")</x:f>
        <x:v>0</x:v>
      </x:c>
      <x:c r="K675" s="26" t="n">
        <x:f>IF('Inputs'!$D$9="Ready",'Inputs'!F14,"n.a.")</x:f>
        <x:v>0</x:v>
      </x:c>
      <x:c r="L675" s="29" t="n">
        <x:f>IF('Inputs'!$D$9="Ready",'Inputs'!G14,"n.a.")</x:f>
        <x:v>0</x:v>
      </x:c>
      <x:c r="M675" s="22" t="n">
        <x:f>IF(COUNT(I675:L675)=4,ROUND(I675*J675/12,2),"n.a.")</x:f>
        <x:v>0</x:v>
      </x:c>
      <x:c r="N675" s="22" t="n">
        <x:f>IF(COUNT(I675:M675)=5,MIN(I675+M675,ROUND(MAX(K675,I675*L675+M675),2)),"n.a.")</x:f>
        <x:v>0</x:v>
      </x:c>
      <x:c r="O675" s="30" t="n">
        <x:f>IF(COUNT($I$672:$I$676)&lt;&gt;5,"n.a.",IF(I675=0,6,IF('Inputs'!$D$5=1,COUNTIFS($I$672:$I$676,"&gt;0",$I$672:$I$676,"&lt;"&amp;I675)+COUNTIFS($I$672:I675,I675),COUNTIFS($I$672:$I$676,"&gt;0",$J$672:$J$676,"&gt;"&amp;J675)+COUNTIFS($I$672:I675,"&gt;0",$J$672:J675,J675))))</x:f>
        <x:v>6</x:v>
      </x:c>
      <x:c r="P675" s="22" t="n">
        <x:f>IF(T675="Ready",MIN(U675,MAX(0,G675-SUMIFS($U$672:$U$676,$O$672:$O$676,"&lt;"&amp;O675))),"n.a.")</x:f>
        <x:v>0</x:v>
      </x:c>
      <x:c r="Q675" s="22" t="n">
        <x:f>IF(T675="Ready",ROUND(N675+P675,2),"n.a.")</x:f>
        <x:v>0</x:v>
      </x:c>
      <x:c r="R675" s="22" t="n">
        <x:f>IF(T675="Ready",ROUND(Q675-M675,2),"n.a.")</x:f>
        <x:v>0</x:v>
      </x:c>
      <x:c r="S675" s="22" t="n">
        <x:f>IF(T675="Ready",MAX(0,ROUND(I675+M675-Q675,2)),"n.a.")</x:f>
        <x:v>0</x:v>
      </x:c>
      <x:c r="T675" s="22" t="str">
        <x:f>IF(AND(COUNT($I$672:$I$676)=5,COUNT(E675:F675)=2),IF(E675&gt;=F675,"Ready","Budget below minima"),"Check inputs")</x:f>
        <x:v>Ready</x:v>
      </x:c>
      <x:c r="U675" s="22" t="n">
        <x:f>IF(COUNT(I675,M675,N675)=3,MAX(0,ROUND(I675+M675-N675,2)),"n.a.")</x:f>
        <x:v>0</x:v>
      </x:c>
    </x:row>
    <x:row r="676" ht="22" customHeight="1">
      <x:c r="A676" s="2"/>
      <x:c r="B676" s="2"/>
      <x:c r="C676" s="27" t="n">
        <x:f>134</x:f>
        <x:v>134</x:v>
      </x:c>
      <x:c r="D676" s="28" t="n">
        <x:f>IF(ISNUMBER('Inputs'!$D$7),EDATE('Inputs'!$D$7,133),"n.a.")</x:f>
        <x:v>50375</x:v>
      </x:c>
      <x:c r="E676" s="26" t="n">
        <x:f>IF('Inputs'!$D$9&lt;&gt;"Ready","n.a.",IF(ISNUMBER('Inputs'!E152),IF('Inputs'!E152&gt;=0,'Inputs'!E152,"n.a."),IF('Inputs'!E152="",'Inputs'!$D$6,"n.a.")))</x:f>
        <x:v>500</x:v>
      </x:c>
      <x:c r="F676" s="22" t="n">
        <x:f>IF(COUNT($N$672:$N$676)=5,SUM($N$672:$N$676),"n.a.")</x:f>
        <x:v>0</x:v>
      </x:c>
      <x:c r="G676" s="22" t="n">
        <x:f>IF(COUNT(E676:F676)=2,MAX(0,E676-F676),"n.a.")</x:f>
        <x:v>500</x:v>
      </x:c>
      <x:c r="H676" s="26" t="str">
        <x:f>'Inputs'!C15</x:f>
        <x:v>Unused 5</x:v>
      </x:c>
      <x:c r="I676" s="26" t="n">
        <x:f>S671</x:f>
        <x:v>0</x:v>
      </x:c>
      <x:c r="J676" s="29" t="n">
        <x:f>IF('Inputs'!$D$9="Ready",'Inputs'!E15,"n.a.")</x:f>
        <x:v>0</x:v>
      </x:c>
      <x:c r="K676" s="26" t="n">
        <x:f>IF('Inputs'!$D$9="Ready",'Inputs'!F15,"n.a.")</x:f>
        <x:v>0</x:v>
      </x:c>
      <x:c r="L676" s="29" t="n">
        <x:f>IF('Inputs'!$D$9="Ready",'Inputs'!G15,"n.a.")</x:f>
        <x:v>0</x:v>
      </x:c>
      <x:c r="M676" s="22" t="n">
        <x:f>IF(COUNT(I676:L676)=4,ROUND(I676*J676/12,2),"n.a.")</x:f>
        <x:v>0</x:v>
      </x:c>
      <x:c r="N676" s="22" t="n">
        <x:f>IF(COUNT(I676:M676)=5,MIN(I676+M676,ROUND(MAX(K676,I676*L676+M676),2)),"n.a.")</x:f>
        <x:v>0</x:v>
      </x:c>
      <x:c r="O676" s="30" t="n">
        <x:f>IF(COUNT($I$672:$I$676)&lt;&gt;5,"n.a.",IF(I676=0,6,IF('Inputs'!$D$5=1,COUNTIFS($I$672:$I$676,"&gt;0",$I$672:$I$676,"&lt;"&amp;I676)+COUNTIFS($I$672:I676,I676),COUNTIFS($I$672:$I$676,"&gt;0",$J$672:$J$676,"&gt;"&amp;J676)+COUNTIFS($I$672:I676,"&gt;0",$J$672:J676,J676))))</x:f>
        <x:v>6</x:v>
      </x:c>
      <x:c r="P676" s="22" t="n">
        <x:f>IF(T676="Ready",MIN(U676,MAX(0,G676-SUMIFS($U$672:$U$676,$O$672:$O$676,"&lt;"&amp;O676))),"n.a.")</x:f>
        <x:v>0</x:v>
      </x:c>
      <x:c r="Q676" s="22" t="n">
        <x:f>IF(T676="Ready",ROUND(N676+P676,2),"n.a.")</x:f>
        <x:v>0</x:v>
      </x:c>
      <x:c r="R676" s="22" t="n">
        <x:f>IF(T676="Ready",ROUND(Q676-M676,2),"n.a.")</x:f>
        <x:v>0</x:v>
      </x:c>
      <x:c r="S676" s="22" t="n">
        <x:f>IF(T676="Ready",MAX(0,ROUND(I676+M676-Q676,2)),"n.a.")</x:f>
        <x:v>0</x:v>
      </x:c>
      <x:c r="T676" s="22" t="str">
        <x:f>IF(AND(COUNT($I$672:$I$676)=5,COUNT(E676:F676)=2),IF(E676&gt;=F676,"Ready","Budget below minima"),"Check inputs")</x:f>
        <x:v>Ready</x:v>
      </x:c>
      <x:c r="U676" s="22" t="n">
        <x:f>IF(COUNT(I676,M676,N676)=3,MAX(0,ROUND(I676+M676-N676,2)),"n.a.")</x:f>
        <x:v>0</x:v>
      </x:c>
    </x:row>
    <x:row r="677" ht="22" customHeight="1">
      <x:c r="A677" s="2"/>
      <x:c r="B677" s="2"/>
      <x:c r="C677" s="27" t="n">
        <x:f>135</x:f>
        <x:v>135</x:v>
      </x:c>
      <x:c r="D677" s="28" t="n">
        <x:f>IF(ISNUMBER('Inputs'!$D$7),EDATE('Inputs'!$D$7,134),"n.a.")</x:f>
        <x:v>50406</x:v>
      </x:c>
      <x:c r="E677" s="26" t="n">
        <x:f>IF('Inputs'!$D$9&lt;&gt;"Ready","n.a.",IF(ISNUMBER('Inputs'!E153),IF('Inputs'!E153&gt;=0,'Inputs'!E153,"n.a."),IF('Inputs'!E153="",'Inputs'!$D$6,"n.a.")))</x:f>
        <x:v>500</x:v>
      </x:c>
      <x:c r="F677" s="22" t="n">
        <x:f>IF(COUNT($N$677:$N$681)=5,SUM($N$677:$N$681),"n.a.")</x:f>
        <x:v>0</x:v>
      </x:c>
      <x:c r="G677" s="22" t="n">
        <x:f>IF(COUNT(E677:F677)=2,MAX(0,E677-F677),"n.a.")</x:f>
        <x:v>500</x:v>
      </x:c>
      <x:c r="H677" s="26" t="str">
        <x:f>'Inputs'!C11</x:f>
        <x:v>Card A</x:v>
      </x:c>
      <x:c r="I677" s="26" t="n">
        <x:f>S672</x:f>
        <x:v>0</x:v>
      </x:c>
      <x:c r="J677" s="29" t="n">
        <x:f>IF('Inputs'!$D$9="Ready",'Inputs'!E11,"n.a.")</x:f>
        <x:v>0.24</x:v>
      </x:c>
      <x:c r="K677" s="26" t="n">
        <x:f>IF('Inputs'!$D$9="Ready",'Inputs'!F11,"n.a.")</x:f>
        <x:v>35</x:v>
      </x:c>
      <x:c r="L677" s="29" t="n">
        <x:f>IF('Inputs'!$D$9="Ready",'Inputs'!G11,"n.a.")</x:f>
        <x:v>0.02</x:v>
      </x:c>
      <x:c r="M677" s="22" t="n">
        <x:f>IF(COUNT(I677:L677)=4,ROUND(I677*J677/12,2),"n.a.")</x:f>
        <x:v>0</x:v>
      </x:c>
      <x:c r="N677" s="22" t="n">
        <x:f>IF(COUNT(I677:M677)=5,MIN(I677+M677,ROUND(MAX(K677,I677*L677+M677),2)),"n.a.")</x:f>
        <x:v>0</x:v>
      </x:c>
      <x:c r="O677" s="30" t="n">
        <x:f>IF(COUNT($I$677:$I$681)&lt;&gt;5,"n.a.",IF(I677=0,6,IF('Inputs'!$D$5=1,COUNTIFS($I$677:$I$681,"&gt;0",$I$677:$I$681,"&lt;"&amp;I677)+COUNTIFS($I$677:I677,I677),COUNTIFS($I$677:$I$681,"&gt;0",$J$677:$J$681,"&gt;"&amp;J677)+COUNTIFS($I$677:I677,"&gt;0",$J$677:J677,J677))))</x:f>
        <x:v>6</x:v>
      </x:c>
      <x:c r="P677" s="22" t="n">
        <x:f>IF(T677="Ready",MIN(U677,MAX(0,G677-SUMIFS($U$677:$U$681,$O$677:$O$681,"&lt;"&amp;O677))),"n.a.")</x:f>
        <x:v>0</x:v>
      </x:c>
      <x:c r="Q677" s="22" t="n">
        <x:f>IF(T677="Ready",ROUND(N677+P677,2),"n.a.")</x:f>
        <x:v>0</x:v>
      </x:c>
      <x:c r="R677" s="22" t="n">
        <x:f>IF(T677="Ready",ROUND(Q677-M677,2),"n.a.")</x:f>
        <x:v>0</x:v>
      </x:c>
      <x:c r="S677" s="22" t="n">
        <x:f>IF(T677="Ready",MAX(0,ROUND(I677+M677-Q677,2)),"n.a.")</x:f>
        <x:v>0</x:v>
      </x:c>
      <x:c r="T677" s="22" t="str">
        <x:f>IF(AND(COUNT($I$677:$I$681)=5,COUNT(E677:F677)=2),IF(E677&gt;=F677,"Ready","Budget below minima"),"Check inputs")</x:f>
        <x:v>Ready</x:v>
      </x:c>
      <x:c r="U677" s="22" t="n">
        <x:f>IF(COUNT(I677,M677,N677)=3,MAX(0,ROUND(I677+M677-N677,2)),"n.a.")</x:f>
        <x:v>0</x:v>
      </x:c>
    </x:row>
    <x:row r="678" ht="22" customHeight="1">
      <x:c r="A678" s="2"/>
      <x:c r="B678" s="2"/>
      <x:c r="C678" s="27" t="n">
        <x:f>135</x:f>
        <x:v>135</x:v>
      </x:c>
      <x:c r="D678" s="28" t="n">
        <x:f>IF(ISNUMBER('Inputs'!$D$7),EDATE('Inputs'!$D$7,134),"n.a.")</x:f>
        <x:v>50406</x:v>
      </x:c>
      <x:c r="E678" s="26" t="n">
        <x:f>IF('Inputs'!$D$9&lt;&gt;"Ready","n.a.",IF(ISNUMBER('Inputs'!E153),IF('Inputs'!E153&gt;=0,'Inputs'!E153,"n.a."),IF('Inputs'!E153="",'Inputs'!$D$6,"n.a.")))</x:f>
        <x:v>500</x:v>
      </x:c>
      <x:c r="F678" s="22" t="n">
        <x:f>IF(COUNT($N$677:$N$681)=5,SUM($N$677:$N$681),"n.a.")</x:f>
        <x:v>0</x:v>
      </x:c>
      <x:c r="G678" s="22" t="n">
        <x:f>IF(COUNT(E678:F678)=2,MAX(0,E678-F678),"n.a.")</x:f>
        <x:v>500</x:v>
      </x:c>
      <x:c r="H678" s="26" t="str">
        <x:f>'Inputs'!C12</x:f>
        <x:v>Card B</x:v>
      </x:c>
      <x:c r="I678" s="26" t="n">
        <x:f>S673</x:f>
        <x:v>0</x:v>
      </x:c>
      <x:c r="J678" s="29" t="n">
        <x:f>IF('Inputs'!$D$9="Ready",'Inputs'!E12,"n.a.")</x:f>
        <x:v>0.18</x:v>
      </x:c>
      <x:c r="K678" s="26" t="n">
        <x:f>IF('Inputs'!$D$9="Ready",'Inputs'!F12,"n.a.")</x:f>
        <x:v>60</x:v>
      </x:c>
      <x:c r="L678" s="29" t="n">
        <x:f>IF('Inputs'!$D$9="Ready",'Inputs'!G12,"n.a.")</x:f>
        <x:v>0.02</x:v>
      </x:c>
      <x:c r="M678" s="22" t="n">
        <x:f>IF(COUNT(I678:L678)=4,ROUND(I678*J678/12,2),"n.a.")</x:f>
        <x:v>0</x:v>
      </x:c>
      <x:c r="N678" s="22" t="n">
        <x:f>IF(COUNT(I678:M678)=5,MIN(I678+M678,ROUND(MAX(K678,I678*L678+M678),2)),"n.a.")</x:f>
        <x:v>0</x:v>
      </x:c>
      <x:c r="O678" s="30" t="n">
        <x:f>IF(COUNT($I$677:$I$681)&lt;&gt;5,"n.a.",IF(I678=0,6,IF('Inputs'!$D$5=1,COUNTIFS($I$677:$I$681,"&gt;0",$I$677:$I$681,"&lt;"&amp;I678)+COUNTIFS($I$677:I678,I678),COUNTIFS($I$677:$I$681,"&gt;0",$J$677:$J$681,"&gt;"&amp;J678)+COUNTIFS($I$677:I678,"&gt;0",$J$677:J678,J678))))</x:f>
        <x:v>6</x:v>
      </x:c>
      <x:c r="P678" s="22" t="n">
        <x:f>IF(T678="Ready",MIN(U678,MAX(0,G678-SUMIFS($U$677:$U$681,$O$677:$O$681,"&lt;"&amp;O678))),"n.a.")</x:f>
        <x:v>0</x:v>
      </x:c>
      <x:c r="Q678" s="22" t="n">
        <x:f>IF(T678="Ready",ROUND(N678+P678,2),"n.a.")</x:f>
        <x:v>0</x:v>
      </x:c>
      <x:c r="R678" s="22" t="n">
        <x:f>IF(T678="Ready",ROUND(Q678-M678,2),"n.a.")</x:f>
        <x:v>0</x:v>
      </x:c>
      <x:c r="S678" s="22" t="n">
        <x:f>IF(T678="Ready",MAX(0,ROUND(I678+M678-Q678,2)),"n.a.")</x:f>
        <x:v>0</x:v>
      </x:c>
      <x:c r="T678" s="22" t="str">
        <x:f>IF(AND(COUNT($I$677:$I$681)=5,COUNT(E678:F678)=2),IF(E678&gt;=F678,"Ready","Budget below minima"),"Check inputs")</x:f>
        <x:v>Ready</x:v>
      </x:c>
      <x:c r="U678" s="22" t="n">
        <x:f>IF(COUNT(I678,M678,N678)=3,MAX(0,ROUND(I678+M678-N678,2)),"n.a.")</x:f>
        <x:v>0</x:v>
      </x:c>
    </x:row>
    <x:row r="679" ht="22" customHeight="1">
      <x:c r="A679" s="2"/>
      <x:c r="B679" s="2"/>
      <x:c r="C679" s="27" t="n">
        <x:f>135</x:f>
        <x:v>135</x:v>
      </x:c>
      <x:c r="D679" s="28" t="n">
        <x:f>IF(ISNUMBER('Inputs'!$D$7),EDATE('Inputs'!$D$7,134),"n.a.")</x:f>
        <x:v>50406</x:v>
      </x:c>
      <x:c r="E679" s="26" t="n">
        <x:f>IF('Inputs'!$D$9&lt;&gt;"Ready","n.a.",IF(ISNUMBER('Inputs'!E153),IF('Inputs'!E153&gt;=0,'Inputs'!E153,"n.a."),IF('Inputs'!E153="",'Inputs'!$D$6,"n.a.")))</x:f>
        <x:v>500</x:v>
      </x:c>
      <x:c r="F679" s="22" t="n">
        <x:f>IF(COUNT($N$677:$N$681)=5,SUM($N$677:$N$681),"n.a.")</x:f>
        <x:v>0</x:v>
      </x:c>
      <x:c r="G679" s="22" t="n">
        <x:f>IF(COUNT(E679:F679)=2,MAX(0,E679-F679),"n.a.")</x:f>
        <x:v>500</x:v>
      </x:c>
      <x:c r="H679" s="26" t="str">
        <x:f>'Inputs'!C13</x:f>
        <x:v>Loan C</x:v>
      </x:c>
      <x:c r="I679" s="26" t="n">
        <x:f>S674</x:f>
        <x:v>0</x:v>
      </x:c>
      <x:c r="J679" s="29" t="n">
        <x:f>IF('Inputs'!$D$9="Ready",'Inputs'!E13,"n.a.")</x:f>
        <x:v>0.08</x:v>
      </x:c>
      <x:c r="K679" s="26" t="n">
        <x:f>IF('Inputs'!$D$9="Ready",'Inputs'!F13,"n.a.")</x:f>
        <x:v>150</x:v>
      </x:c>
      <x:c r="L679" s="29" t="n">
        <x:f>IF('Inputs'!$D$9="Ready",'Inputs'!G13,"n.a.")</x:f>
        <x:v>0</x:v>
      </x:c>
      <x:c r="M679" s="22" t="n">
        <x:f>IF(COUNT(I679:L679)=4,ROUND(I679*J679/12,2),"n.a.")</x:f>
        <x:v>0</x:v>
      </x:c>
      <x:c r="N679" s="22" t="n">
        <x:f>IF(COUNT(I679:M679)=5,MIN(I679+M679,ROUND(MAX(K679,I679*L679+M679),2)),"n.a.")</x:f>
        <x:v>0</x:v>
      </x:c>
      <x:c r="O679" s="30" t="n">
        <x:f>IF(COUNT($I$677:$I$681)&lt;&gt;5,"n.a.",IF(I679=0,6,IF('Inputs'!$D$5=1,COUNTIFS($I$677:$I$681,"&gt;0",$I$677:$I$681,"&lt;"&amp;I679)+COUNTIFS($I$677:I679,I679),COUNTIFS($I$677:$I$681,"&gt;0",$J$677:$J$681,"&gt;"&amp;J679)+COUNTIFS($I$677:I679,"&gt;0",$J$677:J679,J679))))</x:f>
        <x:v>6</x:v>
      </x:c>
      <x:c r="P679" s="22" t="n">
        <x:f>IF(T679="Ready",MIN(U679,MAX(0,G679-SUMIFS($U$677:$U$681,$O$677:$O$681,"&lt;"&amp;O679))),"n.a.")</x:f>
        <x:v>0</x:v>
      </x:c>
      <x:c r="Q679" s="22" t="n">
        <x:f>IF(T679="Ready",ROUND(N679+P679,2),"n.a.")</x:f>
        <x:v>0</x:v>
      </x:c>
      <x:c r="R679" s="22" t="n">
        <x:f>IF(T679="Ready",ROUND(Q679-M679,2),"n.a.")</x:f>
        <x:v>0</x:v>
      </x:c>
      <x:c r="S679" s="22" t="n">
        <x:f>IF(T679="Ready",MAX(0,ROUND(I679+M679-Q679,2)),"n.a.")</x:f>
        <x:v>0</x:v>
      </x:c>
      <x:c r="T679" s="22" t="str">
        <x:f>IF(AND(COUNT($I$677:$I$681)=5,COUNT(E679:F679)=2),IF(E679&gt;=F679,"Ready","Budget below minima"),"Check inputs")</x:f>
        <x:v>Ready</x:v>
      </x:c>
      <x:c r="U679" s="22" t="n">
        <x:f>IF(COUNT(I679,M679,N679)=3,MAX(0,ROUND(I679+M679-N679,2)),"n.a.")</x:f>
        <x:v>0</x:v>
      </x:c>
    </x:row>
    <x:row r="680" ht="22" customHeight="1">
      <x:c r="A680" s="2"/>
      <x:c r="B680" s="2"/>
      <x:c r="C680" s="27" t="n">
        <x:f>135</x:f>
        <x:v>135</x:v>
      </x:c>
      <x:c r="D680" s="28" t="n">
        <x:f>IF(ISNUMBER('Inputs'!$D$7),EDATE('Inputs'!$D$7,134),"n.a.")</x:f>
        <x:v>50406</x:v>
      </x:c>
      <x:c r="E680" s="26" t="n">
        <x:f>IF('Inputs'!$D$9&lt;&gt;"Ready","n.a.",IF(ISNUMBER('Inputs'!E153),IF('Inputs'!E153&gt;=0,'Inputs'!E153,"n.a."),IF('Inputs'!E153="",'Inputs'!$D$6,"n.a.")))</x:f>
        <x:v>500</x:v>
      </x:c>
      <x:c r="F680" s="22" t="n">
        <x:f>IF(COUNT($N$677:$N$681)=5,SUM($N$677:$N$681),"n.a.")</x:f>
        <x:v>0</x:v>
      </x:c>
      <x:c r="G680" s="22" t="n">
        <x:f>IF(COUNT(E680:F680)=2,MAX(0,E680-F680),"n.a.")</x:f>
        <x:v>500</x:v>
      </x:c>
      <x:c r="H680" s="26" t="str">
        <x:f>'Inputs'!C14</x:f>
        <x:v>Unused 4</x:v>
      </x:c>
      <x:c r="I680" s="26" t="n">
        <x:f>S675</x:f>
        <x:v>0</x:v>
      </x:c>
      <x:c r="J680" s="29" t="n">
        <x:f>IF('Inputs'!$D$9="Ready",'Inputs'!E14,"n.a.")</x:f>
        <x:v>0</x:v>
      </x:c>
      <x:c r="K680" s="26" t="n">
        <x:f>IF('Inputs'!$D$9="Ready",'Inputs'!F14,"n.a.")</x:f>
        <x:v>0</x:v>
      </x:c>
      <x:c r="L680" s="29" t="n">
        <x:f>IF('Inputs'!$D$9="Ready",'Inputs'!G14,"n.a.")</x:f>
        <x:v>0</x:v>
      </x:c>
      <x:c r="M680" s="22" t="n">
        <x:f>IF(COUNT(I680:L680)=4,ROUND(I680*J680/12,2),"n.a.")</x:f>
        <x:v>0</x:v>
      </x:c>
      <x:c r="N680" s="22" t="n">
        <x:f>IF(COUNT(I680:M680)=5,MIN(I680+M680,ROUND(MAX(K680,I680*L680+M680),2)),"n.a.")</x:f>
        <x:v>0</x:v>
      </x:c>
      <x:c r="O680" s="30" t="n">
        <x:f>IF(COUNT($I$677:$I$681)&lt;&gt;5,"n.a.",IF(I680=0,6,IF('Inputs'!$D$5=1,COUNTIFS($I$677:$I$681,"&gt;0",$I$677:$I$681,"&lt;"&amp;I680)+COUNTIFS($I$677:I680,I680),COUNTIFS($I$677:$I$681,"&gt;0",$J$677:$J$681,"&gt;"&amp;J680)+COUNTIFS($I$677:I680,"&gt;0",$J$677:J680,J680))))</x:f>
        <x:v>6</x:v>
      </x:c>
      <x:c r="P680" s="22" t="n">
        <x:f>IF(T680="Ready",MIN(U680,MAX(0,G680-SUMIFS($U$677:$U$681,$O$677:$O$681,"&lt;"&amp;O680))),"n.a.")</x:f>
        <x:v>0</x:v>
      </x:c>
      <x:c r="Q680" s="22" t="n">
        <x:f>IF(T680="Ready",ROUND(N680+P680,2),"n.a.")</x:f>
        <x:v>0</x:v>
      </x:c>
      <x:c r="R680" s="22" t="n">
        <x:f>IF(T680="Ready",ROUND(Q680-M680,2),"n.a.")</x:f>
        <x:v>0</x:v>
      </x:c>
      <x:c r="S680" s="22" t="n">
        <x:f>IF(T680="Ready",MAX(0,ROUND(I680+M680-Q680,2)),"n.a.")</x:f>
        <x:v>0</x:v>
      </x:c>
      <x:c r="T680" s="22" t="str">
        <x:f>IF(AND(COUNT($I$677:$I$681)=5,COUNT(E680:F680)=2),IF(E680&gt;=F680,"Ready","Budget below minima"),"Check inputs")</x:f>
        <x:v>Ready</x:v>
      </x:c>
      <x:c r="U680" s="22" t="n">
        <x:f>IF(COUNT(I680,M680,N680)=3,MAX(0,ROUND(I680+M680-N680,2)),"n.a.")</x:f>
        <x:v>0</x:v>
      </x:c>
    </x:row>
    <x:row r="681" ht="22" customHeight="1">
      <x:c r="A681" s="2"/>
      <x:c r="B681" s="2"/>
      <x:c r="C681" s="27" t="n">
        <x:f>135</x:f>
        <x:v>135</x:v>
      </x:c>
      <x:c r="D681" s="28" t="n">
        <x:f>IF(ISNUMBER('Inputs'!$D$7),EDATE('Inputs'!$D$7,134),"n.a.")</x:f>
        <x:v>50406</x:v>
      </x:c>
      <x:c r="E681" s="26" t="n">
        <x:f>IF('Inputs'!$D$9&lt;&gt;"Ready","n.a.",IF(ISNUMBER('Inputs'!E153),IF('Inputs'!E153&gt;=0,'Inputs'!E153,"n.a."),IF('Inputs'!E153="",'Inputs'!$D$6,"n.a.")))</x:f>
        <x:v>500</x:v>
      </x:c>
      <x:c r="F681" s="22" t="n">
        <x:f>IF(COUNT($N$677:$N$681)=5,SUM($N$677:$N$681),"n.a.")</x:f>
        <x:v>0</x:v>
      </x:c>
      <x:c r="G681" s="22" t="n">
        <x:f>IF(COUNT(E681:F681)=2,MAX(0,E681-F681),"n.a.")</x:f>
        <x:v>500</x:v>
      </x:c>
      <x:c r="H681" s="26" t="str">
        <x:f>'Inputs'!C15</x:f>
        <x:v>Unused 5</x:v>
      </x:c>
      <x:c r="I681" s="26" t="n">
        <x:f>S676</x:f>
        <x:v>0</x:v>
      </x:c>
      <x:c r="J681" s="29" t="n">
        <x:f>IF('Inputs'!$D$9="Ready",'Inputs'!E15,"n.a.")</x:f>
        <x:v>0</x:v>
      </x:c>
      <x:c r="K681" s="26" t="n">
        <x:f>IF('Inputs'!$D$9="Ready",'Inputs'!F15,"n.a.")</x:f>
        <x:v>0</x:v>
      </x:c>
      <x:c r="L681" s="29" t="n">
        <x:f>IF('Inputs'!$D$9="Ready",'Inputs'!G15,"n.a.")</x:f>
        <x:v>0</x:v>
      </x:c>
      <x:c r="M681" s="22" t="n">
        <x:f>IF(COUNT(I681:L681)=4,ROUND(I681*J681/12,2),"n.a.")</x:f>
        <x:v>0</x:v>
      </x:c>
      <x:c r="N681" s="22" t="n">
        <x:f>IF(COUNT(I681:M681)=5,MIN(I681+M681,ROUND(MAX(K681,I681*L681+M681),2)),"n.a.")</x:f>
        <x:v>0</x:v>
      </x:c>
      <x:c r="O681" s="30" t="n">
        <x:f>IF(COUNT($I$677:$I$681)&lt;&gt;5,"n.a.",IF(I681=0,6,IF('Inputs'!$D$5=1,COUNTIFS($I$677:$I$681,"&gt;0",$I$677:$I$681,"&lt;"&amp;I681)+COUNTIFS($I$677:I681,I681),COUNTIFS($I$677:$I$681,"&gt;0",$J$677:$J$681,"&gt;"&amp;J681)+COUNTIFS($I$677:I681,"&gt;0",$J$677:J681,J681))))</x:f>
        <x:v>6</x:v>
      </x:c>
      <x:c r="P681" s="22" t="n">
        <x:f>IF(T681="Ready",MIN(U681,MAX(0,G681-SUMIFS($U$677:$U$681,$O$677:$O$681,"&lt;"&amp;O681))),"n.a.")</x:f>
        <x:v>0</x:v>
      </x:c>
      <x:c r="Q681" s="22" t="n">
        <x:f>IF(T681="Ready",ROUND(N681+P681,2),"n.a.")</x:f>
        <x:v>0</x:v>
      </x:c>
      <x:c r="R681" s="22" t="n">
        <x:f>IF(T681="Ready",ROUND(Q681-M681,2),"n.a.")</x:f>
        <x:v>0</x:v>
      </x:c>
      <x:c r="S681" s="22" t="n">
        <x:f>IF(T681="Ready",MAX(0,ROUND(I681+M681-Q681,2)),"n.a.")</x:f>
        <x:v>0</x:v>
      </x:c>
      <x:c r="T681" s="22" t="str">
        <x:f>IF(AND(COUNT($I$677:$I$681)=5,COUNT(E681:F681)=2),IF(E681&gt;=F681,"Ready","Budget below minima"),"Check inputs")</x:f>
        <x:v>Ready</x:v>
      </x:c>
      <x:c r="U681" s="22" t="n">
        <x:f>IF(COUNT(I681,M681,N681)=3,MAX(0,ROUND(I681+M681-N681,2)),"n.a.")</x:f>
        <x:v>0</x:v>
      </x:c>
    </x:row>
    <x:row r="682" ht="22" customHeight="1">
      <x:c r="A682" s="2"/>
      <x:c r="B682" s="2"/>
      <x:c r="C682" s="27" t="n">
        <x:f>136</x:f>
        <x:v>136</x:v>
      </x:c>
      <x:c r="D682" s="28" t="n">
        <x:f>IF(ISNUMBER('Inputs'!$D$7),EDATE('Inputs'!$D$7,135),"n.a.")</x:f>
        <x:v>50437</x:v>
      </x:c>
      <x:c r="E682" s="26" t="n">
        <x:f>IF('Inputs'!$D$9&lt;&gt;"Ready","n.a.",IF(ISNUMBER('Inputs'!E154),IF('Inputs'!E154&gt;=0,'Inputs'!E154,"n.a."),IF('Inputs'!E154="",'Inputs'!$D$6,"n.a.")))</x:f>
        <x:v>500</x:v>
      </x:c>
      <x:c r="F682" s="22" t="n">
        <x:f>IF(COUNT($N$682:$N$686)=5,SUM($N$682:$N$686),"n.a.")</x:f>
        <x:v>0</x:v>
      </x:c>
      <x:c r="G682" s="22" t="n">
        <x:f>IF(COUNT(E682:F682)=2,MAX(0,E682-F682),"n.a.")</x:f>
        <x:v>500</x:v>
      </x:c>
      <x:c r="H682" s="26" t="str">
        <x:f>'Inputs'!C11</x:f>
        <x:v>Card A</x:v>
      </x:c>
      <x:c r="I682" s="26" t="n">
        <x:f>S677</x:f>
        <x:v>0</x:v>
      </x:c>
      <x:c r="J682" s="29" t="n">
        <x:f>IF('Inputs'!$D$9="Ready",'Inputs'!E11,"n.a.")</x:f>
        <x:v>0.24</x:v>
      </x:c>
      <x:c r="K682" s="26" t="n">
        <x:f>IF('Inputs'!$D$9="Ready",'Inputs'!F11,"n.a.")</x:f>
        <x:v>35</x:v>
      </x:c>
      <x:c r="L682" s="29" t="n">
        <x:f>IF('Inputs'!$D$9="Ready",'Inputs'!G11,"n.a.")</x:f>
        <x:v>0.02</x:v>
      </x:c>
      <x:c r="M682" s="22" t="n">
        <x:f>IF(COUNT(I682:L682)=4,ROUND(I682*J682/12,2),"n.a.")</x:f>
        <x:v>0</x:v>
      </x:c>
      <x:c r="N682" s="22" t="n">
        <x:f>IF(COUNT(I682:M682)=5,MIN(I682+M682,ROUND(MAX(K682,I682*L682+M682),2)),"n.a.")</x:f>
        <x:v>0</x:v>
      </x:c>
      <x:c r="O682" s="30" t="n">
        <x:f>IF(COUNT($I$682:$I$686)&lt;&gt;5,"n.a.",IF(I682=0,6,IF('Inputs'!$D$5=1,COUNTIFS($I$682:$I$686,"&gt;0",$I$682:$I$686,"&lt;"&amp;I682)+COUNTIFS($I$682:I682,I682),COUNTIFS($I$682:$I$686,"&gt;0",$J$682:$J$686,"&gt;"&amp;J682)+COUNTIFS($I$682:I682,"&gt;0",$J$682:J682,J682))))</x:f>
        <x:v>6</x:v>
      </x:c>
      <x:c r="P682" s="22" t="n">
        <x:f>IF(T682="Ready",MIN(U682,MAX(0,G682-SUMIFS($U$682:$U$686,$O$682:$O$686,"&lt;"&amp;O682))),"n.a.")</x:f>
        <x:v>0</x:v>
      </x:c>
      <x:c r="Q682" s="22" t="n">
        <x:f>IF(T682="Ready",ROUND(N682+P682,2),"n.a.")</x:f>
        <x:v>0</x:v>
      </x:c>
      <x:c r="R682" s="22" t="n">
        <x:f>IF(T682="Ready",ROUND(Q682-M682,2),"n.a.")</x:f>
        <x:v>0</x:v>
      </x:c>
      <x:c r="S682" s="22" t="n">
        <x:f>IF(T682="Ready",MAX(0,ROUND(I682+M682-Q682,2)),"n.a.")</x:f>
        <x:v>0</x:v>
      </x:c>
      <x:c r="T682" s="22" t="str">
        <x:f>IF(AND(COUNT($I$682:$I$686)=5,COUNT(E682:F682)=2),IF(E682&gt;=F682,"Ready","Budget below minima"),"Check inputs")</x:f>
        <x:v>Ready</x:v>
      </x:c>
      <x:c r="U682" s="22" t="n">
        <x:f>IF(COUNT(I682,M682,N682)=3,MAX(0,ROUND(I682+M682-N682,2)),"n.a.")</x:f>
        <x:v>0</x:v>
      </x:c>
    </x:row>
    <x:row r="683" ht="22" customHeight="1">
      <x:c r="A683" s="2"/>
      <x:c r="B683" s="2"/>
      <x:c r="C683" s="27" t="n">
        <x:f>136</x:f>
        <x:v>136</x:v>
      </x:c>
      <x:c r="D683" s="28" t="n">
        <x:f>IF(ISNUMBER('Inputs'!$D$7),EDATE('Inputs'!$D$7,135),"n.a.")</x:f>
        <x:v>50437</x:v>
      </x:c>
      <x:c r="E683" s="26" t="n">
        <x:f>IF('Inputs'!$D$9&lt;&gt;"Ready","n.a.",IF(ISNUMBER('Inputs'!E154),IF('Inputs'!E154&gt;=0,'Inputs'!E154,"n.a."),IF('Inputs'!E154="",'Inputs'!$D$6,"n.a.")))</x:f>
        <x:v>500</x:v>
      </x:c>
      <x:c r="F683" s="22" t="n">
        <x:f>IF(COUNT($N$682:$N$686)=5,SUM($N$682:$N$686),"n.a.")</x:f>
        <x:v>0</x:v>
      </x:c>
      <x:c r="G683" s="22" t="n">
        <x:f>IF(COUNT(E683:F683)=2,MAX(0,E683-F683),"n.a.")</x:f>
        <x:v>500</x:v>
      </x:c>
      <x:c r="H683" s="26" t="str">
        <x:f>'Inputs'!C12</x:f>
        <x:v>Card B</x:v>
      </x:c>
      <x:c r="I683" s="26" t="n">
        <x:f>S678</x:f>
        <x:v>0</x:v>
      </x:c>
      <x:c r="J683" s="29" t="n">
        <x:f>IF('Inputs'!$D$9="Ready",'Inputs'!E12,"n.a.")</x:f>
        <x:v>0.18</x:v>
      </x:c>
      <x:c r="K683" s="26" t="n">
        <x:f>IF('Inputs'!$D$9="Ready",'Inputs'!F12,"n.a.")</x:f>
        <x:v>60</x:v>
      </x:c>
      <x:c r="L683" s="29" t="n">
        <x:f>IF('Inputs'!$D$9="Ready",'Inputs'!G12,"n.a.")</x:f>
        <x:v>0.02</x:v>
      </x:c>
      <x:c r="M683" s="22" t="n">
        <x:f>IF(COUNT(I683:L683)=4,ROUND(I683*J683/12,2),"n.a.")</x:f>
        <x:v>0</x:v>
      </x:c>
      <x:c r="N683" s="22" t="n">
        <x:f>IF(COUNT(I683:M683)=5,MIN(I683+M683,ROUND(MAX(K683,I683*L683+M683),2)),"n.a.")</x:f>
        <x:v>0</x:v>
      </x:c>
      <x:c r="O683" s="30" t="n">
        <x:f>IF(COUNT($I$682:$I$686)&lt;&gt;5,"n.a.",IF(I683=0,6,IF('Inputs'!$D$5=1,COUNTIFS($I$682:$I$686,"&gt;0",$I$682:$I$686,"&lt;"&amp;I683)+COUNTIFS($I$682:I683,I683),COUNTIFS($I$682:$I$686,"&gt;0",$J$682:$J$686,"&gt;"&amp;J683)+COUNTIFS($I$682:I683,"&gt;0",$J$682:J683,J683))))</x:f>
        <x:v>6</x:v>
      </x:c>
      <x:c r="P683" s="22" t="n">
        <x:f>IF(T683="Ready",MIN(U683,MAX(0,G683-SUMIFS($U$682:$U$686,$O$682:$O$686,"&lt;"&amp;O683))),"n.a.")</x:f>
        <x:v>0</x:v>
      </x:c>
      <x:c r="Q683" s="22" t="n">
        <x:f>IF(T683="Ready",ROUND(N683+P683,2),"n.a.")</x:f>
        <x:v>0</x:v>
      </x:c>
      <x:c r="R683" s="22" t="n">
        <x:f>IF(T683="Ready",ROUND(Q683-M683,2),"n.a.")</x:f>
        <x:v>0</x:v>
      </x:c>
      <x:c r="S683" s="22" t="n">
        <x:f>IF(T683="Ready",MAX(0,ROUND(I683+M683-Q683,2)),"n.a.")</x:f>
        <x:v>0</x:v>
      </x:c>
      <x:c r="T683" s="22" t="str">
        <x:f>IF(AND(COUNT($I$682:$I$686)=5,COUNT(E683:F683)=2),IF(E683&gt;=F683,"Ready","Budget below minima"),"Check inputs")</x:f>
        <x:v>Ready</x:v>
      </x:c>
      <x:c r="U683" s="22" t="n">
        <x:f>IF(COUNT(I683,M683,N683)=3,MAX(0,ROUND(I683+M683-N683,2)),"n.a.")</x:f>
        <x:v>0</x:v>
      </x:c>
    </x:row>
    <x:row r="684" ht="22" customHeight="1">
      <x:c r="A684" s="2"/>
      <x:c r="B684" s="2"/>
      <x:c r="C684" s="27" t="n">
        <x:f>136</x:f>
        <x:v>136</x:v>
      </x:c>
      <x:c r="D684" s="28" t="n">
        <x:f>IF(ISNUMBER('Inputs'!$D$7),EDATE('Inputs'!$D$7,135),"n.a.")</x:f>
        <x:v>50437</x:v>
      </x:c>
      <x:c r="E684" s="26" t="n">
        <x:f>IF('Inputs'!$D$9&lt;&gt;"Ready","n.a.",IF(ISNUMBER('Inputs'!E154),IF('Inputs'!E154&gt;=0,'Inputs'!E154,"n.a."),IF('Inputs'!E154="",'Inputs'!$D$6,"n.a.")))</x:f>
        <x:v>500</x:v>
      </x:c>
      <x:c r="F684" s="22" t="n">
        <x:f>IF(COUNT($N$682:$N$686)=5,SUM($N$682:$N$686),"n.a.")</x:f>
        <x:v>0</x:v>
      </x:c>
      <x:c r="G684" s="22" t="n">
        <x:f>IF(COUNT(E684:F684)=2,MAX(0,E684-F684),"n.a.")</x:f>
        <x:v>500</x:v>
      </x:c>
      <x:c r="H684" s="26" t="str">
        <x:f>'Inputs'!C13</x:f>
        <x:v>Loan C</x:v>
      </x:c>
      <x:c r="I684" s="26" t="n">
        <x:f>S679</x:f>
        <x:v>0</x:v>
      </x:c>
      <x:c r="J684" s="29" t="n">
        <x:f>IF('Inputs'!$D$9="Ready",'Inputs'!E13,"n.a.")</x:f>
        <x:v>0.08</x:v>
      </x:c>
      <x:c r="K684" s="26" t="n">
        <x:f>IF('Inputs'!$D$9="Ready",'Inputs'!F13,"n.a.")</x:f>
        <x:v>150</x:v>
      </x:c>
      <x:c r="L684" s="29" t="n">
        <x:f>IF('Inputs'!$D$9="Ready",'Inputs'!G13,"n.a.")</x:f>
        <x:v>0</x:v>
      </x:c>
      <x:c r="M684" s="22" t="n">
        <x:f>IF(COUNT(I684:L684)=4,ROUND(I684*J684/12,2),"n.a.")</x:f>
        <x:v>0</x:v>
      </x:c>
      <x:c r="N684" s="22" t="n">
        <x:f>IF(COUNT(I684:M684)=5,MIN(I684+M684,ROUND(MAX(K684,I684*L684+M684),2)),"n.a.")</x:f>
        <x:v>0</x:v>
      </x:c>
      <x:c r="O684" s="30" t="n">
        <x:f>IF(COUNT($I$682:$I$686)&lt;&gt;5,"n.a.",IF(I684=0,6,IF('Inputs'!$D$5=1,COUNTIFS($I$682:$I$686,"&gt;0",$I$682:$I$686,"&lt;"&amp;I684)+COUNTIFS($I$682:I684,I684),COUNTIFS($I$682:$I$686,"&gt;0",$J$682:$J$686,"&gt;"&amp;J684)+COUNTIFS($I$682:I684,"&gt;0",$J$682:J684,J684))))</x:f>
        <x:v>6</x:v>
      </x:c>
      <x:c r="P684" s="22" t="n">
        <x:f>IF(T684="Ready",MIN(U684,MAX(0,G684-SUMIFS($U$682:$U$686,$O$682:$O$686,"&lt;"&amp;O684))),"n.a.")</x:f>
        <x:v>0</x:v>
      </x:c>
      <x:c r="Q684" s="22" t="n">
        <x:f>IF(T684="Ready",ROUND(N684+P684,2),"n.a.")</x:f>
        <x:v>0</x:v>
      </x:c>
      <x:c r="R684" s="22" t="n">
        <x:f>IF(T684="Ready",ROUND(Q684-M684,2),"n.a.")</x:f>
        <x:v>0</x:v>
      </x:c>
      <x:c r="S684" s="22" t="n">
        <x:f>IF(T684="Ready",MAX(0,ROUND(I684+M684-Q684,2)),"n.a.")</x:f>
        <x:v>0</x:v>
      </x:c>
      <x:c r="T684" s="22" t="str">
        <x:f>IF(AND(COUNT($I$682:$I$686)=5,COUNT(E684:F684)=2),IF(E684&gt;=F684,"Ready","Budget below minima"),"Check inputs")</x:f>
        <x:v>Ready</x:v>
      </x:c>
      <x:c r="U684" s="22" t="n">
        <x:f>IF(COUNT(I684,M684,N684)=3,MAX(0,ROUND(I684+M684-N684,2)),"n.a.")</x:f>
        <x:v>0</x:v>
      </x:c>
    </x:row>
    <x:row r="685" ht="22" customHeight="1">
      <x:c r="A685" s="2"/>
      <x:c r="B685" s="2"/>
      <x:c r="C685" s="27" t="n">
        <x:f>136</x:f>
        <x:v>136</x:v>
      </x:c>
      <x:c r="D685" s="28" t="n">
        <x:f>IF(ISNUMBER('Inputs'!$D$7),EDATE('Inputs'!$D$7,135),"n.a.")</x:f>
        <x:v>50437</x:v>
      </x:c>
      <x:c r="E685" s="26" t="n">
        <x:f>IF('Inputs'!$D$9&lt;&gt;"Ready","n.a.",IF(ISNUMBER('Inputs'!E154),IF('Inputs'!E154&gt;=0,'Inputs'!E154,"n.a."),IF('Inputs'!E154="",'Inputs'!$D$6,"n.a.")))</x:f>
        <x:v>500</x:v>
      </x:c>
      <x:c r="F685" s="22" t="n">
        <x:f>IF(COUNT($N$682:$N$686)=5,SUM($N$682:$N$686),"n.a.")</x:f>
        <x:v>0</x:v>
      </x:c>
      <x:c r="G685" s="22" t="n">
        <x:f>IF(COUNT(E685:F685)=2,MAX(0,E685-F685),"n.a.")</x:f>
        <x:v>500</x:v>
      </x:c>
      <x:c r="H685" s="26" t="str">
        <x:f>'Inputs'!C14</x:f>
        <x:v>Unused 4</x:v>
      </x:c>
      <x:c r="I685" s="26" t="n">
        <x:f>S680</x:f>
        <x:v>0</x:v>
      </x:c>
      <x:c r="J685" s="29" t="n">
        <x:f>IF('Inputs'!$D$9="Ready",'Inputs'!E14,"n.a.")</x:f>
        <x:v>0</x:v>
      </x:c>
      <x:c r="K685" s="26" t="n">
        <x:f>IF('Inputs'!$D$9="Ready",'Inputs'!F14,"n.a.")</x:f>
        <x:v>0</x:v>
      </x:c>
      <x:c r="L685" s="29" t="n">
        <x:f>IF('Inputs'!$D$9="Ready",'Inputs'!G14,"n.a.")</x:f>
        <x:v>0</x:v>
      </x:c>
      <x:c r="M685" s="22" t="n">
        <x:f>IF(COUNT(I685:L685)=4,ROUND(I685*J685/12,2),"n.a.")</x:f>
        <x:v>0</x:v>
      </x:c>
      <x:c r="N685" s="22" t="n">
        <x:f>IF(COUNT(I685:M685)=5,MIN(I685+M685,ROUND(MAX(K685,I685*L685+M685),2)),"n.a.")</x:f>
        <x:v>0</x:v>
      </x:c>
      <x:c r="O685" s="30" t="n">
        <x:f>IF(COUNT($I$682:$I$686)&lt;&gt;5,"n.a.",IF(I685=0,6,IF('Inputs'!$D$5=1,COUNTIFS($I$682:$I$686,"&gt;0",$I$682:$I$686,"&lt;"&amp;I685)+COUNTIFS($I$682:I685,I685),COUNTIFS($I$682:$I$686,"&gt;0",$J$682:$J$686,"&gt;"&amp;J685)+COUNTIFS($I$682:I685,"&gt;0",$J$682:J685,J685))))</x:f>
        <x:v>6</x:v>
      </x:c>
      <x:c r="P685" s="22" t="n">
        <x:f>IF(T685="Ready",MIN(U685,MAX(0,G685-SUMIFS($U$682:$U$686,$O$682:$O$686,"&lt;"&amp;O685))),"n.a.")</x:f>
        <x:v>0</x:v>
      </x:c>
      <x:c r="Q685" s="22" t="n">
        <x:f>IF(T685="Ready",ROUND(N685+P685,2),"n.a.")</x:f>
        <x:v>0</x:v>
      </x:c>
      <x:c r="R685" s="22" t="n">
        <x:f>IF(T685="Ready",ROUND(Q685-M685,2),"n.a.")</x:f>
        <x:v>0</x:v>
      </x:c>
      <x:c r="S685" s="22" t="n">
        <x:f>IF(T685="Ready",MAX(0,ROUND(I685+M685-Q685,2)),"n.a.")</x:f>
        <x:v>0</x:v>
      </x:c>
      <x:c r="T685" s="22" t="str">
        <x:f>IF(AND(COUNT($I$682:$I$686)=5,COUNT(E685:F685)=2),IF(E685&gt;=F685,"Ready","Budget below minima"),"Check inputs")</x:f>
        <x:v>Ready</x:v>
      </x:c>
      <x:c r="U685" s="22" t="n">
        <x:f>IF(COUNT(I685,M685,N685)=3,MAX(0,ROUND(I685+M685-N685,2)),"n.a.")</x:f>
        <x:v>0</x:v>
      </x:c>
    </x:row>
    <x:row r="686" ht="22" customHeight="1">
      <x:c r="A686" s="2"/>
      <x:c r="B686" s="2"/>
      <x:c r="C686" s="27" t="n">
        <x:f>136</x:f>
        <x:v>136</x:v>
      </x:c>
      <x:c r="D686" s="28" t="n">
        <x:f>IF(ISNUMBER('Inputs'!$D$7),EDATE('Inputs'!$D$7,135),"n.a.")</x:f>
        <x:v>50437</x:v>
      </x:c>
      <x:c r="E686" s="26" t="n">
        <x:f>IF('Inputs'!$D$9&lt;&gt;"Ready","n.a.",IF(ISNUMBER('Inputs'!E154),IF('Inputs'!E154&gt;=0,'Inputs'!E154,"n.a."),IF('Inputs'!E154="",'Inputs'!$D$6,"n.a.")))</x:f>
        <x:v>500</x:v>
      </x:c>
      <x:c r="F686" s="22" t="n">
        <x:f>IF(COUNT($N$682:$N$686)=5,SUM($N$682:$N$686),"n.a.")</x:f>
        <x:v>0</x:v>
      </x:c>
      <x:c r="G686" s="22" t="n">
        <x:f>IF(COUNT(E686:F686)=2,MAX(0,E686-F686),"n.a.")</x:f>
        <x:v>500</x:v>
      </x:c>
      <x:c r="H686" s="26" t="str">
        <x:f>'Inputs'!C15</x:f>
        <x:v>Unused 5</x:v>
      </x:c>
      <x:c r="I686" s="26" t="n">
        <x:f>S681</x:f>
        <x:v>0</x:v>
      </x:c>
      <x:c r="J686" s="29" t="n">
        <x:f>IF('Inputs'!$D$9="Ready",'Inputs'!E15,"n.a.")</x:f>
        <x:v>0</x:v>
      </x:c>
      <x:c r="K686" s="26" t="n">
        <x:f>IF('Inputs'!$D$9="Ready",'Inputs'!F15,"n.a.")</x:f>
        <x:v>0</x:v>
      </x:c>
      <x:c r="L686" s="29" t="n">
        <x:f>IF('Inputs'!$D$9="Ready",'Inputs'!G15,"n.a.")</x:f>
        <x:v>0</x:v>
      </x:c>
      <x:c r="M686" s="22" t="n">
        <x:f>IF(COUNT(I686:L686)=4,ROUND(I686*J686/12,2),"n.a.")</x:f>
        <x:v>0</x:v>
      </x:c>
      <x:c r="N686" s="22" t="n">
        <x:f>IF(COUNT(I686:M686)=5,MIN(I686+M686,ROUND(MAX(K686,I686*L686+M686),2)),"n.a.")</x:f>
        <x:v>0</x:v>
      </x:c>
      <x:c r="O686" s="30" t="n">
        <x:f>IF(COUNT($I$682:$I$686)&lt;&gt;5,"n.a.",IF(I686=0,6,IF('Inputs'!$D$5=1,COUNTIFS($I$682:$I$686,"&gt;0",$I$682:$I$686,"&lt;"&amp;I686)+COUNTIFS($I$682:I686,I686),COUNTIFS($I$682:$I$686,"&gt;0",$J$682:$J$686,"&gt;"&amp;J686)+COUNTIFS($I$682:I686,"&gt;0",$J$682:J686,J686))))</x:f>
        <x:v>6</x:v>
      </x:c>
      <x:c r="P686" s="22" t="n">
        <x:f>IF(T686="Ready",MIN(U686,MAX(0,G686-SUMIFS($U$682:$U$686,$O$682:$O$686,"&lt;"&amp;O686))),"n.a.")</x:f>
        <x:v>0</x:v>
      </x:c>
      <x:c r="Q686" s="22" t="n">
        <x:f>IF(T686="Ready",ROUND(N686+P686,2),"n.a.")</x:f>
        <x:v>0</x:v>
      </x:c>
      <x:c r="R686" s="22" t="n">
        <x:f>IF(T686="Ready",ROUND(Q686-M686,2),"n.a.")</x:f>
        <x:v>0</x:v>
      </x:c>
      <x:c r="S686" s="22" t="n">
        <x:f>IF(T686="Ready",MAX(0,ROUND(I686+M686-Q686,2)),"n.a.")</x:f>
        <x:v>0</x:v>
      </x:c>
      <x:c r="T686" s="22" t="str">
        <x:f>IF(AND(COUNT($I$682:$I$686)=5,COUNT(E686:F686)=2),IF(E686&gt;=F686,"Ready","Budget below minima"),"Check inputs")</x:f>
        <x:v>Ready</x:v>
      </x:c>
      <x:c r="U686" s="22" t="n">
        <x:f>IF(COUNT(I686,M686,N686)=3,MAX(0,ROUND(I686+M686-N686,2)),"n.a.")</x:f>
        <x:v>0</x:v>
      </x:c>
    </x:row>
    <x:row r="687" ht="22" customHeight="1">
      <x:c r="A687" s="2"/>
      <x:c r="B687" s="2"/>
      <x:c r="C687" s="27" t="n">
        <x:f>137</x:f>
        <x:v>137</x:v>
      </x:c>
      <x:c r="D687" s="28" t="n">
        <x:f>IF(ISNUMBER('Inputs'!$D$7),EDATE('Inputs'!$D$7,136),"n.a.")</x:f>
        <x:v>50465</x:v>
      </x:c>
      <x:c r="E687" s="26" t="n">
        <x:f>IF('Inputs'!$D$9&lt;&gt;"Ready","n.a.",IF(ISNUMBER('Inputs'!E155),IF('Inputs'!E155&gt;=0,'Inputs'!E155,"n.a."),IF('Inputs'!E155="",'Inputs'!$D$6,"n.a.")))</x:f>
        <x:v>500</x:v>
      </x:c>
      <x:c r="F687" s="22" t="n">
        <x:f>IF(COUNT($N$687:$N$691)=5,SUM($N$687:$N$691),"n.a.")</x:f>
        <x:v>0</x:v>
      </x:c>
      <x:c r="G687" s="22" t="n">
        <x:f>IF(COUNT(E687:F687)=2,MAX(0,E687-F687),"n.a.")</x:f>
        <x:v>500</x:v>
      </x:c>
      <x:c r="H687" s="26" t="str">
        <x:f>'Inputs'!C11</x:f>
        <x:v>Card A</x:v>
      </x:c>
      <x:c r="I687" s="26" t="n">
        <x:f>S682</x:f>
        <x:v>0</x:v>
      </x:c>
      <x:c r="J687" s="29" t="n">
        <x:f>IF('Inputs'!$D$9="Ready",'Inputs'!E11,"n.a.")</x:f>
        <x:v>0.24</x:v>
      </x:c>
      <x:c r="K687" s="26" t="n">
        <x:f>IF('Inputs'!$D$9="Ready",'Inputs'!F11,"n.a.")</x:f>
        <x:v>35</x:v>
      </x:c>
      <x:c r="L687" s="29" t="n">
        <x:f>IF('Inputs'!$D$9="Ready",'Inputs'!G11,"n.a.")</x:f>
        <x:v>0.02</x:v>
      </x:c>
      <x:c r="M687" s="22" t="n">
        <x:f>IF(COUNT(I687:L687)=4,ROUND(I687*J687/12,2),"n.a.")</x:f>
        <x:v>0</x:v>
      </x:c>
      <x:c r="N687" s="22" t="n">
        <x:f>IF(COUNT(I687:M687)=5,MIN(I687+M687,ROUND(MAX(K687,I687*L687+M687),2)),"n.a.")</x:f>
        <x:v>0</x:v>
      </x:c>
      <x:c r="O687" s="30" t="n">
        <x:f>IF(COUNT($I$687:$I$691)&lt;&gt;5,"n.a.",IF(I687=0,6,IF('Inputs'!$D$5=1,COUNTIFS($I$687:$I$691,"&gt;0",$I$687:$I$691,"&lt;"&amp;I687)+COUNTIFS($I$687:I687,I687),COUNTIFS($I$687:$I$691,"&gt;0",$J$687:$J$691,"&gt;"&amp;J687)+COUNTIFS($I$687:I687,"&gt;0",$J$687:J687,J687))))</x:f>
        <x:v>6</x:v>
      </x:c>
      <x:c r="P687" s="22" t="n">
        <x:f>IF(T687="Ready",MIN(U687,MAX(0,G687-SUMIFS($U$687:$U$691,$O$687:$O$691,"&lt;"&amp;O687))),"n.a.")</x:f>
        <x:v>0</x:v>
      </x:c>
      <x:c r="Q687" s="22" t="n">
        <x:f>IF(T687="Ready",ROUND(N687+P687,2),"n.a.")</x:f>
        <x:v>0</x:v>
      </x:c>
      <x:c r="R687" s="22" t="n">
        <x:f>IF(T687="Ready",ROUND(Q687-M687,2),"n.a.")</x:f>
        <x:v>0</x:v>
      </x:c>
      <x:c r="S687" s="22" t="n">
        <x:f>IF(T687="Ready",MAX(0,ROUND(I687+M687-Q687,2)),"n.a.")</x:f>
        <x:v>0</x:v>
      </x:c>
      <x:c r="T687" s="22" t="str">
        <x:f>IF(AND(COUNT($I$687:$I$691)=5,COUNT(E687:F687)=2),IF(E687&gt;=F687,"Ready","Budget below minima"),"Check inputs")</x:f>
        <x:v>Ready</x:v>
      </x:c>
      <x:c r="U687" s="22" t="n">
        <x:f>IF(COUNT(I687,M687,N687)=3,MAX(0,ROUND(I687+M687-N687,2)),"n.a.")</x:f>
        <x:v>0</x:v>
      </x:c>
    </x:row>
    <x:row r="688" ht="22" customHeight="1">
      <x:c r="A688" s="2"/>
      <x:c r="B688" s="2"/>
      <x:c r="C688" s="27" t="n">
        <x:f>137</x:f>
        <x:v>137</x:v>
      </x:c>
      <x:c r="D688" s="28" t="n">
        <x:f>IF(ISNUMBER('Inputs'!$D$7),EDATE('Inputs'!$D$7,136),"n.a.")</x:f>
        <x:v>50465</x:v>
      </x:c>
      <x:c r="E688" s="26" t="n">
        <x:f>IF('Inputs'!$D$9&lt;&gt;"Ready","n.a.",IF(ISNUMBER('Inputs'!E155),IF('Inputs'!E155&gt;=0,'Inputs'!E155,"n.a."),IF('Inputs'!E155="",'Inputs'!$D$6,"n.a.")))</x:f>
        <x:v>500</x:v>
      </x:c>
      <x:c r="F688" s="22" t="n">
        <x:f>IF(COUNT($N$687:$N$691)=5,SUM($N$687:$N$691),"n.a.")</x:f>
        <x:v>0</x:v>
      </x:c>
      <x:c r="G688" s="22" t="n">
        <x:f>IF(COUNT(E688:F688)=2,MAX(0,E688-F688),"n.a.")</x:f>
        <x:v>500</x:v>
      </x:c>
      <x:c r="H688" s="26" t="str">
        <x:f>'Inputs'!C12</x:f>
        <x:v>Card B</x:v>
      </x:c>
      <x:c r="I688" s="26" t="n">
        <x:f>S683</x:f>
        <x:v>0</x:v>
      </x:c>
      <x:c r="J688" s="29" t="n">
        <x:f>IF('Inputs'!$D$9="Ready",'Inputs'!E12,"n.a.")</x:f>
        <x:v>0.18</x:v>
      </x:c>
      <x:c r="K688" s="26" t="n">
        <x:f>IF('Inputs'!$D$9="Ready",'Inputs'!F12,"n.a.")</x:f>
        <x:v>60</x:v>
      </x:c>
      <x:c r="L688" s="29" t="n">
        <x:f>IF('Inputs'!$D$9="Ready",'Inputs'!G12,"n.a.")</x:f>
        <x:v>0.02</x:v>
      </x:c>
      <x:c r="M688" s="22" t="n">
        <x:f>IF(COUNT(I688:L688)=4,ROUND(I688*J688/12,2),"n.a.")</x:f>
        <x:v>0</x:v>
      </x:c>
      <x:c r="N688" s="22" t="n">
        <x:f>IF(COUNT(I688:M688)=5,MIN(I688+M688,ROUND(MAX(K688,I688*L688+M688),2)),"n.a.")</x:f>
        <x:v>0</x:v>
      </x:c>
      <x:c r="O688" s="30" t="n">
        <x:f>IF(COUNT($I$687:$I$691)&lt;&gt;5,"n.a.",IF(I688=0,6,IF('Inputs'!$D$5=1,COUNTIFS($I$687:$I$691,"&gt;0",$I$687:$I$691,"&lt;"&amp;I688)+COUNTIFS($I$687:I688,I688),COUNTIFS($I$687:$I$691,"&gt;0",$J$687:$J$691,"&gt;"&amp;J688)+COUNTIFS($I$687:I688,"&gt;0",$J$687:J688,J688))))</x:f>
        <x:v>6</x:v>
      </x:c>
      <x:c r="P688" s="22" t="n">
        <x:f>IF(T688="Ready",MIN(U688,MAX(0,G688-SUMIFS($U$687:$U$691,$O$687:$O$691,"&lt;"&amp;O688))),"n.a.")</x:f>
        <x:v>0</x:v>
      </x:c>
      <x:c r="Q688" s="22" t="n">
        <x:f>IF(T688="Ready",ROUND(N688+P688,2),"n.a.")</x:f>
        <x:v>0</x:v>
      </x:c>
      <x:c r="R688" s="22" t="n">
        <x:f>IF(T688="Ready",ROUND(Q688-M688,2),"n.a.")</x:f>
        <x:v>0</x:v>
      </x:c>
      <x:c r="S688" s="22" t="n">
        <x:f>IF(T688="Ready",MAX(0,ROUND(I688+M688-Q688,2)),"n.a.")</x:f>
        <x:v>0</x:v>
      </x:c>
      <x:c r="T688" s="22" t="str">
        <x:f>IF(AND(COUNT($I$687:$I$691)=5,COUNT(E688:F688)=2),IF(E688&gt;=F688,"Ready","Budget below minima"),"Check inputs")</x:f>
        <x:v>Ready</x:v>
      </x:c>
      <x:c r="U688" s="22" t="n">
        <x:f>IF(COUNT(I688,M688,N688)=3,MAX(0,ROUND(I688+M688-N688,2)),"n.a.")</x:f>
        <x:v>0</x:v>
      </x:c>
    </x:row>
    <x:row r="689" ht="22" customHeight="1">
      <x:c r="A689" s="2"/>
      <x:c r="B689" s="2"/>
      <x:c r="C689" s="27" t="n">
        <x:f>137</x:f>
        <x:v>137</x:v>
      </x:c>
      <x:c r="D689" s="28" t="n">
        <x:f>IF(ISNUMBER('Inputs'!$D$7),EDATE('Inputs'!$D$7,136),"n.a.")</x:f>
        <x:v>50465</x:v>
      </x:c>
      <x:c r="E689" s="26" t="n">
        <x:f>IF('Inputs'!$D$9&lt;&gt;"Ready","n.a.",IF(ISNUMBER('Inputs'!E155),IF('Inputs'!E155&gt;=0,'Inputs'!E155,"n.a."),IF('Inputs'!E155="",'Inputs'!$D$6,"n.a.")))</x:f>
        <x:v>500</x:v>
      </x:c>
      <x:c r="F689" s="22" t="n">
        <x:f>IF(COUNT($N$687:$N$691)=5,SUM($N$687:$N$691),"n.a.")</x:f>
        <x:v>0</x:v>
      </x:c>
      <x:c r="G689" s="22" t="n">
        <x:f>IF(COUNT(E689:F689)=2,MAX(0,E689-F689),"n.a.")</x:f>
        <x:v>500</x:v>
      </x:c>
      <x:c r="H689" s="26" t="str">
        <x:f>'Inputs'!C13</x:f>
        <x:v>Loan C</x:v>
      </x:c>
      <x:c r="I689" s="26" t="n">
        <x:f>S684</x:f>
        <x:v>0</x:v>
      </x:c>
      <x:c r="J689" s="29" t="n">
        <x:f>IF('Inputs'!$D$9="Ready",'Inputs'!E13,"n.a.")</x:f>
        <x:v>0.08</x:v>
      </x:c>
      <x:c r="K689" s="26" t="n">
        <x:f>IF('Inputs'!$D$9="Ready",'Inputs'!F13,"n.a.")</x:f>
        <x:v>150</x:v>
      </x:c>
      <x:c r="L689" s="29" t="n">
        <x:f>IF('Inputs'!$D$9="Ready",'Inputs'!G13,"n.a.")</x:f>
        <x:v>0</x:v>
      </x:c>
      <x:c r="M689" s="22" t="n">
        <x:f>IF(COUNT(I689:L689)=4,ROUND(I689*J689/12,2),"n.a.")</x:f>
        <x:v>0</x:v>
      </x:c>
      <x:c r="N689" s="22" t="n">
        <x:f>IF(COUNT(I689:M689)=5,MIN(I689+M689,ROUND(MAX(K689,I689*L689+M689),2)),"n.a.")</x:f>
        <x:v>0</x:v>
      </x:c>
      <x:c r="O689" s="30" t="n">
        <x:f>IF(COUNT($I$687:$I$691)&lt;&gt;5,"n.a.",IF(I689=0,6,IF('Inputs'!$D$5=1,COUNTIFS($I$687:$I$691,"&gt;0",$I$687:$I$691,"&lt;"&amp;I689)+COUNTIFS($I$687:I689,I689),COUNTIFS($I$687:$I$691,"&gt;0",$J$687:$J$691,"&gt;"&amp;J689)+COUNTIFS($I$687:I689,"&gt;0",$J$687:J689,J689))))</x:f>
        <x:v>6</x:v>
      </x:c>
      <x:c r="P689" s="22" t="n">
        <x:f>IF(T689="Ready",MIN(U689,MAX(0,G689-SUMIFS($U$687:$U$691,$O$687:$O$691,"&lt;"&amp;O689))),"n.a.")</x:f>
        <x:v>0</x:v>
      </x:c>
      <x:c r="Q689" s="22" t="n">
        <x:f>IF(T689="Ready",ROUND(N689+P689,2),"n.a.")</x:f>
        <x:v>0</x:v>
      </x:c>
      <x:c r="R689" s="22" t="n">
        <x:f>IF(T689="Ready",ROUND(Q689-M689,2),"n.a.")</x:f>
        <x:v>0</x:v>
      </x:c>
      <x:c r="S689" s="22" t="n">
        <x:f>IF(T689="Ready",MAX(0,ROUND(I689+M689-Q689,2)),"n.a.")</x:f>
        <x:v>0</x:v>
      </x:c>
      <x:c r="T689" s="22" t="str">
        <x:f>IF(AND(COUNT($I$687:$I$691)=5,COUNT(E689:F689)=2),IF(E689&gt;=F689,"Ready","Budget below minima"),"Check inputs")</x:f>
        <x:v>Ready</x:v>
      </x:c>
      <x:c r="U689" s="22" t="n">
        <x:f>IF(COUNT(I689,M689,N689)=3,MAX(0,ROUND(I689+M689-N689,2)),"n.a.")</x:f>
        <x:v>0</x:v>
      </x:c>
    </x:row>
    <x:row r="690" ht="22" customHeight="1">
      <x:c r="A690" s="2"/>
      <x:c r="B690" s="2"/>
      <x:c r="C690" s="27" t="n">
        <x:f>137</x:f>
        <x:v>137</x:v>
      </x:c>
      <x:c r="D690" s="28" t="n">
        <x:f>IF(ISNUMBER('Inputs'!$D$7),EDATE('Inputs'!$D$7,136),"n.a.")</x:f>
        <x:v>50465</x:v>
      </x:c>
      <x:c r="E690" s="26" t="n">
        <x:f>IF('Inputs'!$D$9&lt;&gt;"Ready","n.a.",IF(ISNUMBER('Inputs'!E155),IF('Inputs'!E155&gt;=0,'Inputs'!E155,"n.a."),IF('Inputs'!E155="",'Inputs'!$D$6,"n.a.")))</x:f>
        <x:v>500</x:v>
      </x:c>
      <x:c r="F690" s="22" t="n">
        <x:f>IF(COUNT($N$687:$N$691)=5,SUM($N$687:$N$691),"n.a.")</x:f>
        <x:v>0</x:v>
      </x:c>
      <x:c r="G690" s="22" t="n">
        <x:f>IF(COUNT(E690:F690)=2,MAX(0,E690-F690),"n.a.")</x:f>
        <x:v>500</x:v>
      </x:c>
      <x:c r="H690" s="26" t="str">
        <x:f>'Inputs'!C14</x:f>
        <x:v>Unused 4</x:v>
      </x:c>
      <x:c r="I690" s="26" t="n">
        <x:f>S685</x:f>
        <x:v>0</x:v>
      </x:c>
      <x:c r="J690" s="29" t="n">
        <x:f>IF('Inputs'!$D$9="Ready",'Inputs'!E14,"n.a.")</x:f>
        <x:v>0</x:v>
      </x:c>
      <x:c r="K690" s="26" t="n">
        <x:f>IF('Inputs'!$D$9="Ready",'Inputs'!F14,"n.a.")</x:f>
        <x:v>0</x:v>
      </x:c>
      <x:c r="L690" s="29" t="n">
        <x:f>IF('Inputs'!$D$9="Ready",'Inputs'!G14,"n.a.")</x:f>
        <x:v>0</x:v>
      </x:c>
      <x:c r="M690" s="22" t="n">
        <x:f>IF(COUNT(I690:L690)=4,ROUND(I690*J690/12,2),"n.a.")</x:f>
        <x:v>0</x:v>
      </x:c>
      <x:c r="N690" s="22" t="n">
        <x:f>IF(COUNT(I690:M690)=5,MIN(I690+M690,ROUND(MAX(K690,I690*L690+M690),2)),"n.a.")</x:f>
        <x:v>0</x:v>
      </x:c>
      <x:c r="O690" s="30" t="n">
        <x:f>IF(COUNT($I$687:$I$691)&lt;&gt;5,"n.a.",IF(I690=0,6,IF('Inputs'!$D$5=1,COUNTIFS($I$687:$I$691,"&gt;0",$I$687:$I$691,"&lt;"&amp;I690)+COUNTIFS($I$687:I690,I690),COUNTIFS($I$687:$I$691,"&gt;0",$J$687:$J$691,"&gt;"&amp;J690)+COUNTIFS($I$687:I690,"&gt;0",$J$687:J690,J690))))</x:f>
        <x:v>6</x:v>
      </x:c>
      <x:c r="P690" s="22" t="n">
        <x:f>IF(T690="Ready",MIN(U690,MAX(0,G690-SUMIFS($U$687:$U$691,$O$687:$O$691,"&lt;"&amp;O690))),"n.a.")</x:f>
        <x:v>0</x:v>
      </x:c>
      <x:c r="Q690" s="22" t="n">
        <x:f>IF(T690="Ready",ROUND(N690+P690,2),"n.a.")</x:f>
        <x:v>0</x:v>
      </x:c>
      <x:c r="R690" s="22" t="n">
        <x:f>IF(T690="Ready",ROUND(Q690-M690,2),"n.a.")</x:f>
        <x:v>0</x:v>
      </x:c>
      <x:c r="S690" s="22" t="n">
        <x:f>IF(T690="Ready",MAX(0,ROUND(I690+M690-Q690,2)),"n.a.")</x:f>
        <x:v>0</x:v>
      </x:c>
      <x:c r="T690" s="22" t="str">
        <x:f>IF(AND(COUNT($I$687:$I$691)=5,COUNT(E690:F690)=2),IF(E690&gt;=F690,"Ready","Budget below minima"),"Check inputs")</x:f>
        <x:v>Ready</x:v>
      </x:c>
      <x:c r="U690" s="22" t="n">
        <x:f>IF(COUNT(I690,M690,N690)=3,MAX(0,ROUND(I690+M690-N690,2)),"n.a.")</x:f>
        <x:v>0</x:v>
      </x:c>
    </x:row>
    <x:row r="691" ht="22" customHeight="1">
      <x:c r="A691" s="2"/>
      <x:c r="B691" s="2"/>
      <x:c r="C691" s="27" t="n">
        <x:f>137</x:f>
        <x:v>137</x:v>
      </x:c>
      <x:c r="D691" s="28" t="n">
        <x:f>IF(ISNUMBER('Inputs'!$D$7),EDATE('Inputs'!$D$7,136),"n.a.")</x:f>
        <x:v>50465</x:v>
      </x:c>
      <x:c r="E691" s="26" t="n">
        <x:f>IF('Inputs'!$D$9&lt;&gt;"Ready","n.a.",IF(ISNUMBER('Inputs'!E155),IF('Inputs'!E155&gt;=0,'Inputs'!E155,"n.a."),IF('Inputs'!E155="",'Inputs'!$D$6,"n.a.")))</x:f>
        <x:v>500</x:v>
      </x:c>
      <x:c r="F691" s="22" t="n">
        <x:f>IF(COUNT($N$687:$N$691)=5,SUM($N$687:$N$691),"n.a.")</x:f>
        <x:v>0</x:v>
      </x:c>
      <x:c r="G691" s="22" t="n">
        <x:f>IF(COUNT(E691:F691)=2,MAX(0,E691-F691),"n.a.")</x:f>
        <x:v>500</x:v>
      </x:c>
      <x:c r="H691" s="26" t="str">
        <x:f>'Inputs'!C15</x:f>
        <x:v>Unused 5</x:v>
      </x:c>
      <x:c r="I691" s="26" t="n">
        <x:f>S686</x:f>
        <x:v>0</x:v>
      </x:c>
      <x:c r="J691" s="29" t="n">
        <x:f>IF('Inputs'!$D$9="Ready",'Inputs'!E15,"n.a.")</x:f>
        <x:v>0</x:v>
      </x:c>
      <x:c r="K691" s="26" t="n">
        <x:f>IF('Inputs'!$D$9="Ready",'Inputs'!F15,"n.a.")</x:f>
        <x:v>0</x:v>
      </x:c>
      <x:c r="L691" s="29" t="n">
        <x:f>IF('Inputs'!$D$9="Ready",'Inputs'!G15,"n.a.")</x:f>
        <x:v>0</x:v>
      </x:c>
      <x:c r="M691" s="22" t="n">
        <x:f>IF(COUNT(I691:L691)=4,ROUND(I691*J691/12,2),"n.a.")</x:f>
        <x:v>0</x:v>
      </x:c>
      <x:c r="N691" s="22" t="n">
        <x:f>IF(COUNT(I691:M691)=5,MIN(I691+M691,ROUND(MAX(K691,I691*L691+M691),2)),"n.a.")</x:f>
        <x:v>0</x:v>
      </x:c>
      <x:c r="O691" s="30" t="n">
        <x:f>IF(COUNT($I$687:$I$691)&lt;&gt;5,"n.a.",IF(I691=0,6,IF('Inputs'!$D$5=1,COUNTIFS($I$687:$I$691,"&gt;0",$I$687:$I$691,"&lt;"&amp;I691)+COUNTIFS($I$687:I691,I691),COUNTIFS($I$687:$I$691,"&gt;0",$J$687:$J$691,"&gt;"&amp;J691)+COUNTIFS($I$687:I691,"&gt;0",$J$687:J691,J691))))</x:f>
        <x:v>6</x:v>
      </x:c>
      <x:c r="P691" s="22" t="n">
        <x:f>IF(T691="Ready",MIN(U691,MAX(0,G691-SUMIFS($U$687:$U$691,$O$687:$O$691,"&lt;"&amp;O691))),"n.a.")</x:f>
        <x:v>0</x:v>
      </x:c>
      <x:c r="Q691" s="22" t="n">
        <x:f>IF(T691="Ready",ROUND(N691+P691,2),"n.a.")</x:f>
        <x:v>0</x:v>
      </x:c>
      <x:c r="R691" s="22" t="n">
        <x:f>IF(T691="Ready",ROUND(Q691-M691,2),"n.a.")</x:f>
        <x:v>0</x:v>
      </x:c>
      <x:c r="S691" s="22" t="n">
        <x:f>IF(T691="Ready",MAX(0,ROUND(I691+M691-Q691,2)),"n.a.")</x:f>
        <x:v>0</x:v>
      </x:c>
      <x:c r="T691" s="22" t="str">
        <x:f>IF(AND(COUNT($I$687:$I$691)=5,COUNT(E691:F691)=2),IF(E691&gt;=F691,"Ready","Budget below minima"),"Check inputs")</x:f>
        <x:v>Ready</x:v>
      </x:c>
      <x:c r="U691" s="22" t="n">
        <x:f>IF(COUNT(I691,M691,N691)=3,MAX(0,ROUND(I691+M691-N691,2)),"n.a.")</x:f>
        <x:v>0</x:v>
      </x:c>
    </x:row>
    <x:row r="692" ht="22" customHeight="1">
      <x:c r="A692" s="2"/>
      <x:c r="B692" s="2"/>
      <x:c r="C692" s="27" t="n">
        <x:f>138</x:f>
        <x:v>138</x:v>
      </x:c>
      <x:c r="D692" s="28" t="n">
        <x:f>IF(ISNUMBER('Inputs'!$D$7),EDATE('Inputs'!$D$7,137),"n.a.")</x:f>
        <x:v>50496</x:v>
      </x:c>
      <x:c r="E692" s="26" t="n">
        <x:f>IF('Inputs'!$D$9&lt;&gt;"Ready","n.a.",IF(ISNUMBER('Inputs'!E156),IF('Inputs'!E156&gt;=0,'Inputs'!E156,"n.a."),IF('Inputs'!E156="",'Inputs'!$D$6,"n.a.")))</x:f>
        <x:v>500</x:v>
      </x:c>
      <x:c r="F692" s="22" t="n">
        <x:f>IF(COUNT($N$692:$N$696)=5,SUM($N$692:$N$696),"n.a.")</x:f>
        <x:v>0</x:v>
      </x:c>
      <x:c r="G692" s="22" t="n">
        <x:f>IF(COUNT(E692:F692)=2,MAX(0,E692-F692),"n.a.")</x:f>
        <x:v>500</x:v>
      </x:c>
      <x:c r="H692" s="26" t="str">
        <x:f>'Inputs'!C11</x:f>
        <x:v>Card A</x:v>
      </x:c>
      <x:c r="I692" s="26" t="n">
        <x:f>S687</x:f>
        <x:v>0</x:v>
      </x:c>
      <x:c r="J692" s="29" t="n">
        <x:f>IF('Inputs'!$D$9="Ready",'Inputs'!E11,"n.a.")</x:f>
        <x:v>0.24</x:v>
      </x:c>
      <x:c r="K692" s="26" t="n">
        <x:f>IF('Inputs'!$D$9="Ready",'Inputs'!F11,"n.a.")</x:f>
        <x:v>35</x:v>
      </x:c>
      <x:c r="L692" s="29" t="n">
        <x:f>IF('Inputs'!$D$9="Ready",'Inputs'!G11,"n.a.")</x:f>
        <x:v>0.02</x:v>
      </x:c>
      <x:c r="M692" s="22" t="n">
        <x:f>IF(COUNT(I692:L692)=4,ROUND(I692*J692/12,2),"n.a.")</x:f>
        <x:v>0</x:v>
      </x:c>
      <x:c r="N692" s="22" t="n">
        <x:f>IF(COUNT(I692:M692)=5,MIN(I692+M692,ROUND(MAX(K692,I692*L692+M692),2)),"n.a.")</x:f>
        <x:v>0</x:v>
      </x:c>
      <x:c r="O692" s="30" t="n">
        <x:f>IF(COUNT($I$692:$I$696)&lt;&gt;5,"n.a.",IF(I692=0,6,IF('Inputs'!$D$5=1,COUNTIFS($I$692:$I$696,"&gt;0",$I$692:$I$696,"&lt;"&amp;I692)+COUNTIFS($I$692:I692,I692),COUNTIFS($I$692:$I$696,"&gt;0",$J$692:$J$696,"&gt;"&amp;J692)+COUNTIFS($I$692:I692,"&gt;0",$J$692:J692,J692))))</x:f>
        <x:v>6</x:v>
      </x:c>
      <x:c r="P692" s="22" t="n">
        <x:f>IF(T692="Ready",MIN(U692,MAX(0,G692-SUMIFS($U$692:$U$696,$O$692:$O$696,"&lt;"&amp;O692))),"n.a.")</x:f>
        <x:v>0</x:v>
      </x:c>
      <x:c r="Q692" s="22" t="n">
        <x:f>IF(T692="Ready",ROUND(N692+P692,2),"n.a.")</x:f>
        <x:v>0</x:v>
      </x:c>
      <x:c r="R692" s="22" t="n">
        <x:f>IF(T692="Ready",ROUND(Q692-M692,2),"n.a.")</x:f>
        <x:v>0</x:v>
      </x:c>
      <x:c r="S692" s="22" t="n">
        <x:f>IF(T692="Ready",MAX(0,ROUND(I692+M692-Q692,2)),"n.a.")</x:f>
        <x:v>0</x:v>
      </x:c>
      <x:c r="T692" s="22" t="str">
        <x:f>IF(AND(COUNT($I$692:$I$696)=5,COUNT(E692:F692)=2),IF(E692&gt;=F692,"Ready","Budget below minima"),"Check inputs")</x:f>
        <x:v>Ready</x:v>
      </x:c>
      <x:c r="U692" s="22" t="n">
        <x:f>IF(COUNT(I692,M692,N692)=3,MAX(0,ROUND(I692+M692-N692,2)),"n.a.")</x:f>
        <x:v>0</x:v>
      </x:c>
    </x:row>
    <x:row r="693" ht="22" customHeight="1">
      <x:c r="A693" s="2"/>
      <x:c r="B693" s="2"/>
      <x:c r="C693" s="27" t="n">
        <x:f>138</x:f>
        <x:v>138</x:v>
      </x:c>
      <x:c r="D693" s="28" t="n">
        <x:f>IF(ISNUMBER('Inputs'!$D$7),EDATE('Inputs'!$D$7,137),"n.a.")</x:f>
        <x:v>50496</x:v>
      </x:c>
      <x:c r="E693" s="26" t="n">
        <x:f>IF('Inputs'!$D$9&lt;&gt;"Ready","n.a.",IF(ISNUMBER('Inputs'!E156),IF('Inputs'!E156&gt;=0,'Inputs'!E156,"n.a."),IF('Inputs'!E156="",'Inputs'!$D$6,"n.a.")))</x:f>
        <x:v>500</x:v>
      </x:c>
      <x:c r="F693" s="22" t="n">
        <x:f>IF(COUNT($N$692:$N$696)=5,SUM($N$692:$N$696),"n.a.")</x:f>
        <x:v>0</x:v>
      </x:c>
      <x:c r="G693" s="22" t="n">
        <x:f>IF(COUNT(E693:F693)=2,MAX(0,E693-F693),"n.a.")</x:f>
        <x:v>500</x:v>
      </x:c>
      <x:c r="H693" s="26" t="str">
        <x:f>'Inputs'!C12</x:f>
        <x:v>Card B</x:v>
      </x:c>
      <x:c r="I693" s="26" t="n">
        <x:f>S688</x:f>
        <x:v>0</x:v>
      </x:c>
      <x:c r="J693" s="29" t="n">
        <x:f>IF('Inputs'!$D$9="Ready",'Inputs'!E12,"n.a.")</x:f>
        <x:v>0.18</x:v>
      </x:c>
      <x:c r="K693" s="26" t="n">
        <x:f>IF('Inputs'!$D$9="Ready",'Inputs'!F12,"n.a.")</x:f>
        <x:v>60</x:v>
      </x:c>
      <x:c r="L693" s="29" t="n">
        <x:f>IF('Inputs'!$D$9="Ready",'Inputs'!G12,"n.a.")</x:f>
        <x:v>0.02</x:v>
      </x:c>
      <x:c r="M693" s="22" t="n">
        <x:f>IF(COUNT(I693:L693)=4,ROUND(I693*J693/12,2),"n.a.")</x:f>
        <x:v>0</x:v>
      </x:c>
      <x:c r="N693" s="22" t="n">
        <x:f>IF(COUNT(I693:M693)=5,MIN(I693+M693,ROUND(MAX(K693,I693*L693+M693),2)),"n.a.")</x:f>
        <x:v>0</x:v>
      </x:c>
      <x:c r="O693" s="30" t="n">
        <x:f>IF(COUNT($I$692:$I$696)&lt;&gt;5,"n.a.",IF(I693=0,6,IF('Inputs'!$D$5=1,COUNTIFS($I$692:$I$696,"&gt;0",$I$692:$I$696,"&lt;"&amp;I693)+COUNTIFS($I$692:I693,I693),COUNTIFS($I$692:$I$696,"&gt;0",$J$692:$J$696,"&gt;"&amp;J693)+COUNTIFS($I$692:I693,"&gt;0",$J$692:J693,J693))))</x:f>
        <x:v>6</x:v>
      </x:c>
      <x:c r="P693" s="22" t="n">
        <x:f>IF(T693="Ready",MIN(U693,MAX(0,G693-SUMIFS($U$692:$U$696,$O$692:$O$696,"&lt;"&amp;O693))),"n.a.")</x:f>
        <x:v>0</x:v>
      </x:c>
      <x:c r="Q693" s="22" t="n">
        <x:f>IF(T693="Ready",ROUND(N693+P693,2),"n.a.")</x:f>
        <x:v>0</x:v>
      </x:c>
      <x:c r="R693" s="22" t="n">
        <x:f>IF(T693="Ready",ROUND(Q693-M693,2),"n.a.")</x:f>
        <x:v>0</x:v>
      </x:c>
      <x:c r="S693" s="22" t="n">
        <x:f>IF(T693="Ready",MAX(0,ROUND(I693+M693-Q693,2)),"n.a.")</x:f>
        <x:v>0</x:v>
      </x:c>
      <x:c r="T693" s="22" t="str">
        <x:f>IF(AND(COUNT($I$692:$I$696)=5,COUNT(E693:F693)=2),IF(E693&gt;=F693,"Ready","Budget below minima"),"Check inputs")</x:f>
        <x:v>Ready</x:v>
      </x:c>
      <x:c r="U693" s="22" t="n">
        <x:f>IF(COUNT(I693,M693,N693)=3,MAX(0,ROUND(I693+M693-N693,2)),"n.a.")</x:f>
        <x:v>0</x:v>
      </x:c>
    </x:row>
    <x:row r="694" ht="22" customHeight="1">
      <x:c r="A694" s="2"/>
      <x:c r="B694" s="2"/>
      <x:c r="C694" s="27" t="n">
        <x:f>138</x:f>
        <x:v>138</x:v>
      </x:c>
      <x:c r="D694" s="28" t="n">
        <x:f>IF(ISNUMBER('Inputs'!$D$7),EDATE('Inputs'!$D$7,137),"n.a.")</x:f>
        <x:v>50496</x:v>
      </x:c>
      <x:c r="E694" s="26" t="n">
        <x:f>IF('Inputs'!$D$9&lt;&gt;"Ready","n.a.",IF(ISNUMBER('Inputs'!E156),IF('Inputs'!E156&gt;=0,'Inputs'!E156,"n.a."),IF('Inputs'!E156="",'Inputs'!$D$6,"n.a.")))</x:f>
        <x:v>500</x:v>
      </x:c>
      <x:c r="F694" s="22" t="n">
        <x:f>IF(COUNT($N$692:$N$696)=5,SUM($N$692:$N$696),"n.a.")</x:f>
        <x:v>0</x:v>
      </x:c>
      <x:c r="G694" s="22" t="n">
        <x:f>IF(COUNT(E694:F694)=2,MAX(0,E694-F694),"n.a.")</x:f>
        <x:v>500</x:v>
      </x:c>
      <x:c r="H694" s="26" t="str">
        <x:f>'Inputs'!C13</x:f>
        <x:v>Loan C</x:v>
      </x:c>
      <x:c r="I694" s="26" t="n">
        <x:f>S689</x:f>
        <x:v>0</x:v>
      </x:c>
      <x:c r="J694" s="29" t="n">
        <x:f>IF('Inputs'!$D$9="Ready",'Inputs'!E13,"n.a.")</x:f>
        <x:v>0.08</x:v>
      </x:c>
      <x:c r="K694" s="26" t="n">
        <x:f>IF('Inputs'!$D$9="Ready",'Inputs'!F13,"n.a.")</x:f>
        <x:v>150</x:v>
      </x:c>
      <x:c r="L694" s="29" t="n">
        <x:f>IF('Inputs'!$D$9="Ready",'Inputs'!G13,"n.a.")</x:f>
        <x:v>0</x:v>
      </x:c>
      <x:c r="M694" s="22" t="n">
        <x:f>IF(COUNT(I694:L694)=4,ROUND(I694*J694/12,2),"n.a.")</x:f>
        <x:v>0</x:v>
      </x:c>
      <x:c r="N694" s="22" t="n">
        <x:f>IF(COUNT(I694:M694)=5,MIN(I694+M694,ROUND(MAX(K694,I694*L694+M694),2)),"n.a.")</x:f>
        <x:v>0</x:v>
      </x:c>
      <x:c r="O694" s="30" t="n">
        <x:f>IF(COUNT($I$692:$I$696)&lt;&gt;5,"n.a.",IF(I694=0,6,IF('Inputs'!$D$5=1,COUNTIFS($I$692:$I$696,"&gt;0",$I$692:$I$696,"&lt;"&amp;I694)+COUNTIFS($I$692:I694,I694),COUNTIFS($I$692:$I$696,"&gt;0",$J$692:$J$696,"&gt;"&amp;J694)+COUNTIFS($I$692:I694,"&gt;0",$J$692:J694,J694))))</x:f>
        <x:v>6</x:v>
      </x:c>
      <x:c r="P694" s="22" t="n">
        <x:f>IF(T694="Ready",MIN(U694,MAX(0,G694-SUMIFS($U$692:$U$696,$O$692:$O$696,"&lt;"&amp;O694))),"n.a.")</x:f>
        <x:v>0</x:v>
      </x:c>
      <x:c r="Q694" s="22" t="n">
        <x:f>IF(T694="Ready",ROUND(N694+P694,2),"n.a.")</x:f>
        <x:v>0</x:v>
      </x:c>
      <x:c r="R694" s="22" t="n">
        <x:f>IF(T694="Ready",ROUND(Q694-M694,2),"n.a.")</x:f>
        <x:v>0</x:v>
      </x:c>
      <x:c r="S694" s="22" t="n">
        <x:f>IF(T694="Ready",MAX(0,ROUND(I694+M694-Q694,2)),"n.a.")</x:f>
        <x:v>0</x:v>
      </x:c>
      <x:c r="T694" s="22" t="str">
        <x:f>IF(AND(COUNT($I$692:$I$696)=5,COUNT(E694:F694)=2),IF(E694&gt;=F694,"Ready","Budget below minima"),"Check inputs")</x:f>
        <x:v>Ready</x:v>
      </x:c>
      <x:c r="U694" s="22" t="n">
        <x:f>IF(COUNT(I694,M694,N694)=3,MAX(0,ROUND(I694+M694-N694,2)),"n.a.")</x:f>
        <x:v>0</x:v>
      </x:c>
    </x:row>
    <x:row r="695" ht="22" customHeight="1">
      <x:c r="A695" s="2"/>
      <x:c r="B695" s="2"/>
      <x:c r="C695" s="27" t="n">
        <x:f>138</x:f>
        <x:v>138</x:v>
      </x:c>
      <x:c r="D695" s="28" t="n">
        <x:f>IF(ISNUMBER('Inputs'!$D$7),EDATE('Inputs'!$D$7,137),"n.a.")</x:f>
        <x:v>50496</x:v>
      </x:c>
      <x:c r="E695" s="26" t="n">
        <x:f>IF('Inputs'!$D$9&lt;&gt;"Ready","n.a.",IF(ISNUMBER('Inputs'!E156),IF('Inputs'!E156&gt;=0,'Inputs'!E156,"n.a."),IF('Inputs'!E156="",'Inputs'!$D$6,"n.a.")))</x:f>
        <x:v>500</x:v>
      </x:c>
      <x:c r="F695" s="22" t="n">
        <x:f>IF(COUNT($N$692:$N$696)=5,SUM($N$692:$N$696),"n.a.")</x:f>
        <x:v>0</x:v>
      </x:c>
      <x:c r="G695" s="22" t="n">
        <x:f>IF(COUNT(E695:F695)=2,MAX(0,E695-F695),"n.a.")</x:f>
        <x:v>500</x:v>
      </x:c>
      <x:c r="H695" s="26" t="str">
        <x:f>'Inputs'!C14</x:f>
        <x:v>Unused 4</x:v>
      </x:c>
      <x:c r="I695" s="26" t="n">
        <x:f>S690</x:f>
        <x:v>0</x:v>
      </x:c>
      <x:c r="J695" s="29" t="n">
        <x:f>IF('Inputs'!$D$9="Ready",'Inputs'!E14,"n.a.")</x:f>
        <x:v>0</x:v>
      </x:c>
      <x:c r="K695" s="26" t="n">
        <x:f>IF('Inputs'!$D$9="Ready",'Inputs'!F14,"n.a.")</x:f>
        <x:v>0</x:v>
      </x:c>
      <x:c r="L695" s="29" t="n">
        <x:f>IF('Inputs'!$D$9="Ready",'Inputs'!G14,"n.a.")</x:f>
        <x:v>0</x:v>
      </x:c>
      <x:c r="M695" s="22" t="n">
        <x:f>IF(COUNT(I695:L695)=4,ROUND(I695*J695/12,2),"n.a.")</x:f>
        <x:v>0</x:v>
      </x:c>
      <x:c r="N695" s="22" t="n">
        <x:f>IF(COUNT(I695:M695)=5,MIN(I695+M695,ROUND(MAX(K695,I695*L695+M695),2)),"n.a.")</x:f>
        <x:v>0</x:v>
      </x:c>
      <x:c r="O695" s="30" t="n">
        <x:f>IF(COUNT($I$692:$I$696)&lt;&gt;5,"n.a.",IF(I695=0,6,IF('Inputs'!$D$5=1,COUNTIFS($I$692:$I$696,"&gt;0",$I$692:$I$696,"&lt;"&amp;I695)+COUNTIFS($I$692:I695,I695),COUNTIFS($I$692:$I$696,"&gt;0",$J$692:$J$696,"&gt;"&amp;J695)+COUNTIFS($I$692:I695,"&gt;0",$J$692:J695,J695))))</x:f>
        <x:v>6</x:v>
      </x:c>
      <x:c r="P695" s="22" t="n">
        <x:f>IF(T695="Ready",MIN(U695,MAX(0,G695-SUMIFS($U$692:$U$696,$O$692:$O$696,"&lt;"&amp;O695))),"n.a.")</x:f>
        <x:v>0</x:v>
      </x:c>
      <x:c r="Q695" s="22" t="n">
        <x:f>IF(T695="Ready",ROUND(N695+P695,2),"n.a.")</x:f>
        <x:v>0</x:v>
      </x:c>
      <x:c r="R695" s="22" t="n">
        <x:f>IF(T695="Ready",ROUND(Q695-M695,2),"n.a.")</x:f>
        <x:v>0</x:v>
      </x:c>
      <x:c r="S695" s="22" t="n">
        <x:f>IF(T695="Ready",MAX(0,ROUND(I695+M695-Q695,2)),"n.a.")</x:f>
        <x:v>0</x:v>
      </x:c>
      <x:c r="T695" s="22" t="str">
        <x:f>IF(AND(COUNT($I$692:$I$696)=5,COUNT(E695:F695)=2),IF(E695&gt;=F695,"Ready","Budget below minima"),"Check inputs")</x:f>
        <x:v>Ready</x:v>
      </x:c>
      <x:c r="U695" s="22" t="n">
        <x:f>IF(COUNT(I695,M695,N695)=3,MAX(0,ROUND(I695+M695-N695,2)),"n.a.")</x:f>
        <x:v>0</x:v>
      </x:c>
    </x:row>
    <x:row r="696" ht="22" customHeight="1">
      <x:c r="A696" s="2"/>
      <x:c r="B696" s="2"/>
      <x:c r="C696" s="27" t="n">
        <x:f>138</x:f>
        <x:v>138</x:v>
      </x:c>
      <x:c r="D696" s="28" t="n">
        <x:f>IF(ISNUMBER('Inputs'!$D$7),EDATE('Inputs'!$D$7,137),"n.a.")</x:f>
        <x:v>50496</x:v>
      </x:c>
      <x:c r="E696" s="26" t="n">
        <x:f>IF('Inputs'!$D$9&lt;&gt;"Ready","n.a.",IF(ISNUMBER('Inputs'!E156),IF('Inputs'!E156&gt;=0,'Inputs'!E156,"n.a."),IF('Inputs'!E156="",'Inputs'!$D$6,"n.a.")))</x:f>
        <x:v>500</x:v>
      </x:c>
      <x:c r="F696" s="22" t="n">
        <x:f>IF(COUNT($N$692:$N$696)=5,SUM($N$692:$N$696),"n.a.")</x:f>
        <x:v>0</x:v>
      </x:c>
      <x:c r="G696" s="22" t="n">
        <x:f>IF(COUNT(E696:F696)=2,MAX(0,E696-F696),"n.a.")</x:f>
        <x:v>500</x:v>
      </x:c>
      <x:c r="H696" s="26" t="str">
        <x:f>'Inputs'!C15</x:f>
        <x:v>Unused 5</x:v>
      </x:c>
      <x:c r="I696" s="26" t="n">
        <x:f>S691</x:f>
        <x:v>0</x:v>
      </x:c>
      <x:c r="J696" s="29" t="n">
        <x:f>IF('Inputs'!$D$9="Ready",'Inputs'!E15,"n.a.")</x:f>
        <x:v>0</x:v>
      </x:c>
      <x:c r="K696" s="26" t="n">
        <x:f>IF('Inputs'!$D$9="Ready",'Inputs'!F15,"n.a.")</x:f>
        <x:v>0</x:v>
      </x:c>
      <x:c r="L696" s="29" t="n">
        <x:f>IF('Inputs'!$D$9="Ready",'Inputs'!G15,"n.a.")</x:f>
        <x:v>0</x:v>
      </x:c>
      <x:c r="M696" s="22" t="n">
        <x:f>IF(COUNT(I696:L696)=4,ROUND(I696*J696/12,2),"n.a.")</x:f>
        <x:v>0</x:v>
      </x:c>
      <x:c r="N696" s="22" t="n">
        <x:f>IF(COUNT(I696:M696)=5,MIN(I696+M696,ROUND(MAX(K696,I696*L696+M696),2)),"n.a.")</x:f>
        <x:v>0</x:v>
      </x:c>
      <x:c r="O696" s="30" t="n">
        <x:f>IF(COUNT($I$692:$I$696)&lt;&gt;5,"n.a.",IF(I696=0,6,IF('Inputs'!$D$5=1,COUNTIFS($I$692:$I$696,"&gt;0",$I$692:$I$696,"&lt;"&amp;I696)+COUNTIFS($I$692:I696,I696),COUNTIFS($I$692:$I$696,"&gt;0",$J$692:$J$696,"&gt;"&amp;J696)+COUNTIFS($I$692:I696,"&gt;0",$J$692:J696,J696))))</x:f>
        <x:v>6</x:v>
      </x:c>
      <x:c r="P696" s="22" t="n">
        <x:f>IF(T696="Ready",MIN(U696,MAX(0,G696-SUMIFS($U$692:$U$696,$O$692:$O$696,"&lt;"&amp;O696))),"n.a.")</x:f>
        <x:v>0</x:v>
      </x:c>
      <x:c r="Q696" s="22" t="n">
        <x:f>IF(T696="Ready",ROUND(N696+P696,2),"n.a.")</x:f>
        <x:v>0</x:v>
      </x:c>
      <x:c r="R696" s="22" t="n">
        <x:f>IF(T696="Ready",ROUND(Q696-M696,2),"n.a.")</x:f>
        <x:v>0</x:v>
      </x:c>
      <x:c r="S696" s="22" t="n">
        <x:f>IF(T696="Ready",MAX(0,ROUND(I696+M696-Q696,2)),"n.a.")</x:f>
        <x:v>0</x:v>
      </x:c>
      <x:c r="T696" s="22" t="str">
        <x:f>IF(AND(COUNT($I$692:$I$696)=5,COUNT(E696:F696)=2),IF(E696&gt;=F696,"Ready","Budget below minima"),"Check inputs")</x:f>
        <x:v>Ready</x:v>
      </x:c>
      <x:c r="U696" s="22" t="n">
        <x:f>IF(COUNT(I696,M696,N696)=3,MAX(0,ROUND(I696+M696-N696,2)),"n.a.")</x:f>
        <x:v>0</x:v>
      </x:c>
    </x:row>
    <x:row r="697" ht="22" customHeight="1">
      <x:c r="A697" s="2"/>
      <x:c r="B697" s="2"/>
      <x:c r="C697" s="27" t="n">
        <x:f>139</x:f>
        <x:v>139</x:v>
      </x:c>
      <x:c r="D697" s="28" t="n">
        <x:f>IF(ISNUMBER('Inputs'!$D$7),EDATE('Inputs'!$D$7,138),"n.a.")</x:f>
        <x:v>50526</x:v>
      </x:c>
      <x:c r="E697" s="26" t="n">
        <x:f>IF('Inputs'!$D$9&lt;&gt;"Ready","n.a.",IF(ISNUMBER('Inputs'!E157),IF('Inputs'!E157&gt;=0,'Inputs'!E157,"n.a."),IF('Inputs'!E157="",'Inputs'!$D$6,"n.a.")))</x:f>
        <x:v>500</x:v>
      </x:c>
      <x:c r="F697" s="22" t="n">
        <x:f>IF(COUNT($N$697:$N$701)=5,SUM($N$697:$N$701),"n.a.")</x:f>
        <x:v>0</x:v>
      </x:c>
      <x:c r="G697" s="22" t="n">
        <x:f>IF(COUNT(E697:F697)=2,MAX(0,E697-F697),"n.a.")</x:f>
        <x:v>500</x:v>
      </x:c>
      <x:c r="H697" s="26" t="str">
        <x:f>'Inputs'!C11</x:f>
        <x:v>Card A</x:v>
      </x:c>
      <x:c r="I697" s="26" t="n">
        <x:f>S692</x:f>
        <x:v>0</x:v>
      </x:c>
      <x:c r="J697" s="29" t="n">
        <x:f>IF('Inputs'!$D$9="Ready",'Inputs'!E11,"n.a.")</x:f>
        <x:v>0.24</x:v>
      </x:c>
      <x:c r="K697" s="26" t="n">
        <x:f>IF('Inputs'!$D$9="Ready",'Inputs'!F11,"n.a.")</x:f>
        <x:v>35</x:v>
      </x:c>
      <x:c r="L697" s="29" t="n">
        <x:f>IF('Inputs'!$D$9="Ready",'Inputs'!G11,"n.a.")</x:f>
        <x:v>0.02</x:v>
      </x:c>
      <x:c r="M697" s="22" t="n">
        <x:f>IF(COUNT(I697:L697)=4,ROUND(I697*J697/12,2),"n.a.")</x:f>
        <x:v>0</x:v>
      </x:c>
      <x:c r="N697" s="22" t="n">
        <x:f>IF(COUNT(I697:M697)=5,MIN(I697+M697,ROUND(MAX(K697,I697*L697+M697),2)),"n.a.")</x:f>
        <x:v>0</x:v>
      </x:c>
      <x:c r="O697" s="30" t="n">
        <x:f>IF(COUNT($I$697:$I$701)&lt;&gt;5,"n.a.",IF(I697=0,6,IF('Inputs'!$D$5=1,COUNTIFS($I$697:$I$701,"&gt;0",$I$697:$I$701,"&lt;"&amp;I697)+COUNTIFS($I$697:I697,I697),COUNTIFS($I$697:$I$701,"&gt;0",$J$697:$J$701,"&gt;"&amp;J697)+COUNTIFS($I$697:I697,"&gt;0",$J$697:J697,J697))))</x:f>
        <x:v>6</x:v>
      </x:c>
      <x:c r="P697" s="22" t="n">
        <x:f>IF(T697="Ready",MIN(U697,MAX(0,G697-SUMIFS($U$697:$U$701,$O$697:$O$701,"&lt;"&amp;O697))),"n.a.")</x:f>
        <x:v>0</x:v>
      </x:c>
      <x:c r="Q697" s="22" t="n">
        <x:f>IF(T697="Ready",ROUND(N697+P697,2),"n.a.")</x:f>
        <x:v>0</x:v>
      </x:c>
      <x:c r="R697" s="22" t="n">
        <x:f>IF(T697="Ready",ROUND(Q697-M697,2),"n.a.")</x:f>
        <x:v>0</x:v>
      </x:c>
      <x:c r="S697" s="22" t="n">
        <x:f>IF(T697="Ready",MAX(0,ROUND(I697+M697-Q697,2)),"n.a.")</x:f>
        <x:v>0</x:v>
      </x:c>
      <x:c r="T697" s="22" t="str">
        <x:f>IF(AND(COUNT($I$697:$I$701)=5,COUNT(E697:F697)=2),IF(E697&gt;=F697,"Ready","Budget below minima"),"Check inputs")</x:f>
        <x:v>Ready</x:v>
      </x:c>
      <x:c r="U697" s="22" t="n">
        <x:f>IF(COUNT(I697,M697,N697)=3,MAX(0,ROUND(I697+M697-N697,2)),"n.a.")</x:f>
        <x:v>0</x:v>
      </x:c>
    </x:row>
    <x:row r="698" ht="22" customHeight="1">
      <x:c r="A698" s="2"/>
      <x:c r="B698" s="2"/>
      <x:c r="C698" s="27" t="n">
        <x:f>139</x:f>
        <x:v>139</x:v>
      </x:c>
      <x:c r="D698" s="28" t="n">
        <x:f>IF(ISNUMBER('Inputs'!$D$7),EDATE('Inputs'!$D$7,138),"n.a.")</x:f>
        <x:v>50526</x:v>
      </x:c>
      <x:c r="E698" s="26" t="n">
        <x:f>IF('Inputs'!$D$9&lt;&gt;"Ready","n.a.",IF(ISNUMBER('Inputs'!E157),IF('Inputs'!E157&gt;=0,'Inputs'!E157,"n.a."),IF('Inputs'!E157="",'Inputs'!$D$6,"n.a.")))</x:f>
        <x:v>500</x:v>
      </x:c>
      <x:c r="F698" s="22" t="n">
        <x:f>IF(COUNT($N$697:$N$701)=5,SUM($N$697:$N$701),"n.a.")</x:f>
        <x:v>0</x:v>
      </x:c>
      <x:c r="G698" s="22" t="n">
        <x:f>IF(COUNT(E698:F698)=2,MAX(0,E698-F698),"n.a.")</x:f>
        <x:v>500</x:v>
      </x:c>
      <x:c r="H698" s="26" t="str">
        <x:f>'Inputs'!C12</x:f>
        <x:v>Card B</x:v>
      </x:c>
      <x:c r="I698" s="26" t="n">
        <x:f>S693</x:f>
        <x:v>0</x:v>
      </x:c>
      <x:c r="J698" s="29" t="n">
        <x:f>IF('Inputs'!$D$9="Ready",'Inputs'!E12,"n.a.")</x:f>
        <x:v>0.18</x:v>
      </x:c>
      <x:c r="K698" s="26" t="n">
        <x:f>IF('Inputs'!$D$9="Ready",'Inputs'!F12,"n.a.")</x:f>
        <x:v>60</x:v>
      </x:c>
      <x:c r="L698" s="29" t="n">
        <x:f>IF('Inputs'!$D$9="Ready",'Inputs'!G12,"n.a.")</x:f>
        <x:v>0.02</x:v>
      </x:c>
      <x:c r="M698" s="22" t="n">
        <x:f>IF(COUNT(I698:L698)=4,ROUND(I698*J698/12,2),"n.a.")</x:f>
        <x:v>0</x:v>
      </x:c>
      <x:c r="N698" s="22" t="n">
        <x:f>IF(COUNT(I698:M698)=5,MIN(I698+M698,ROUND(MAX(K698,I698*L698+M698),2)),"n.a.")</x:f>
        <x:v>0</x:v>
      </x:c>
      <x:c r="O698" s="30" t="n">
        <x:f>IF(COUNT($I$697:$I$701)&lt;&gt;5,"n.a.",IF(I698=0,6,IF('Inputs'!$D$5=1,COUNTIFS($I$697:$I$701,"&gt;0",$I$697:$I$701,"&lt;"&amp;I698)+COUNTIFS($I$697:I698,I698),COUNTIFS($I$697:$I$701,"&gt;0",$J$697:$J$701,"&gt;"&amp;J698)+COUNTIFS($I$697:I698,"&gt;0",$J$697:J698,J698))))</x:f>
        <x:v>6</x:v>
      </x:c>
      <x:c r="P698" s="22" t="n">
        <x:f>IF(T698="Ready",MIN(U698,MAX(0,G698-SUMIFS($U$697:$U$701,$O$697:$O$701,"&lt;"&amp;O698))),"n.a.")</x:f>
        <x:v>0</x:v>
      </x:c>
      <x:c r="Q698" s="22" t="n">
        <x:f>IF(T698="Ready",ROUND(N698+P698,2),"n.a.")</x:f>
        <x:v>0</x:v>
      </x:c>
      <x:c r="R698" s="22" t="n">
        <x:f>IF(T698="Ready",ROUND(Q698-M698,2),"n.a.")</x:f>
        <x:v>0</x:v>
      </x:c>
      <x:c r="S698" s="22" t="n">
        <x:f>IF(T698="Ready",MAX(0,ROUND(I698+M698-Q698,2)),"n.a.")</x:f>
        <x:v>0</x:v>
      </x:c>
      <x:c r="T698" s="22" t="str">
        <x:f>IF(AND(COUNT($I$697:$I$701)=5,COUNT(E698:F698)=2),IF(E698&gt;=F698,"Ready","Budget below minima"),"Check inputs")</x:f>
        <x:v>Ready</x:v>
      </x:c>
      <x:c r="U698" s="22" t="n">
        <x:f>IF(COUNT(I698,M698,N698)=3,MAX(0,ROUND(I698+M698-N698,2)),"n.a.")</x:f>
        <x:v>0</x:v>
      </x:c>
    </x:row>
    <x:row r="699" ht="22" customHeight="1">
      <x:c r="A699" s="2"/>
      <x:c r="B699" s="2"/>
      <x:c r="C699" s="27" t="n">
        <x:f>139</x:f>
        <x:v>139</x:v>
      </x:c>
      <x:c r="D699" s="28" t="n">
        <x:f>IF(ISNUMBER('Inputs'!$D$7),EDATE('Inputs'!$D$7,138),"n.a.")</x:f>
        <x:v>50526</x:v>
      </x:c>
      <x:c r="E699" s="26" t="n">
        <x:f>IF('Inputs'!$D$9&lt;&gt;"Ready","n.a.",IF(ISNUMBER('Inputs'!E157),IF('Inputs'!E157&gt;=0,'Inputs'!E157,"n.a."),IF('Inputs'!E157="",'Inputs'!$D$6,"n.a.")))</x:f>
        <x:v>500</x:v>
      </x:c>
      <x:c r="F699" s="22" t="n">
        <x:f>IF(COUNT($N$697:$N$701)=5,SUM($N$697:$N$701),"n.a.")</x:f>
        <x:v>0</x:v>
      </x:c>
      <x:c r="G699" s="22" t="n">
        <x:f>IF(COUNT(E699:F699)=2,MAX(0,E699-F699),"n.a.")</x:f>
        <x:v>500</x:v>
      </x:c>
      <x:c r="H699" s="26" t="str">
        <x:f>'Inputs'!C13</x:f>
        <x:v>Loan C</x:v>
      </x:c>
      <x:c r="I699" s="26" t="n">
        <x:f>S694</x:f>
        <x:v>0</x:v>
      </x:c>
      <x:c r="J699" s="29" t="n">
        <x:f>IF('Inputs'!$D$9="Ready",'Inputs'!E13,"n.a.")</x:f>
        <x:v>0.08</x:v>
      </x:c>
      <x:c r="K699" s="26" t="n">
        <x:f>IF('Inputs'!$D$9="Ready",'Inputs'!F13,"n.a.")</x:f>
        <x:v>150</x:v>
      </x:c>
      <x:c r="L699" s="29" t="n">
        <x:f>IF('Inputs'!$D$9="Ready",'Inputs'!G13,"n.a.")</x:f>
        <x:v>0</x:v>
      </x:c>
      <x:c r="M699" s="22" t="n">
        <x:f>IF(COUNT(I699:L699)=4,ROUND(I699*J699/12,2),"n.a.")</x:f>
        <x:v>0</x:v>
      </x:c>
      <x:c r="N699" s="22" t="n">
        <x:f>IF(COUNT(I699:M699)=5,MIN(I699+M699,ROUND(MAX(K699,I699*L699+M699),2)),"n.a.")</x:f>
        <x:v>0</x:v>
      </x:c>
      <x:c r="O699" s="30" t="n">
        <x:f>IF(COUNT($I$697:$I$701)&lt;&gt;5,"n.a.",IF(I699=0,6,IF('Inputs'!$D$5=1,COUNTIFS($I$697:$I$701,"&gt;0",$I$697:$I$701,"&lt;"&amp;I699)+COUNTIFS($I$697:I699,I699),COUNTIFS($I$697:$I$701,"&gt;0",$J$697:$J$701,"&gt;"&amp;J699)+COUNTIFS($I$697:I699,"&gt;0",$J$697:J699,J699))))</x:f>
        <x:v>6</x:v>
      </x:c>
      <x:c r="P699" s="22" t="n">
        <x:f>IF(T699="Ready",MIN(U699,MAX(0,G699-SUMIFS($U$697:$U$701,$O$697:$O$701,"&lt;"&amp;O699))),"n.a.")</x:f>
        <x:v>0</x:v>
      </x:c>
      <x:c r="Q699" s="22" t="n">
        <x:f>IF(T699="Ready",ROUND(N699+P699,2),"n.a.")</x:f>
        <x:v>0</x:v>
      </x:c>
      <x:c r="R699" s="22" t="n">
        <x:f>IF(T699="Ready",ROUND(Q699-M699,2),"n.a.")</x:f>
        <x:v>0</x:v>
      </x:c>
      <x:c r="S699" s="22" t="n">
        <x:f>IF(T699="Ready",MAX(0,ROUND(I699+M699-Q699,2)),"n.a.")</x:f>
        <x:v>0</x:v>
      </x:c>
      <x:c r="T699" s="22" t="str">
        <x:f>IF(AND(COUNT($I$697:$I$701)=5,COUNT(E699:F699)=2),IF(E699&gt;=F699,"Ready","Budget below minima"),"Check inputs")</x:f>
        <x:v>Ready</x:v>
      </x:c>
      <x:c r="U699" s="22" t="n">
        <x:f>IF(COUNT(I699,M699,N699)=3,MAX(0,ROUND(I699+M699-N699,2)),"n.a.")</x:f>
        <x:v>0</x:v>
      </x:c>
    </x:row>
    <x:row r="700" ht="22" customHeight="1">
      <x:c r="A700" s="2"/>
      <x:c r="B700" s="2"/>
      <x:c r="C700" s="27" t="n">
        <x:f>139</x:f>
        <x:v>139</x:v>
      </x:c>
      <x:c r="D700" s="28" t="n">
        <x:f>IF(ISNUMBER('Inputs'!$D$7),EDATE('Inputs'!$D$7,138),"n.a.")</x:f>
        <x:v>50526</x:v>
      </x:c>
      <x:c r="E700" s="26" t="n">
        <x:f>IF('Inputs'!$D$9&lt;&gt;"Ready","n.a.",IF(ISNUMBER('Inputs'!E157),IF('Inputs'!E157&gt;=0,'Inputs'!E157,"n.a."),IF('Inputs'!E157="",'Inputs'!$D$6,"n.a.")))</x:f>
        <x:v>500</x:v>
      </x:c>
      <x:c r="F700" s="22" t="n">
        <x:f>IF(COUNT($N$697:$N$701)=5,SUM($N$697:$N$701),"n.a.")</x:f>
        <x:v>0</x:v>
      </x:c>
      <x:c r="G700" s="22" t="n">
        <x:f>IF(COUNT(E700:F700)=2,MAX(0,E700-F700),"n.a.")</x:f>
        <x:v>500</x:v>
      </x:c>
      <x:c r="H700" s="26" t="str">
        <x:f>'Inputs'!C14</x:f>
        <x:v>Unused 4</x:v>
      </x:c>
      <x:c r="I700" s="26" t="n">
        <x:f>S695</x:f>
        <x:v>0</x:v>
      </x:c>
      <x:c r="J700" s="29" t="n">
        <x:f>IF('Inputs'!$D$9="Ready",'Inputs'!E14,"n.a.")</x:f>
        <x:v>0</x:v>
      </x:c>
      <x:c r="K700" s="26" t="n">
        <x:f>IF('Inputs'!$D$9="Ready",'Inputs'!F14,"n.a.")</x:f>
        <x:v>0</x:v>
      </x:c>
      <x:c r="L700" s="29" t="n">
        <x:f>IF('Inputs'!$D$9="Ready",'Inputs'!G14,"n.a.")</x:f>
        <x:v>0</x:v>
      </x:c>
      <x:c r="M700" s="22" t="n">
        <x:f>IF(COUNT(I700:L700)=4,ROUND(I700*J700/12,2),"n.a.")</x:f>
        <x:v>0</x:v>
      </x:c>
      <x:c r="N700" s="22" t="n">
        <x:f>IF(COUNT(I700:M700)=5,MIN(I700+M700,ROUND(MAX(K700,I700*L700+M700),2)),"n.a.")</x:f>
        <x:v>0</x:v>
      </x:c>
      <x:c r="O700" s="30" t="n">
        <x:f>IF(COUNT($I$697:$I$701)&lt;&gt;5,"n.a.",IF(I700=0,6,IF('Inputs'!$D$5=1,COUNTIFS($I$697:$I$701,"&gt;0",$I$697:$I$701,"&lt;"&amp;I700)+COUNTIFS($I$697:I700,I700),COUNTIFS($I$697:$I$701,"&gt;0",$J$697:$J$701,"&gt;"&amp;J700)+COUNTIFS($I$697:I700,"&gt;0",$J$697:J700,J700))))</x:f>
        <x:v>6</x:v>
      </x:c>
      <x:c r="P700" s="22" t="n">
        <x:f>IF(T700="Ready",MIN(U700,MAX(0,G700-SUMIFS($U$697:$U$701,$O$697:$O$701,"&lt;"&amp;O700))),"n.a.")</x:f>
        <x:v>0</x:v>
      </x:c>
      <x:c r="Q700" s="22" t="n">
        <x:f>IF(T700="Ready",ROUND(N700+P700,2),"n.a.")</x:f>
        <x:v>0</x:v>
      </x:c>
      <x:c r="R700" s="22" t="n">
        <x:f>IF(T700="Ready",ROUND(Q700-M700,2),"n.a.")</x:f>
        <x:v>0</x:v>
      </x:c>
      <x:c r="S700" s="22" t="n">
        <x:f>IF(T700="Ready",MAX(0,ROUND(I700+M700-Q700,2)),"n.a.")</x:f>
        <x:v>0</x:v>
      </x:c>
      <x:c r="T700" s="22" t="str">
        <x:f>IF(AND(COUNT($I$697:$I$701)=5,COUNT(E700:F700)=2),IF(E700&gt;=F700,"Ready","Budget below minima"),"Check inputs")</x:f>
        <x:v>Ready</x:v>
      </x:c>
      <x:c r="U700" s="22" t="n">
        <x:f>IF(COUNT(I700,M700,N700)=3,MAX(0,ROUND(I700+M700-N700,2)),"n.a.")</x:f>
        <x:v>0</x:v>
      </x:c>
    </x:row>
    <x:row r="701" ht="22" customHeight="1">
      <x:c r="A701" s="2"/>
      <x:c r="B701" s="2"/>
      <x:c r="C701" s="27" t="n">
        <x:f>139</x:f>
        <x:v>139</x:v>
      </x:c>
      <x:c r="D701" s="28" t="n">
        <x:f>IF(ISNUMBER('Inputs'!$D$7),EDATE('Inputs'!$D$7,138),"n.a.")</x:f>
        <x:v>50526</x:v>
      </x:c>
      <x:c r="E701" s="26" t="n">
        <x:f>IF('Inputs'!$D$9&lt;&gt;"Ready","n.a.",IF(ISNUMBER('Inputs'!E157),IF('Inputs'!E157&gt;=0,'Inputs'!E157,"n.a."),IF('Inputs'!E157="",'Inputs'!$D$6,"n.a.")))</x:f>
        <x:v>500</x:v>
      </x:c>
      <x:c r="F701" s="22" t="n">
        <x:f>IF(COUNT($N$697:$N$701)=5,SUM($N$697:$N$701),"n.a.")</x:f>
        <x:v>0</x:v>
      </x:c>
      <x:c r="G701" s="22" t="n">
        <x:f>IF(COUNT(E701:F701)=2,MAX(0,E701-F701),"n.a.")</x:f>
        <x:v>500</x:v>
      </x:c>
      <x:c r="H701" s="26" t="str">
        <x:f>'Inputs'!C15</x:f>
        <x:v>Unused 5</x:v>
      </x:c>
      <x:c r="I701" s="26" t="n">
        <x:f>S696</x:f>
        <x:v>0</x:v>
      </x:c>
      <x:c r="J701" s="29" t="n">
        <x:f>IF('Inputs'!$D$9="Ready",'Inputs'!E15,"n.a.")</x:f>
        <x:v>0</x:v>
      </x:c>
      <x:c r="K701" s="26" t="n">
        <x:f>IF('Inputs'!$D$9="Ready",'Inputs'!F15,"n.a.")</x:f>
        <x:v>0</x:v>
      </x:c>
      <x:c r="L701" s="29" t="n">
        <x:f>IF('Inputs'!$D$9="Ready",'Inputs'!G15,"n.a.")</x:f>
        <x:v>0</x:v>
      </x:c>
      <x:c r="M701" s="22" t="n">
        <x:f>IF(COUNT(I701:L701)=4,ROUND(I701*J701/12,2),"n.a.")</x:f>
        <x:v>0</x:v>
      </x:c>
      <x:c r="N701" s="22" t="n">
        <x:f>IF(COUNT(I701:M701)=5,MIN(I701+M701,ROUND(MAX(K701,I701*L701+M701),2)),"n.a.")</x:f>
        <x:v>0</x:v>
      </x:c>
      <x:c r="O701" s="30" t="n">
        <x:f>IF(COUNT($I$697:$I$701)&lt;&gt;5,"n.a.",IF(I701=0,6,IF('Inputs'!$D$5=1,COUNTIFS($I$697:$I$701,"&gt;0",$I$697:$I$701,"&lt;"&amp;I701)+COUNTIFS($I$697:I701,I701),COUNTIFS($I$697:$I$701,"&gt;0",$J$697:$J$701,"&gt;"&amp;J701)+COUNTIFS($I$697:I701,"&gt;0",$J$697:J701,J701))))</x:f>
        <x:v>6</x:v>
      </x:c>
      <x:c r="P701" s="22" t="n">
        <x:f>IF(T701="Ready",MIN(U701,MAX(0,G701-SUMIFS($U$697:$U$701,$O$697:$O$701,"&lt;"&amp;O701))),"n.a.")</x:f>
        <x:v>0</x:v>
      </x:c>
      <x:c r="Q701" s="22" t="n">
        <x:f>IF(T701="Ready",ROUND(N701+P701,2),"n.a.")</x:f>
        <x:v>0</x:v>
      </x:c>
      <x:c r="R701" s="22" t="n">
        <x:f>IF(T701="Ready",ROUND(Q701-M701,2),"n.a.")</x:f>
        <x:v>0</x:v>
      </x:c>
      <x:c r="S701" s="22" t="n">
        <x:f>IF(T701="Ready",MAX(0,ROUND(I701+M701-Q701,2)),"n.a.")</x:f>
        <x:v>0</x:v>
      </x:c>
      <x:c r="T701" s="22" t="str">
        <x:f>IF(AND(COUNT($I$697:$I$701)=5,COUNT(E701:F701)=2),IF(E701&gt;=F701,"Ready","Budget below minima"),"Check inputs")</x:f>
        <x:v>Ready</x:v>
      </x:c>
      <x:c r="U701" s="22" t="n">
        <x:f>IF(COUNT(I701,M701,N701)=3,MAX(0,ROUND(I701+M701-N701,2)),"n.a.")</x:f>
        <x:v>0</x:v>
      </x:c>
    </x:row>
    <x:row r="702" ht="22" customHeight="1">
      <x:c r="A702" s="2"/>
      <x:c r="B702" s="2"/>
      <x:c r="C702" s="27" t="n">
        <x:f>140</x:f>
        <x:v>140</x:v>
      </x:c>
      <x:c r="D702" s="28" t="n">
        <x:f>IF(ISNUMBER('Inputs'!$D$7),EDATE('Inputs'!$D$7,139),"n.a.")</x:f>
        <x:v>50557</x:v>
      </x:c>
      <x:c r="E702" s="26" t="n">
        <x:f>IF('Inputs'!$D$9&lt;&gt;"Ready","n.a.",IF(ISNUMBER('Inputs'!E158),IF('Inputs'!E158&gt;=0,'Inputs'!E158,"n.a."),IF('Inputs'!E158="",'Inputs'!$D$6,"n.a.")))</x:f>
        <x:v>500</x:v>
      </x:c>
      <x:c r="F702" s="22" t="n">
        <x:f>IF(COUNT($N$702:$N$706)=5,SUM($N$702:$N$706),"n.a.")</x:f>
        <x:v>0</x:v>
      </x:c>
      <x:c r="G702" s="22" t="n">
        <x:f>IF(COUNT(E702:F702)=2,MAX(0,E702-F702),"n.a.")</x:f>
        <x:v>500</x:v>
      </x:c>
      <x:c r="H702" s="26" t="str">
        <x:f>'Inputs'!C11</x:f>
        <x:v>Card A</x:v>
      </x:c>
      <x:c r="I702" s="26" t="n">
        <x:f>S697</x:f>
        <x:v>0</x:v>
      </x:c>
      <x:c r="J702" s="29" t="n">
        <x:f>IF('Inputs'!$D$9="Ready",'Inputs'!E11,"n.a.")</x:f>
        <x:v>0.24</x:v>
      </x:c>
      <x:c r="K702" s="26" t="n">
        <x:f>IF('Inputs'!$D$9="Ready",'Inputs'!F11,"n.a.")</x:f>
        <x:v>35</x:v>
      </x:c>
      <x:c r="L702" s="29" t="n">
        <x:f>IF('Inputs'!$D$9="Ready",'Inputs'!G11,"n.a.")</x:f>
        <x:v>0.02</x:v>
      </x:c>
      <x:c r="M702" s="22" t="n">
        <x:f>IF(COUNT(I702:L702)=4,ROUND(I702*J702/12,2),"n.a.")</x:f>
        <x:v>0</x:v>
      </x:c>
      <x:c r="N702" s="22" t="n">
        <x:f>IF(COUNT(I702:M702)=5,MIN(I702+M702,ROUND(MAX(K702,I702*L702+M702),2)),"n.a.")</x:f>
        <x:v>0</x:v>
      </x:c>
      <x:c r="O702" s="30" t="n">
        <x:f>IF(COUNT($I$702:$I$706)&lt;&gt;5,"n.a.",IF(I702=0,6,IF('Inputs'!$D$5=1,COUNTIFS($I$702:$I$706,"&gt;0",$I$702:$I$706,"&lt;"&amp;I702)+COUNTIFS($I$702:I702,I702),COUNTIFS($I$702:$I$706,"&gt;0",$J$702:$J$706,"&gt;"&amp;J702)+COUNTIFS($I$702:I702,"&gt;0",$J$702:J702,J702))))</x:f>
        <x:v>6</x:v>
      </x:c>
      <x:c r="P702" s="22" t="n">
        <x:f>IF(T702="Ready",MIN(U702,MAX(0,G702-SUMIFS($U$702:$U$706,$O$702:$O$706,"&lt;"&amp;O702))),"n.a.")</x:f>
        <x:v>0</x:v>
      </x:c>
      <x:c r="Q702" s="22" t="n">
        <x:f>IF(T702="Ready",ROUND(N702+P702,2),"n.a.")</x:f>
        <x:v>0</x:v>
      </x:c>
      <x:c r="R702" s="22" t="n">
        <x:f>IF(T702="Ready",ROUND(Q702-M702,2),"n.a.")</x:f>
        <x:v>0</x:v>
      </x:c>
      <x:c r="S702" s="22" t="n">
        <x:f>IF(T702="Ready",MAX(0,ROUND(I702+M702-Q702,2)),"n.a.")</x:f>
        <x:v>0</x:v>
      </x:c>
      <x:c r="T702" s="22" t="str">
        <x:f>IF(AND(COUNT($I$702:$I$706)=5,COUNT(E702:F702)=2),IF(E702&gt;=F702,"Ready","Budget below minima"),"Check inputs")</x:f>
        <x:v>Ready</x:v>
      </x:c>
      <x:c r="U702" s="22" t="n">
        <x:f>IF(COUNT(I702,M702,N702)=3,MAX(0,ROUND(I702+M702-N702,2)),"n.a.")</x:f>
        <x:v>0</x:v>
      </x:c>
    </x:row>
    <x:row r="703" ht="22" customHeight="1">
      <x:c r="A703" s="2"/>
      <x:c r="B703" s="2"/>
      <x:c r="C703" s="27" t="n">
        <x:f>140</x:f>
        <x:v>140</x:v>
      </x:c>
      <x:c r="D703" s="28" t="n">
        <x:f>IF(ISNUMBER('Inputs'!$D$7),EDATE('Inputs'!$D$7,139),"n.a.")</x:f>
        <x:v>50557</x:v>
      </x:c>
      <x:c r="E703" s="26" t="n">
        <x:f>IF('Inputs'!$D$9&lt;&gt;"Ready","n.a.",IF(ISNUMBER('Inputs'!E158),IF('Inputs'!E158&gt;=0,'Inputs'!E158,"n.a."),IF('Inputs'!E158="",'Inputs'!$D$6,"n.a.")))</x:f>
        <x:v>500</x:v>
      </x:c>
      <x:c r="F703" s="22" t="n">
        <x:f>IF(COUNT($N$702:$N$706)=5,SUM($N$702:$N$706),"n.a.")</x:f>
        <x:v>0</x:v>
      </x:c>
      <x:c r="G703" s="22" t="n">
        <x:f>IF(COUNT(E703:F703)=2,MAX(0,E703-F703),"n.a.")</x:f>
        <x:v>500</x:v>
      </x:c>
      <x:c r="H703" s="26" t="str">
        <x:f>'Inputs'!C12</x:f>
        <x:v>Card B</x:v>
      </x:c>
      <x:c r="I703" s="26" t="n">
        <x:f>S698</x:f>
        <x:v>0</x:v>
      </x:c>
      <x:c r="J703" s="29" t="n">
        <x:f>IF('Inputs'!$D$9="Ready",'Inputs'!E12,"n.a.")</x:f>
        <x:v>0.18</x:v>
      </x:c>
      <x:c r="K703" s="26" t="n">
        <x:f>IF('Inputs'!$D$9="Ready",'Inputs'!F12,"n.a.")</x:f>
        <x:v>60</x:v>
      </x:c>
      <x:c r="L703" s="29" t="n">
        <x:f>IF('Inputs'!$D$9="Ready",'Inputs'!G12,"n.a.")</x:f>
        <x:v>0.02</x:v>
      </x:c>
      <x:c r="M703" s="22" t="n">
        <x:f>IF(COUNT(I703:L703)=4,ROUND(I703*J703/12,2),"n.a.")</x:f>
        <x:v>0</x:v>
      </x:c>
      <x:c r="N703" s="22" t="n">
        <x:f>IF(COUNT(I703:M703)=5,MIN(I703+M703,ROUND(MAX(K703,I703*L703+M703),2)),"n.a.")</x:f>
        <x:v>0</x:v>
      </x:c>
      <x:c r="O703" s="30" t="n">
        <x:f>IF(COUNT($I$702:$I$706)&lt;&gt;5,"n.a.",IF(I703=0,6,IF('Inputs'!$D$5=1,COUNTIFS($I$702:$I$706,"&gt;0",$I$702:$I$706,"&lt;"&amp;I703)+COUNTIFS($I$702:I703,I703),COUNTIFS($I$702:$I$706,"&gt;0",$J$702:$J$706,"&gt;"&amp;J703)+COUNTIFS($I$702:I703,"&gt;0",$J$702:J703,J703))))</x:f>
        <x:v>6</x:v>
      </x:c>
      <x:c r="P703" s="22" t="n">
        <x:f>IF(T703="Ready",MIN(U703,MAX(0,G703-SUMIFS($U$702:$U$706,$O$702:$O$706,"&lt;"&amp;O703))),"n.a.")</x:f>
        <x:v>0</x:v>
      </x:c>
      <x:c r="Q703" s="22" t="n">
        <x:f>IF(T703="Ready",ROUND(N703+P703,2),"n.a.")</x:f>
        <x:v>0</x:v>
      </x:c>
      <x:c r="R703" s="22" t="n">
        <x:f>IF(T703="Ready",ROUND(Q703-M703,2),"n.a.")</x:f>
        <x:v>0</x:v>
      </x:c>
      <x:c r="S703" s="22" t="n">
        <x:f>IF(T703="Ready",MAX(0,ROUND(I703+M703-Q703,2)),"n.a.")</x:f>
        <x:v>0</x:v>
      </x:c>
      <x:c r="T703" s="22" t="str">
        <x:f>IF(AND(COUNT($I$702:$I$706)=5,COUNT(E703:F703)=2),IF(E703&gt;=F703,"Ready","Budget below minima"),"Check inputs")</x:f>
        <x:v>Ready</x:v>
      </x:c>
      <x:c r="U703" s="22" t="n">
        <x:f>IF(COUNT(I703,M703,N703)=3,MAX(0,ROUND(I703+M703-N703,2)),"n.a.")</x:f>
        <x:v>0</x:v>
      </x:c>
    </x:row>
    <x:row r="704" ht="22" customHeight="1">
      <x:c r="A704" s="2"/>
      <x:c r="B704" s="2"/>
      <x:c r="C704" s="27" t="n">
        <x:f>140</x:f>
        <x:v>140</x:v>
      </x:c>
      <x:c r="D704" s="28" t="n">
        <x:f>IF(ISNUMBER('Inputs'!$D$7),EDATE('Inputs'!$D$7,139),"n.a.")</x:f>
        <x:v>50557</x:v>
      </x:c>
      <x:c r="E704" s="26" t="n">
        <x:f>IF('Inputs'!$D$9&lt;&gt;"Ready","n.a.",IF(ISNUMBER('Inputs'!E158),IF('Inputs'!E158&gt;=0,'Inputs'!E158,"n.a."),IF('Inputs'!E158="",'Inputs'!$D$6,"n.a.")))</x:f>
        <x:v>500</x:v>
      </x:c>
      <x:c r="F704" s="22" t="n">
        <x:f>IF(COUNT($N$702:$N$706)=5,SUM($N$702:$N$706),"n.a.")</x:f>
        <x:v>0</x:v>
      </x:c>
      <x:c r="G704" s="22" t="n">
        <x:f>IF(COUNT(E704:F704)=2,MAX(0,E704-F704),"n.a.")</x:f>
        <x:v>500</x:v>
      </x:c>
      <x:c r="H704" s="26" t="str">
        <x:f>'Inputs'!C13</x:f>
        <x:v>Loan C</x:v>
      </x:c>
      <x:c r="I704" s="26" t="n">
        <x:f>S699</x:f>
        <x:v>0</x:v>
      </x:c>
      <x:c r="J704" s="29" t="n">
        <x:f>IF('Inputs'!$D$9="Ready",'Inputs'!E13,"n.a.")</x:f>
        <x:v>0.08</x:v>
      </x:c>
      <x:c r="K704" s="26" t="n">
        <x:f>IF('Inputs'!$D$9="Ready",'Inputs'!F13,"n.a.")</x:f>
        <x:v>150</x:v>
      </x:c>
      <x:c r="L704" s="29" t="n">
        <x:f>IF('Inputs'!$D$9="Ready",'Inputs'!G13,"n.a.")</x:f>
        <x:v>0</x:v>
      </x:c>
      <x:c r="M704" s="22" t="n">
        <x:f>IF(COUNT(I704:L704)=4,ROUND(I704*J704/12,2),"n.a.")</x:f>
        <x:v>0</x:v>
      </x:c>
      <x:c r="N704" s="22" t="n">
        <x:f>IF(COUNT(I704:M704)=5,MIN(I704+M704,ROUND(MAX(K704,I704*L704+M704),2)),"n.a.")</x:f>
        <x:v>0</x:v>
      </x:c>
      <x:c r="O704" s="30" t="n">
        <x:f>IF(COUNT($I$702:$I$706)&lt;&gt;5,"n.a.",IF(I704=0,6,IF('Inputs'!$D$5=1,COUNTIFS($I$702:$I$706,"&gt;0",$I$702:$I$706,"&lt;"&amp;I704)+COUNTIFS($I$702:I704,I704),COUNTIFS($I$702:$I$706,"&gt;0",$J$702:$J$706,"&gt;"&amp;J704)+COUNTIFS($I$702:I704,"&gt;0",$J$702:J704,J704))))</x:f>
        <x:v>6</x:v>
      </x:c>
      <x:c r="P704" s="22" t="n">
        <x:f>IF(T704="Ready",MIN(U704,MAX(0,G704-SUMIFS($U$702:$U$706,$O$702:$O$706,"&lt;"&amp;O704))),"n.a.")</x:f>
        <x:v>0</x:v>
      </x:c>
      <x:c r="Q704" s="22" t="n">
        <x:f>IF(T704="Ready",ROUND(N704+P704,2),"n.a.")</x:f>
        <x:v>0</x:v>
      </x:c>
      <x:c r="R704" s="22" t="n">
        <x:f>IF(T704="Ready",ROUND(Q704-M704,2),"n.a.")</x:f>
        <x:v>0</x:v>
      </x:c>
      <x:c r="S704" s="22" t="n">
        <x:f>IF(T704="Ready",MAX(0,ROUND(I704+M704-Q704,2)),"n.a.")</x:f>
        <x:v>0</x:v>
      </x:c>
      <x:c r="T704" s="22" t="str">
        <x:f>IF(AND(COUNT($I$702:$I$706)=5,COUNT(E704:F704)=2),IF(E704&gt;=F704,"Ready","Budget below minima"),"Check inputs")</x:f>
        <x:v>Ready</x:v>
      </x:c>
      <x:c r="U704" s="22" t="n">
        <x:f>IF(COUNT(I704,M704,N704)=3,MAX(0,ROUND(I704+M704-N704,2)),"n.a.")</x:f>
        <x:v>0</x:v>
      </x:c>
    </x:row>
    <x:row r="705" ht="22" customHeight="1">
      <x:c r="A705" s="2"/>
      <x:c r="B705" s="2"/>
      <x:c r="C705" s="27" t="n">
        <x:f>140</x:f>
        <x:v>140</x:v>
      </x:c>
      <x:c r="D705" s="28" t="n">
        <x:f>IF(ISNUMBER('Inputs'!$D$7),EDATE('Inputs'!$D$7,139),"n.a.")</x:f>
        <x:v>50557</x:v>
      </x:c>
      <x:c r="E705" s="26" t="n">
        <x:f>IF('Inputs'!$D$9&lt;&gt;"Ready","n.a.",IF(ISNUMBER('Inputs'!E158),IF('Inputs'!E158&gt;=0,'Inputs'!E158,"n.a."),IF('Inputs'!E158="",'Inputs'!$D$6,"n.a.")))</x:f>
        <x:v>500</x:v>
      </x:c>
      <x:c r="F705" s="22" t="n">
        <x:f>IF(COUNT($N$702:$N$706)=5,SUM($N$702:$N$706),"n.a.")</x:f>
        <x:v>0</x:v>
      </x:c>
      <x:c r="G705" s="22" t="n">
        <x:f>IF(COUNT(E705:F705)=2,MAX(0,E705-F705),"n.a.")</x:f>
        <x:v>500</x:v>
      </x:c>
      <x:c r="H705" s="26" t="str">
        <x:f>'Inputs'!C14</x:f>
        <x:v>Unused 4</x:v>
      </x:c>
      <x:c r="I705" s="26" t="n">
        <x:f>S700</x:f>
        <x:v>0</x:v>
      </x:c>
      <x:c r="J705" s="29" t="n">
        <x:f>IF('Inputs'!$D$9="Ready",'Inputs'!E14,"n.a.")</x:f>
        <x:v>0</x:v>
      </x:c>
      <x:c r="K705" s="26" t="n">
        <x:f>IF('Inputs'!$D$9="Ready",'Inputs'!F14,"n.a.")</x:f>
        <x:v>0</x:v>
      </x:c>
      <x:c r="L705" s="29" t="n">
        <x:f>IF('Inputs'!$D$9="Ready",'Inputs'!G14,"n.a.")</x:f>
        <x:v>0</x:v>
      </x:c>
      <x:c r="M705" s="22" t="n">
        <x:f>IF(COUNT(I705:L705)=4,ROUND(I705*J705/12,2),"n.a.")</x:f>
        <x:v>0</x:v>
      </x:c>
      <x:c r="N705" s="22" t="n">
        <x:f>IF(COUNT(I705:M705)=5,MIN(I705+M705,ROUND(MAX(K705,I705*L705+M705),2)),"n.a.")</x:f>
        <x:v>0</x:v>
      </x:c>
      <x:c r="O705" s="30" t="n">
        <x:f>IF(COUNT($I$702:$I$706)&lt;&gt;5,"n.a.",IF(I705=0,6,IF('Inputs'!$D$5=1,COUNTIFS($I$702:$I$706,"&gt;0",$I$702:$I$706,"&lt;"&amp;I705)+COUNTIFS($I$702:I705,I705),COUNTIFS($I$702:$I$706,"&gt;0",$J$702:$J$706,"&gt;"&amp;J705)+COUNTIFS($I$702:I705,"&gt;0",$J$702:J705,J705))))</x:f>
        <x:v>6</x:v>
      </x:c>
      <x:c r="P705" s="22" t="n">
        <x:f>IF(T705="Ready",MIN(U705,MAX(0,G705-SUMIFS($U$702:$U$706,$O$702:$O$706,"&lt;"&amp;O705))),"n.a.")</x:f>
        <x:v>0</x:v>
      </x:c>
      <x:c r="Q705" s="22" t="n">
        <x:f>IF(T705="Ready",ROUND(N705+P705,2),"n.a.")</x:f>
        <x:v>0</x:v>
      </x:c>
      <x:c r="R705" s="22" t="n">
        <x:f>IF(T705="Ready",ROUND(Q705-M705,2),"n.a.")</x:f>
        <x:v>0</x:v>
      </x:c>
      <x:c r="S705" s="22" t="n">
        <x:f>IF(T705="Ready",MAX(0,ROUND(I705+M705-Q705,2)),"n.a.")</x:f>
        <x:v>0</x:v>
      </x:c>
      <x:c r="T705" s="22" t="str">
        <x:f>IF(AND(COUNT($I$702:$I$706)=5,COUNT(E705:F705)=2),IF(E705&gt;=F705,"Ready","Budget below minima"),"Check inputs")</x:f>
        <x:v>Ready</x:v>
      </x:c>
      <x:c r="U705" s="22" t="n">
        <x:f>IF(COUNT(I705,M705,N705)=3,MAX(0,ROUND(I705+M705-N705,2)),"n.a.")</x:f>
        <x:v>0</x:v>
      </x:c>
    </x:row>
    <x:row r="706" ht="22" customHeight="1">
      <x:c r="A706" s="2"/>
      <x:c r="B706" s="2"/>
      <x:c r="C706" s="27" t="n">
        <x:f>140</x:f>
        <x:v>140</x:v>
      </x:c>
      <x:c r="D706" s="28" t="n">
        <x:f>IF(ISNUMBER('Inputs'!$D$7),EDATE('Inputs'!$D$7,139),"n.a.")</x:f>
        <x:v>50557</x:v>
      </x:c>
      <x:c r="E706" s="26" t="n">
        <x:f>IF('Inputs'!$D$9&lt;&gt;"Ready","n.a.",IF(ISNUMBER('Inputs'!E158),IF('Inputs'!E158&gt;=0,'Inputs'!E158,"n.a."),IF('Inputs'!E158="",'Inputs'!$D$6,"n.a.")))</x:f>
        <x:v>500</x:v>
      </x:c>
      <x:c r="F706" s="22" t="n">
        <x:f>IF(COUNT($N$702:$N$706)=5,SUM($N$702:$N$706),"n.a.")</x:f>
        <x:v>0</x:v>
      </x:c>
      <x:c r="G706" s="22" t="n">
        <x:f>IF(COUNT(E706:F706)=2,MAX(0,E706-F706),"n.a.")</x:f>
        <x:v>500</x:v>
      </x:c>
      <x:c r="H706" s="26" t="str">
        <x:f>'Inputs'!C15</x:f>
        <x:v>Unused 5</x:v>
      </x:c>
      <x:c r="I706" s="26" t="n">
        <x:f>S701</x:f>
        <x:v>0</x:v>
      </x:c>
      <x:c r="J706" s="29" t="n">
        <x:f>IF('Inputs'!$D$9="Ready",'Inputs'!E15,"n.a.")</x:f>
        <x:v>0</x:v>
      </x:c>
      <x:c r="K706" s="26" t="n">
        <x:f>IF('Inputs'!$D$9="Ready",'Inputs'!F15,"n.a.")</x:f>
        <x:v>0</x:v>
      </x:c>
      <x:c r="L706" s="29" t="n">
        <x:f>IF('Inputs'!$D$9="Ready",'Inputs'!G15,"n.a.")</x:f>
        <x:v>0</x:v>
      </x:c>
      <x:c r="M706" s="22" t="n">
        <x:f>IF(COUNT(I706:L706)=4,ROUND(I706*J706/12,2),"n.a.")</x:f>
        <x:v>0</x:v>
      </x:c>
      <x:c r="N706" s="22" t="n">
        <x:f>IF(COUNT(I706:M706)=5,MIN(I706+M706,ROUND(MAX(K706,I706*L706+M706),2)),"n.a.")</x:f>
        <x:v>0</x:v>
      </x:c>
      <x:c r="O706" s="30" t="n">
        <x:f>IF(COUNT($I$702:$I$706)&lt;&gt;5,"n.a.",IF(I706=0,6,IF('Inputs'!$D$5=1,COUNTIFS($I$702:$I$706,"&gt;0",$I$702:$I$706,"&lt;"&amp;I706)+COUNTIFS($I$702:I706,I706),COUNTIFS($I$702:$I$706,"&gt;0",$J$702:$J$706,"&gt;"&amp;J706)+COUNTIFS($I$702:I706,"&gt;0",$J$702:J706,J706))))</x:f>
        <x:v>6</x:v>
      </x:c>
      <x:c r="P706" s="22" t="n">
        <x:f>IF(T706="Ready",MIN(U706,MAX(0,G706-SUMIFS($U$702:$U$706,$O$702:$O$706,"&lt;"&amp;O706))),"n.a.")</x:f>
        <x:v>0</x:v>
      </x:c>
      <x:c r="Q706" s="22" t="n">
        <x:f>IF(T706="Ready",ROUND(N706+P706,2),"n.a.")</x:f>
        <x:v>0</x:v>
      </x:c>
      <x:c r="R706" s="22" t="n">
        <x:f>IF(T706="Ready",ROUND(Q706-M706,2),"n.a.")</x:f>
        <x:v>0</x:v>
      </x:c>
      <x:c r="S706" s="22" t="n">
        <x:f>IF(T706="Ready",MAX(0,ROUND(I706+M706-Q706,2)),"n.a.")</x:f>
        <x:v>0</x:v>
      </x:c>
      <x:c r="T706" s="22" t="str">
        <x:f>IF(AND(COUNT($I$702:$I$706)=5,COUNT(E706:F706)=2),IF(E706&gt;=F706,"Ready","Budget below minima"),"Check inputs")</x:f>
        <x:v>Ready</x:v>
      </x:c>
      <x:c r="U706" s="22" t="n">
        <x:f>IF(COUNT(I706,M706,N706)=3,MAX(0,ROUND(I706+M706-N706,2)),"n.a.")</x:f>
        <x:v>0</x:v>
      </x:c>
    </x:row>
    <x:row r="707" ht="22" customHeight="1">
      <x:c r="A707" s="2"/>
      <x:c r="B707" s="2"/>
      <x:c r="C707" s="27" t="n">
        <x:f>141</x:f>
        <x:v>141</x:v>
      </x:c>
      <x:c r="D707" s="28" t="n">
        <x:f>IF(ISNUMBER('Inputs'!$D$7),EDATE('Inputs'!$D$7,140),"n.a.")</x:f>
        <x:v>50587</x:v>
      </x:c>
      <x:c r="E707" s="26" t="n">
        <x:f>IF('Inputs'!$D$9&lt;&gt;"Ready","n.a.",IF(ISNUMBER('Inputs'!E159),IF('Inputs'!E159&gt;=0,'Inputs'!E159,"n.a."),IF('Inputs'!E159="",'Inputs'!$D$6,"n.a.")))</x:f>
        <x:v>500</x:v>
      </x:c>
      <x:c r="F707" s="22" t="n">
        <x:f>IF(COUNT($N$707:$N$711)=5,SUM($N$707:$N$711),"n.a.")</x:f>
        <x:v>0</x:v>
      </x:c>
      <x:c r="G707" s="22" t="n">
        <x:f>IF(COUNT(E707:F707)=2,MAX(0,E707-F707),"n.a.")</x:f>
        <x:v>500</x:v>
      </x:c>
      <x:c r="H707" s="26" t="str">
        <x:f>'Inputs'!C11</x:f>
        <x:v>Card A</x:v>
      </x:c>
      <x:c r="I707" s="26" t="n">
        <x:f>S702</x:f>
        <x:v>0</x:v>
      </x:c>
      <x:c r="J707" s="29" t="n">
        <x:f>IF('Inputs'!$D$9="Ready",'Inputs'!E11,"n.a.")</x:f>
        <x:v>0.24</x:v>
      </x:c>
      <x:c r="K707" s="26" t="n">
        <x:f>IF('Inputs'!$D$9="Ready",'Inputs'!F11,"n.a.")</x:f>
        <x:v>35</x:v>
      </x:c>
      <x:c r="L707" s="29" t="n">
        <x:f>IF('Inputs'!$D$9="Ready",'Inputs'!G11,"n.a.")</x:f>
        <x:v>0.02</x:v>
      </x:c>
      <x:c r="M707" s="22" t="n">
        <x:f>IF(COUNT(I707:L707)=4,ROUND(I707*J707/12,2),"n.a.")</x:f>
        <x:v>0</x:v>
      </x:c>
      <x:c r="N707" s="22" t="n">
        <x:f>IF(COUNT(I707:M707)=5,MIN(I707+M707,ROUND(MAX(K707,I707*L707+M707),2)),"n.a.")</x:f>
        <x:v>0</x:v>
      </x:c>
      <x:c r="O707" s="30" t="n">
        <x:f>IF(COUNT($I$707:$I$711)&lt;&gt;5,"n.a.",IF(I707=0,6,IF('Inputs'!$D$5=1,COUNTIFS($I$707:$I$711,"&gt;0",$I$707:$I$711,"&lt;"&amp;I707)+COUNTIFS($I$707:I707,I707),COUNTIFS($I$707:$I$711,"&gt;0",$J$707:$J$711,"&gt;"&amp;J707)+COUNTIFS($I$707:I707,"&gt;0",$J$707:J707,J707))))</x:f>
        <x:v>6</x:v>
      </x:c>
      <x:c r="P707" s="22" t="n">
        <x:f>IF(T707="Ready",MIN(U707,MAX(0,G707-SUMIFS($U$707:$U$711,$O$707:$O$711,"&lt;"&amp;O707))),"n.a.")</x:f>
        <x:v>0</x:v>
      </x:c>
      <x:c r="Q707" s="22" t="n">
        <x:f>IF(T707="Ready",ROUND(N707+P707,2),"n.a.")</x:f>
        <x:v>0</x:v>
      </x:c>
      <x:c r="R707" s="22" t="n">
        <x:f>IF(T707="Ready",ROUND(Q707-M707,2),"n.a.")</x:f>
        <x:v>0</x:v>
      </x:c>
      <x:c r="S707" s="22" t="n">
        <x:f>IF(T707="Ready",MAX(0,ROUND(I707+M707-Q707,2)),"n.a.")</x:f>
        <x:v>0</x:v>
      </x:c>
      <x:c r="T707" s="22" t="str">
        <x:f>IF(AND(COUNT($I$707:$I$711)=5,COUNT(E707:F707)=2),IF(E707&gt;=F707,"Ready","Budget below minima"),"Check inputs")</x:f>
        <x:v>Ready</x:v>
      </x:c>
      <x:c r="U707" s="22" t="n">
        <x:f>IF(COUNT(I707,M707,N707)=3,MAX(0,ROUND(I707+M707-N707,2)),"n.a.")</x:f>
        <x:v>0</x:v>
      </x:c>
    </x:row>
    <x:row r="708" ht="22" customHeight="1">
      <x:c r="A708" s="2"/>
      <x:c r="B708" s="2"/>
      <x:c r="C708" s="27" t="n">
        <x:f>141</x:f>
        <x:v>141</x:v>
      </x:c>
      <x:c r="D708" s="28" t="n">
        <x:f>IF(ISNUMBER('Inputs'!$D$7),EDATE('Inputs'!$D$7,140),"n.a.")</x:f>
        <x:v>50587</x:v>
      </x:c>
      <x:c r="E708" s="26" t="n">
        <x:f>IF('Inputs'!$D$9&lt;&gt;"Ready","n.a.",IF(ISNUMBER('Inputs'!E159),IF('Inputs'!E159&gt;=0,'Inputs'!E159,"n.a."),IF('Inputs'!E159="",'Inputs'!$D$6,"n.a.")))</x:f>
        <x:v>500</x:v>
      </x:c>
      <x:c r="F708" s="22" t="n">
        <x:f>IF(COUNT($N$707:$N$711)=5,SUM($N$707:$N$711),"n.a.")</x:f>
        <x:v>0</x:v>
      </x:c>
      <x:c r="G708" s="22" t="n">
        <x:f>IF(COUNT(E708:F708)=2,MAX(0,E708-F708),"n.a.")</x:f>
        <x:v>500</x:v>
      </x:c>
      <x:c r="H708" s="26" t="str">
        <x:f>'Inputs'!C12</x:f>
        <x:v>Card B</x:v>
      </x:c>
      <x:c r="I708" s="26" t="n">
        <x:f>S703</x:f>
        <x:v>0</x:v>
      </x:c>
      <x:c r="J708" s="29" t="n">
        <x:f>IF('Inputs'!$D$9="Ready",'Inputs'!E12,"n.a.")</x:f>
        <x:v>0.18</x:v>
      </x:c>
      <x:c r="K708" s="26" t="n">
        <x:f>IF('Inputs'!$D$9="Ready",'Inputs'!F12,"n.a.")</x:f>
        <x:v>60</x:v>
      </x:c>
      <x:c r="L708" s="29" t="n">
        <x:f>IF('Inputs'!$D$9="Ready",'Inputs'!G12,"n.a.")</x:f>
        <x:v>0.02</x:v>
      </x:c>
      <x:c r="M708" s="22" t="n">
        <x:f>IF(COUNT(I708:L708)=4,ROUND(I708*J708/12,2),"n.a.")</x:f>
        <x:v>0</x:v>
      </x:c>
      <x:c r="N708" s="22" t="n">
        <x:f>IF(COUNT(I708:M708)=5,MIN(I708+M708,ROUND(MAX(K708,I708*L708+M708),2)),"n.a.")</x:f>
        <x:v>0</x:v>
      </x:c>
      <x:c r="O708" s="30" t="n">
        <x:f>IF(COUNT($I$707:$I$711)&lt;&gt;5,"n.a.",IF(I708=0,6,IF('Inputs'!$D$5=1,COUNTIFS($I$707:$I$711,"&gt;0",$I$707:$I$711,"&lt;"&amp;I708)+COUNTIFS($I$707:I708,I708),COUNTIFS($I$707:$I$711,"&gt;0",$J$707:$J$711,"&gt;"&amp;J708)+COUNTIFS($I$707:I708,"&gt;0",$J$707:J708,J708))))</x:f>
        <x:v>6</x:v>
      </x:c>
      <x:c r="P708" s="22" t="n">
        <x:f>IF(T708="Ready",MIN(U708,MAX(0,G708-SUMIFS($U$707:$U$711,$O$707:$O$711,"&lt;"&amp;O708))),"n.a.")</x:f>
        <x:v>0</x:v>
      </x:c>
      <x:c r="Q708" s="22" t="n">
        <x:f>IF(T708="Ready",ROUND(N708+P708,2),"n.a.")</x:f>
        <x:v>0</x:v>
      </x:c>
      <x:c r="R708" s="22" t="n">
        <x:f>IF(T708="Ready",ROUND(Q708-M708,2),"n.a.")</x:f>
        <x:v>0</x:v>
      </x:c>
      <x:c r="S708" s="22" t="n">
        <x:f>IF(T708="Ready",MAX(0,ROUND(I708+M708-Q708,2)),"n.a.")</x:f>
        <x:v>0</x:v>
      </x:c>
      <x:c r="T708" s="22" t="str">
        <x:f>IF(AND(COUNT($I$707:$I$711)=5,COUNT(E708:F708)=2),IF(E708&gt;=F708,"Ready","Budget below minima"),"Check inputs")</x:f>
        <x:v>Ready</x:v>
      </x:c>
      <x:c r="U708" s="22" t="n">
        <x:f>IF(COUNT(I708,M708,N708)=3,MAX(0,ROUND(I708+M708-N708,2)),"n.a.")</x:f>
        <x:v>0</x:v>
      </x:c>
    </x:row>
    <x:row r="709" ht="22" customHeight="1">
      <x:c r="A709" s="2"/>
      <x:c r="B709" s="2"/>
      <x:c r="C709" s="27" t="n">
        <x:f>141</x:f>
        <x:v>141</x:v>
      </x:c>
      <x:c r="D709" s="28" t="n">
        <x:f>IF(ISNUMBER('Inputs'!$D$7),EDATE('Inputs'!$D$7,140),"n.a.")</x:f>
        <x:v>50587</x:v>
      </x:c>
      <x:c r="E709" s="26" t="n">
        <x:f>IF('Inputs'!$D$9&lt;&gt;"Ready","n.a.",IF(ISNUMBER('Inputs'!E159),IF('Inputs'!E159&gt;=0,'Inputs'!E159,"n.a."),IF('Inputs'!E159="",'Inputs'!$D$6,"n.a.")))</x:f>
        <x:v>500</x:v>
      </x:c>
      <x:c r="F709" s="22" t="n">
        <x:f>IF(COUNT($N$707:$N$711)=5,SUM($N$707:$N$711),"n.a.")</x:f>
        <x:v>0</x:v>
      </x:c>
      <x:c r="G709" s="22" t="n">
        <x:f>IF(COUNT(E709:F709)=2,MAX(0,E709-F709),"n.a.")</x:f>
        <x:v>500</x:v>
      </x:c>
      <x:c r="H709" s="26" t="str">
        <x:f>'Inputs'!C13</x:f>
        <x:v>Loan C</x:v>
      </x:c>
      <x:c r="I709" s="26" t="n">
        <x:f>S704</x:f>
        <x:v>0</x:v>
      </x:c>
      <x:c r="J709" s="29" t="n">
        <x:f>IF('Inputs'!$D$9="Ready",'Inputs'!E13,"n.a.")</x:f>
        <x:v>0.08</x:v>
      </x:c>
      <x:c r="K709" s="26" t="n">
        <x:f>IF('Inputs'!$D$9="Ready",'Inputs'!F13,"n.a.")</x:f>
        <x:v>150</x:v>
      </x:c>
      <x:c r="L709" s="29" t="n">
        <x:f>IF('Inputs'!$D$9="Ready",'Inputs'!G13,"n.a.")</x:f>
        <x:v>0</x:v>
      </x:c>
      <x:c r="M709" s="22" t="n">
        <x:f>IF(COUNT(I709:L709)=4,ROUND(I709*J709/12,2),"n.a.")</x:f>
        <x:v>0</x:v>
      </x:c>
      <x:c r="N709" s="22" t="n">
        <x:f>IF(COUNT(I709:M709)=5,MIN(I709+M709,ROUND(MAX(K709,I709*L709+M709),2)),"n.a.")</x:f>
        <x:v>0</x:v>
      </x:c>
      <x:c r="O709" s="30" t="n">
        <x:f>IF(COUNT($I$707:$I$711)&lt;&gt;5,"n.a.",IF(I709=0,6,IF('Inputs'!$D$5=1,COUNTIFS($I$707:$I$711,"&gt;0",$I$707:$I$711,"&lt;"&amp;I709)+COUNTIFS($I$707:I709,I709),COUNTIFS($I$707:$I$711,"&gt;0",$J$707:$J$711,"&gt;"&amp;J709)+COUNTIFS($I$707:I709,"&gt;0",$J$707:J709,J709))))</x:f>
        <x:v>6</x:v>
      </x:c>
      <x:c r="P709" s="22" t="n">
        <x:f>IF(T709="Ready",MIN(U709,MAX(0,G709-SUMIFS($U$707:$U$711,$O$707:$O$711,"&lt;"&amp;O709))),"n.a.")</x:f>
        <x:v>0</x:v>
      </x:c>
      <x:c r="Q709" s="22" t="n">
        <x:f>IF(T709="Ready",ROUND(N709+P709,2),"n.a.")</x:f>
        <x:v>0</x:v>
      </x:c>
      <x:c r="R709" s="22" t="n">
        <x:f>IF(T709="Ready",ROUND(Q709-M709,2),"n.a.")</x:f>
        <x:v>0</x:v>
      </x:c>
      <x:c r="S709" s="22" t="n">
        <x:f>IF(T709="Ready",MAX(0,ROUND(I709+M709-Q709,2)),"n.a.")</x:f>
        <x:v>0</x:v>
      </x:c>
      <x:c r="T709" s="22" t="str">
        <x:f>IF(AND(COUNT($I$707:$I$711)=5,COUNT(E709:F709)=2),IF(E709&gt;=F709,"Ready","Budget below minima"),"Check inputs")</x:f>
        <x:v>Ready</x:v>
      </x:c>
      <x:c r="U709" s="22" t="n">
        <x:f>IF(COUNT(I709,M709,N709)=3,MAX(0,ROUND(I709+M709-N709,2)),"n.a.")</x:f>
        <x:v>0</x:v>
      </x:c>
    </x:row>
    <x:row r="710" ht="22" customHeight="1">
      <x:c r="A710" s="2"/>
      <x:c r="B710" s="2"/>
      <x:c r="C710" s="27" t="n">
        <x:f>141</x:f>
        <x:v>141</x:v>
      </x:c>
      <x:c r="D710" s="28" t="n">
        <x:f>IF(ISNUMBER('Inputs'!$D$7),EDATE('Inputs'!$D$7,140),"n.a.")</x:f>
        <x:v>50587</x:v>
      </x:c>
      <x:c r="E710" s="26" t="n">
        <x:f>IF('Inputs'!$D$9&lt;&gt;"Ready","n.a.",IF(ISNUMBER('Inputs'!E159),IF('Inputs'!E159&gt;=0,'Inputs'!E159,"n.a."),IF('Inputs'!E159="",'Inputs'!$D$6,"n.a.")))</x:f>
        <x:v>500</x:v>
      </x:c>
      <x:c r="F710" s="22" t="n">
        <x:f>IF(COUNT($N$707:$N$711)=5,SUM($N$707:$N$711),"n.a.")</x:f>
        <x:v>0</x:v>
      </x:c>
      <x:c r="G710" s="22" t="n">
        <x:f>IF(COUNT(E710:F710)=2,MAX(0,E710-F710),"n.a.")</x:f>
        <x:v>500</x:v>
      </x:c>
      <x:c r="H710" s="26" t="str">
        <x:f>'Inputs'!C14</x:f>
        <x:v>Unused 4</x:v>
      </x:c>
      <x:c r="I710" s="26" t="n">
        <x:f>S705</x:f>
        <x:v>0</x:v>
      </x:c>
      <x:c r="J710" s="29" t="n">
        <x:f>IF('Inputs'!$D$9="Ready",'Inputs'!E14,"n.a.")</x:f>
        <x:v>0</x:v>
      </x:c>
      <x:c r="K710" s="26" t="n">
        <x:f>IF('Inputs'!$D$9="Ready",'Inputs'!F14,"n.a.")</x:f>
        <x:v>0</x:v>
      </x:c>
      <x:c r="L710" s="29" t="n">
        <x:f>IF('Inputs'!$D$9="Ready",'Inputs'!G14,"n.a.")</x:f>
        <x:v>0</x:v>
      </x:c>
      <x:c r="M710" s="22" t="n">
        <x:f>IF(COUNT(I710:L710)=4,ROUND(I710*J710/12,2),"n.a.")</x:f>
        <x:v>0</x:v>
      </x:c>
      <x:c r="N710" s="22" t="n">
        <x:f>IF(COUNT(I710:M710)=5,MIN(I710+M710,ROUND(MAX(K710,I710*L710+M710),2)),"n.a.")</x:f>
        <x:v>0</x:v>
      </x:c>
      <x:c r="O710" s="30" t="n">
        <x:f>IF(COUNT($I$707:$I$711)&lt;&gt;5,"n.a.",IF(I710=0,6,IF('Inputs'!$D$5=1,COUNTIFS($I$707:$I$711,"&gt;0",$I$707:$I$711,"&lt;"&amp;I710)+COUNTIFS($I$707:I710,I710),COUNTIFS($I$707:$I$711,"&gt;0",$J$707:$J$711,"&gt;"&amp;J710)+COUNTIFS($I$707:I710,"&gt;0",$J$707:J710,J710))))</x:f>
        <x:v>6</x:v>
      </x:c>
      <x:c r="P710" s="22" t="n">
        <x:f>IF(T710="Ready",MIN(U710,MAX(0,G710-SUMIFS($U$707:$U$711,$O$707:$O$711,"&lt;"&amp;O710))),"n.a.")</x:f>
        <x:v>0</x:v>
      </x:c>
      <x:c r="Q710" s="22" t="n">
        <x:f>IF(T710="Ready",ROUND(N710+P710,2),"n.a.")</x:f>
        <x:v>0</x:v>
      </x:c>
      <x:c r="R710" s="22" t="n">
        <x:f>IF(T710="Ready",ROUND(Q710-M710,2),"n.a.")</x:f>
        <x:v>0</x:v>
      </x:c>
      <x:c r="S710" s="22" t="n">
        <x:f>IF(T710="Ready",MAX(0,ROUND(I710+M710-Q710,2)),"n.a.")</x:f>
        <x:v>0</x:v>
      </x:c>
      <x:c r="T710" s="22" t="str">
        <x:f>IF(AND(COUNT($I$707:$I$711)=5,COUNT(E710:F710)=2),IF(E710&gt;=F710,"Ready","Budget below minima"),"Check inputs")</x:f>
        <x:v>Ready</x:v>
      </x:c>
      <x:c r="U710" s="22" t="n">
        <x:f>IF(COUNT(I710,M710,N710)=3,MAX(0,ROUND(I710+M710-N710,2)),"n.a.")</x:f>
        <x:v>0</x:v>
      </x:c>
    </x:row>
    <x:row r="711" ht="22" customHeight="1">
      <x:c r="A711" s="2"/>
      <x:c r="B711" s="2"/>
      <x:c r="C711" s="27" t="n">
        <x:f>141</x:f>
        <x:v>141</x:v>
      </x:c>
      <x:c r="D711" s="28" t="n">
        <x:f>IF(ISNUMBER('Inputs'!$D$7),EDATE('Inputs'!$D$7,140),"n.a.")</x:f>
        <x:v>50587</x:v>
      </x:c>
      <x:c r="E711" s="26" t="n">
        <x:f>IF('Inputs'!$D$9&lt;&gt;"Ready","n.a.",IF(ISNUMBER('Inputs'!E159),IF('Inputs'!E159&gt;=0,'Inputs'!E159,"n.a."),IF('Inputs'!E159="",'Inputs'!$D$6,"n.a.")))</x:f>
        <x:v>500</x:v>
      </x:c>
      <x:c r="F711" s="22" t="n">
        <x:f>IF(COUNT($N$707:$N$711)=5,SUM($N$707:$N$711),"n.a.")</x:f>
        <x:v>0</x:v>
      </x:c>
      <x:c r="G711" s="22" t="n">
        <x:f>IF(COUNT(E711:F711)=2,MAX(0,E711-F711),"n.a.")</x:f>
        <x:v>500</x:v>
      </x:c>
      <x:c r="H711" s="26" t="str">
        <x:f>'Inputs'!C15</x:f>
        <x:v>Unused 5</x:v>
      </x:c>
      <x:c r="I711" s="26" t="n">
        <x:f>S706</x:f>
        <x:v>0</x:v>
      </x:c>
      <x:c r="J711" s="29" t="n">
        <x:f>IF('Inputs'!$D$9="Ready",'Inputs'!E15,"n.a.")</x:f>
        <x:v>0</x:v>
      </x:c>
      <x:c r="K711" s="26" t="n">
        <x:f>IF('Inputs'!$D$9="Ready",'Inputs'!F15,"n.a.")</x:f>
        <x:v>0</x:v>
      </x:c>
      <x:c r="L711" s="29" t="n">
        <x:f>IF('Inputs'!$D$9="Ready",'Inputs'!G15,"n.a.")</x:f>
        <x:v>0</x:v>
      </x:c>
      <x:c r="M711" s="22" t="n">
        <x:f>IF(COUNT(I711:L711)=4,ROUND(I711*J711/12,2),"n.a.")</x:f>
        <x:v>0</x:v>
      </x:c>
      <x:c r="N711" s="22" t="n">
        <x:f>IF(COUNT(I711:M711)=5,MIN(I711+M711,ROUND(MAX(K711,I711*L711+M711),2)),"n.a.")</x:f>
        <x:v>0</x:v>
      </x:c>
      <x:c r="O711" s="30" t="n">
        <x:f>IF(COUNT($I$707:$I$711)&lt;&gt;5,"n.a.",IF(I711=0,6,IF('Inputs'!$D$5=1,COUNTIFS($I$707:$I$711,"&gt;0",$I$707:$I$711,"&lt;"&amp;I711)+COUNTIFS($I$707:I711,I711),COUNTIFS($I$707:$I$711,"&gt;0",$J$707:$J$711,"&gt;"&amp;J711)+COUNTIFS($I$707:I711,"&gt;0",$J$707:J711,J711))))</x:f>
        <x:v>6</x:v>
      </x:c>
      <x:c r="P711" s="22" t="n">
        <x:f>IF(T711="Ready",MIN(U711,MAX(0,G711-SUMIFS($U$707:$U$711,$O$707:$O$711,"&lt;"&amp;O711))),"n.a.")</x:f>
        <x:v>0</x:v>
      </x:c>
      <x:c r="Q711" s="22" t="n">
        <x:f>IF(T711="Ready",ROUND(N711+P711,2),"n.a.")</x:f>
        <x:v>0</x:v>
      </x:c>
      <x:c r="R711" s="22" t="n">
        <x:f>IF(T711="Ready",ROUND(Q711-M711,2),"n.a.")</x:f>
        <x:v>0</x:v>
      </x:c>
      <x:c r="S711" s="22" t="n">
        <x:f>IF(T711="Ready",MAX(0,ROUND(I711+M711-Q711,2)),"n.a.")</x:f>
        <x:v>0</x:v>
      </x:c>
      <x:c r="T711" s="22" t="str">
        <x:f>IF(AND(COUNT($I$707:$I$711)=5,COUNT(E711:F711)=2),IF(E711&gt;=F711,"Ready","Budget below minima"),"Check inputs")</x:f>
        <x:v>Ready</x:v>
      </x:c>
      <x:c r="U711" s="22" t="n">
        <x:f>IF(COUNT(I711,M711,N711)=3,MAX(0,ROUND(I711+M711-N711,2)),"n.a.")</x:f>
        <x:v>0</x:v>
      </x:c>
    </x:row>
    <x:row r="712" ht="22" customHeight="1">
      <x:c r="A712" s="2"/>
      <x:c r="B712" s="2"/>
      <x:c r="C712" s="27" t="n">
        <x:f>142</x:f>
        <x:v>142</x:v>
      </x:c>
      <x:c r="D712" s="28" t="n">
        <x:f>IF(ISNUMBER('Inputs'!$D$7),EDATE('Inputs'!$D$7,141),"n.a.")</x:f>
        <x:v>50618</x:v>
      </x:c>
      <x:c r="E712" s="26" t="n">
        <x:f>IF('Inputs'!$D$9&lt;&gt;"Ready","n.a.",IF(ISNUMBER('Inputs'!E160),IF('Inputs'!E160&gt;=0,'Inputs'!E160,"n.a."),IF('Inputs'!E160="",'Inputs'!$D$6,"n.a.")))</x:f>
        <x:v>500</x:v>
      </x:c>
      <x:c r="F712" s="22" t="n">
        <x:f>IF(COUNT($N$712:$N$716)=5,SUM($N$712:$N$716),"n.a.")</x:f>
        <x:v>0</x:v>
      </x:c>
      <x:c r="G712" s="22" t="n">
        <x:f>IF(COUNT(E712:F712)=2,MAX(0,E712-F712),"n.a.")</x:f>
        <x:v>500</x:v>
      </x:c>
      <x:c r="H712" s="26" t="str">
        <x:f>'Inputs'!C11</x:f>
        <x:v>Card A</x:v>
      </x:c>
      <x:c r="I712" s="26" t="n">
        <x:f>S707</x:f>
        <x:v>0</x:v>
      </x:c>
      <x:c r="J712" s="29" t="n">
        <x:f>IF('Inputs'!$D$9="Ready",'Inputs'!E11,"n.a.")</x:f>
        <x:v>0.24</x:v>
      </x:c>
      <x:c r="K712" s="26" t="n">
        <x:f>IF('Inputs'!$D$9="Ready",'Inputs'!F11,"n.a.")</x:f>
        <x:v>35</x:v>
      </x:c>
      <x:c r="L712" s="29" t="n">
        <x:f>IF('Inputs'!$D$9="Ready",'Inputs'!G11,"n.a.")</x:f>
        <x:v>0.02</x:v>
      </x:c>
      <x:c r="M712" s="22" t="n">
        <x:f>IF(COUNT(I712:L712)=4,ROUND(I712*J712/12,2),"n.a.")</x:f>
        <x:v>0</x:v>
      </x:c>
      <x:c r="N712" s="22" t="n">
        <x:f>IF(COUNT(I712:M712)=5,MIN(I712+M712,ROUND(MAX(K712,I712*L712+M712),2)),"n.a.")</x:f>
        <x:v>0</x:v>
      </x:c>
      <x:c r="O712" s="30" t="n">
        <x:f>IF(COUNT($I$712:$I$716)&lt;&gt;5,"n.a.",IF(I712=0,6,IF('Inputs'!$D$5=1,COUNTIFS($I$712:$I$716,"&gt;0",$I$712:$I$716,"&lt;"&amp;I712)+COUNTIFS($I$712:I712,I712),COUNTIFS($I$712:$I$716,"&gt;0",$J$712:$J$716,"&gt;"&amp;J712)+COUNTIFS($I$712:I712,"&gt;0",$J$712:J712,J712))))</x:f>
        <x:v>6</x:v>
      </x:c>
      <x:c r="P712" s="22" t="n">
        <x:f>IF(T712="Ready",MIN(U712,MAX(0,G712-SUMIFS($U$712:$U$716,$O$712:$O$716,"&lt;"&amp;O712))),"n.a.")</x:f>
        <x:v>0</x:v>
      </x:c>
      <x:c r="Q712" s="22" t="n">
        <x:f>IF(T712="Ready",ROUND(N712+P712,2),"n.a.")</x:f>
        <x:v>0</x:v>
      </x:c>
      <x:c r="R712" s="22" t="n">
        <x:f>IF(T712="Ready",ROUND(Q712-M712,2),"n.a.")</x:f>
        <x:v>0</x:v>
      </x:c>
      <x:c r="S712" s="22" t="n">
        <x:f>IF(T712="Ready",MAX(0,ROUND(I712+M712-Q712,2)),"n.a.")</x:f>
        <x:v>0</x:v>
      </x:c>
      <x:c r="T712" s="22" t="str">
        <x:f>IF(AND(COUNT($I$712:$I$716)=5,COUNT(E712:F712)=2),IF(E712&gt;=F712,"Ready","Budget below minima"),"Check inputs")</x:f>
        <x:v>Ready</x:v>
      </x:c>
      <x:c r="U712" s="22" t="n">
        <x:f>IF(COUNT(I712,M712,N712)=3,MAX(0,ROUND(I712+M712-N712,2)),"n.a.")</x:f>
        <x:v>0</x:v>
      </x:c>
    </x:row>
    <x:row r="713" ht="22" customHeight="1">
      <x:c r="A713" s="2"/>
      <x:c r="B713" s="2"/>
      <x:c r="C713" s="27" t="n">
        <x:f>142</x:f>
        <x:v>142</x:v>
      </x:c>
      <x:c r="D713" s="28" t="n">
        <x:f>IF(ISNUMBER('Inputs'!$D$7),EDATE('Inputs'!$D$7,141),"n.a.")</x:f>
        <x:v>50618</x:v>
      </x:c>
      <x:c r="E713" s="26" t="n">
        <x:f>IF('Inputs'!$D$9&lt;&gt;"Ready","n.a.",IF(ISNUMBER('Inputs'!E160),IF('Inputs'!E160&gt;=0,'Inputs'!E160,"n.a."),IF('Inputs'!E160="",'Inputs'!$D$6,"n.a.")))</x:f>
        <x:v>500</x:v>
      </x:c>
      <x:c r="F713" s="22" t="n">
        <x:f>IF(COUNT($N$712:$N$716)=5,SUM($N$712:$N$716),"n.a.")</x:f>
        <x:v>0</x:v>
      </x:c>
      <x:c r="G713" s="22" t="n">
        <x:f>IF(COUNT(E713:F713)=2,MAX(0,E713-F713),"n.a.")</x:f>
        <x:v>500</x:v>
      </x:c>
      <x:c r="H713" s="26" t="str">
        <x:f>'Inputs'!C12</x:f>
        <x:v>Card B</x:v>
      </x:c>
      <x:c r="I713" s="26" t="n">
        <x:f>S708</x:f>
        <x:v>0</x:v>
      </x:c>
      <x:c r="J713" s="29" t="n">
        <x:f>IF('Inputs'!$D$9="Ready",'Inputs'!E12,"n.a.")</x:f>
        <x:v>0.18</x:v>
      </x:c>
      <x:c r="K713" s="26" t="n">
        <x:f>IF('Inputs'!$D$9="Ready",'Inputs'!F12,"n.a.")</x:f>
        <x:v>60</x:v>
      </x:c>
      <x:c r="L713" s="29" t="n">
        <x:f>IF('Inputs'!$D$9="Ready",'Inputs'!G12,"n.a.")</x:f>
        <x:v>0.02</x:v>
      </x:c>
      <x:c r="M713" s="22" t="n">
        <x:f>IF(COUNT(I713:L713)=4,ROUND(I713*J713/12,2),"n.a.")</x:f>
        <x:v>0</x:v>
      </x:c>
      <x:c r="N713" s="22" t="n">
        <x:f>IF(COUNT(I713:M713)=5,MIN(I713+M713,ROUND(MAX(K713,I713*L713+M713),2)),"n.a.")</x:f>
        <x:v>0</x:v>
      </x:c>
      <x:c r="O713" s="30" t="n">
        <x:f>IF(COUNT($I$712:$I$716)&lt;&gt;5,"n.a.",IF(I713=0,6,IF('Inputs'!$D$5=1,COUNTIFS($I$712:$I$716,"&gt;0",$I$712:$I$716,"&lt;"&amp;I713)+COUNTIFS($I$712:I713,I713),COUNTIFS($I$712:$I$716,"&gt;0",$J$712:$J$716,"&gt;"&amp;J713)+COUNTIFS($I$712:I713,"&gt;0",$J$712:J713,J713))))</x:f>
        <x:v>6</x:v>
      </x:c>
      <x:c r="P713" s="22" t="n">
        <x:f>IF(T713="Ready",MIN(U713,MAX(0,G713-SUMIFS($U$712:$U$716,$O$712:$O$716,"&lt;"&amp;O713))),"n.a.")</x:f>
        <x:v>0</x:v>
      </x:c>
      <x:c r="Q713" s="22" t="n">
        <x:f>IF(T713="Ready",ROUND(N713+P713,2),"n.a.")</x:f>
        <x:v>0</x:v>
      </x:c>
      <x:c r="R713" s="22" t="n">
        <x:f>IF(T713="Ready",ROUND(Q713-M713,2),"n.a.")</x:f>
        <x:v>0</x:v>
      </x:c>
      <x:c r="S713" s="22" t="n">
        <x:f>IF(T713="Ready",MAX(0,ROUND(I713+M713-Q713,2)),"n.a.")</x:f>
        <x:v>0</x:v>
      </x:c>
      <x:c r="T713" s="22" t="str">
        <x:f>IF(AND(COUNT($I$712:$I$716)=5,COUNT(E713:F713)=2),IF(E713&gt;=F713,"Ready","Budget below minima"),"Check inputs")</x:f>
        <x:v>Ready</x:v>
      </x:c>
      <x:c r="U713" s="22" t="n">
        <x:f>IF(COUNT(I713,M713,N713)=3,MAX(0,ROUND(I713+M713-N713,2)),"n.a.")</x:f>
        <x:v>0</x:v>
      </x:c>
    </x:row>
    <x:row r="714" ht="22" customHeight="1">
      <x:c r="A714" s="2"/>
      <x:c r="B714" s="2"/>
      <x:c r="C714" s="27" t="n">
        <x:f>142</x:f>
        <x:v>142</x:v>
      </x:c>
      <x:c r="D714" s="28" t="n">
        <x:f>IF(ISNUMBER('Inputs'!$D$7),EDATE('Inputs'!$D$7,141),"n.a.")</x:f>
        <x:v>50618</x:v>
      </x:c>
      <x:c r="E714" s="26" t="n">
        <x:f>IF('Inputs'!$D$9&lt;&gt;"Ready","n.a.",IF(ISNUMBER('Inputs'!E160),IF('Inputs'!E160&gt;=0,'Inputs'!E160,"n.a."),IF('Inputs'!E160="",'Inputs'!$D$6,"n.a.")))</x:f>
        <x:v>500</x:v>
      </x:c>
      <x:c r="F714" s="22" t="n">
        <x:f>IF(COUNT($N$712:$N$716)=5,SUM($N$712:$N$716),"n.a.")</x:f>
        <x:v>0</x:v>
      </x:c>
      <x:c r="G714" s="22" t="n">
        <x:f>IF(COUNT(E714:F714)=2,MAX(0,E714-F714),"n.a.")</x:f>
        <x:v>500</x:v>
      </x:c>
      <x:c r="H714" s="26" t="str">
        <x:f>'Inputs'!C13</x:f>
        <x:v>Loan C</x:v>
      </x:c>
      <x:c r="I714" s="26" t="n">
        <x:f>S709</x:f>
        <x:v>0</x:v>
      </x:c>
      <x:c r="J714" s="29" t="n">
        <x:f>IF('Inputs'!$D$9="Ready",'Inputs'!E13,"n.a.")</x:f>
        <x:v>0.08</x:v>
      </x:c>
      <x:c r="K714" s="26" t="n">
        <x:f>IF('Inputs'!$D$9="Ready",'Inputs'!F13,"n.a.")</x:f>
        <x:v>150</x:v>
      </x:c>
      <x:c r="L714" s="29" t="n">
        <x:f>IF('Inputs'!$D$9="Ready",'Inputs'!G13,"n.a.")</x:f>
        <x:v>0</x:v>
      </x:c>
      <x:c r="M714" s="22" t="n">
        <x:f>IF(COUNT(I714:L714)=4,ROUND(I714*J714/12,2),"n.a.")</x:f>
        <x:v>0</x:v>
      </x:c>
      <x:c r="N714" s="22" t="n">
        <x:f>IF(COUNT(I714:M714)=5,MIN(I714+M714,ROUND(MAX(K714,I714*L714+M714),2)),"n.a.")</x:f>
        <x:v>0</x:v>
      </x:c>
      <x:c r="O714" s="30" t="n">
        <x:f>IF(COUNT($I$712:$I$716)&lt;&gt;5,"n.a.",IF(I714=0,6,IF('Inputs'!$D$5=1,COUNTIFS($I$712:$I$716,"&gt;0",$I$712:$I$716,"&lt;"&amp;I714)+COUNTIFS($I$712:I714,I714),COUNTIFS($I$712:$I$716,"&gt;0",$J$712:$J$716,"&gt;"&amp;J714)+COUNTIFS($I$712:I714,"&gt;0",$J$712:J714,J714))))</x:f>
        <x:v>6</x:v>
      </x:c>
      <x:c r="P714" s="22" t="n">
        <x:f>IF(T714="Ready",MIN(U714,MAX(0,G714-SUMIFS($U$712:$U$716,$O$712:$O$716,"&lt;"&amp;O714))),"n.a.")</x:f>
        <x:v>0</x:v>
      </x:c>
      <x:c r="Q714" s="22" t="n">
        <x:f>IF(T714="Ready",ROUND(N714+P714,2),"n.a.")</x:f>
        <x:v>0</x:v>
      </x:c>
      <x:c r="R714" s="22" t="n">
        <x:f>IF(T714="Ready",ROUND(Q714-M714,2),"n.a.")</x:f>
        <x:v>0</x:v>
      </x:c>
      <x:c r="S714" s="22" t="n">
        <x:f>IF(T714="Ready",MAX(0,ROUND(I714+M714-Q714,2)),"n.a.")</x:f>
        <x:v>0</x:v>
      </x:c>
      <x:c r="T714" s="22" t="str">
        <x:f>IF(AND(COUNT($I$712:$I$716)=5,COUNT(E714:F714)=2),IF(E714&gt;=F714,"Ready","Budget below minima"),"Check inputs")</x:f>
        <x:v>Ready</x:v>
      </x:c>
      <x:c r="U714" s="22" t="n">
        <x:f>IF(COUNT(I714,M714,N714)=3,MAX(0,ROUND(I714+M714-N714,2)),"n.a.")</x:f>
        <x:v>0</x:v>
      </x:c>
    </x:row>
    <x:row r="715" ht="22" customHeight="1">
      <x:c r="A715" s="2"/>
      <x:c r="B715" s="2"/>
      <x:c r="C715" s="27" t="n">
        <x:f>142</x:f>
        <x:v>142</x:v>
      </x:c>
      <x:c r="D715" s="28" t="n">
        <x:f>IF(ISNUMBER('Inputs'!$D$7),EDATE('Inputs'!$D$7,141),"n.a.")</x:f>
        <x:v>50618</x:v>
      </x:c>
      <x:c r="E715" s="26" t="n">
        <x:f>IF('Inputs'!$D$9&lt;&gt;"Ready","n.a.",IF(ISNUMBER('Inputs'!E160),IF('Inputs'!E160&gt;=0,'Inputs'!E160,"n.a."),IF('Inputs'!E160="",'Inputs'!$D$6,"n.a.")))</x:f>
        <x:v>500</x:v>
      </x:c>
      <x:c r="F715" s="22" t="n">
        <x:f>IF(COUNT($N$712:$N$716)=5,SUM($N$712:$N$716),"n.a.")</x:f>
        <x:v>0</x:v>
      </x:c>
      <x:c r="G715" s="22" t="n">
        <x:f>IF(COUNT(E715:F715)=2,MAX(0,E715-F715),"n.a.")</x:f>
        <x:v>500</x:v>
      </x:c>
      <x:c r="H715" s="26" t="str">
        <x:f>'Inputs'!C14</x:f>
        <x:v>Unused 4</x:v>
      </x:c>
      <x:c r="I715" s="26" t="n">
        <x:f>S710</x:f>
        <x:v>0</x:v>
      </x:c>
      <x:c r="J715" s="29" t="n">
        <x:f>IF('Inputs'!$D$9="Ready",'Inputs'!E14,"n.a.")</x:f>
        <x:v>0</x:v>
      </x:c>
      <x:c r="K715" s="26" t="n">
        <x:f>IF('Inputs'!$D$9="Ready",'Inputs'!F14,"n.a.")</x:f>
        <x:v>0</x:v>
      </x:c>
      <x:c r="L715" s="29" t="n">
        <x:f>IF('Inputs'!$D$9="Ready",'Inputs'!G14,"n.a.")</x:f>
        <x:v>0</x:v>
      </x:c>
      <x:c r="M715" s="22" t="n">
        <x:f>IF(COUNT(I715:L715)=4,ROUND(I715*J715/12,2),"n.a.")</x:f>
        <x:v>0</x:v>
      </x:c>
      <x:c r="N715" s="22" t="n">
        <x:f>IF(COUNT(I715:M715)=5,MIN(I715+M715,ROUND(MAX(K715,I715*L715+M715),2)),"n.a.")</x:f>
        <x:v>0</x:v>
      </x:c>
      <x:c r="O715" s="30" t="n">
        <x:f>IF(COUNT($I$712:$I$716)&lt;&gt;5,"n.a.",IF(I715=0,6,IF('Inputs'!$D$5=1,COUNTIFS($I$712:$I$716,"&gt;0",$I$712:$I$716,"&lt;"&amp;I715)+COUNTIFS($I$712:I715,I715),COUNTIFS($I$712:$I$716,"&gt;0",$J$712:$J$716,"&gt;"&amp;J715)+COUNTIFS($I$712:I715,"&gt;0",$J$712:J715,J715))))</x:f>
        <x:v>6</x:v>
      </x:c>
      <x:c r="P715" s="22" t="n">
        <x:f>IF(T715="Ready",MIN(U715,MAX(0,G715-SUMIFS($U$712:$U$716,$O$712:$O$716,"&lt;"&amp;O715))),"n.a.")</x:f>
        <x:v>0</x:v>
      </x:c>
      <x:c r="Q715" s="22" t="n">
        <x:f>IF(T715="Ready",ROUND(N715+P715,2),"n.a.")</x:f>
        <x:v>0</x:v>
      </x:c>
      <x:c r="R715" s="22" t="n">
        <x:f>IF(T715="Ready",ROUND(Q715-M715,2),"n.a.")</x:f>
        <x:v>0</x:v>
      </x:c>
      <x:c r="S715" s="22" t="n">
        <x:f>IF(T715="Ready",MAX(0,ROUND(I715+M715-Q715,2)),"n.a.")</x:f>
        <x:v>0</x:v>
      </x:c>
      <x:c r="T715" s="22" t="str">
        <x:f>IF(AND(COUNT($I$712:$I$716)=5,COUNT(E715:F715)=2),IF(E715&gt;=F715,"Ready","Budget below minima"),"Check inputs")</x:f>
        <x:v>Ready</x:v>
      </x:c>
      <x:c r="U715" s="22" t="n">
        <x:f>IF(COUNT(I715,M715,N715)=3,MAX(0,ROUND(I715+M715-N715,2)),"n.a.")</x:f>
        <x:v>0</x:v>
      </x:c>
    </x:row>
    <x:row r="716" ht="22" customHeight="1">
      <x:c r="A716" s="2"/>
      <x:c r="B716" s="2"/>
      <x:c r="C716" s="27" t="n">
        <x:f>142</x:f>
        <x:v>142</x:v>
      </x:c>
      <x:c r="D716" s="28" t="n">
        <x:f>IF(ISNUMBER('Inputs'!$D$7),EDATE('Inputs'!$D$7,141),"n.a.")</x:f>
        <x:v>50618</x:v>
      </x:c>
      <x:c r="E716" s="26" t="n">
        <x:f>IF('Inputs'!$D$9&lt;&gt;"Ready","n.a.",IF(ISNUMBER('Inputs'!E160),IF('Inputs'!E160&gt;=0,'Inputs'!E160,"n.a."),IF('Inputs'!E160="",'Inputs'!$D$6,"n.a.")))</x:f>
        <x:v>500</x:v>
      </x:c>
      <x:c r="F716" s="22" t="n">
        <x:f>IF(COUNT($N$712:$N$716)=5,SUM($N$712:$N$716),"n.a.")</x:f>
        <x:v>0</x:v>
      </x:c>
      <x:c r="G716" s="22" t="n">
        <x:f>IF(COUNT(E716:F716)=2,MAX(0,E716-F716),"n.a.")</x:f>
        <x:v>500</x:v>
      </x:c>
      <x:c r="H716" s="26" t="str">
        <x:f>'Inputs'!C15</x:f>
        <x:v>Unused 5</x:v>
      </x:c>
      <x:c r="I716" s="26" t="n">
        <x:f>S711</x:f>
        <x:v>0</x:v>
      </x:c>
      <x:c r="J716" s="29" t="n">
        <x:f>IF('Inputs'!$D$9="Ready",'Inputs'!E15,"n.a.")</x:f>
        <x:v>0</x:v>
      </x:c>
      <x:c r="K716" s="26" t="n">
        <x:f>IF('Inputs'!$D$9="Ready",'Inputs'!F15,"n.a.")</x:f>
        <x:v>0</x:v>
      </x:c>
      <x:c r="L716" s="29" t="n">
        <x:f>IF('Inputs'!$D$9="Ready",'Inputs'!G15,"n.a.")</x:f>
        <x:v>0</x:v>
      </x:c>
      <x:c r="M716" s="22" t="n">
        <x:f>IF(COUNT(I716:L716)=4,ROUND(I716*J716/12,2),"n.a.")</x:f>
        <x:v>0</x:v>
      </x:c>
      <x:c r="N716" s="22" t="n">
        <x:f>IF(COUNT(I716:M716)=5,MIN(I716+M716,ROUND(MAX(K716,I716*L716+M716),2)),"n.a.")</x:f>
        <x:v>0</x:v>
      </x:c>
      <x:c r="O716" s="30" t="n">
        <x:f>IF(COUNT($I$712:$I$716)&lt;&gt;5,"n.a.",IF(I716=0,6,IF('Inputs'!$D$5=1,COUNTIFS($I$712:$I$716,"&gt;0",$I$712:$I$716,"&lt;"&amp;I716)+COUNTIFS($I$712:I716,I716),COUNTIFS($I$712:$I$716,"&gt;0",$J$712:$J$716,"&gt;"&amp;J716)+COUNTIFS($I$712:I716,"&gt;0",$J$712:J716,J716))))</x:f>
        <x:v>6</x:v>
      </x:c>
      <x:c r="P716" s="22" t="n">
        <x:f>IF(T716="Ready",MIN(U716,MAX(0,G716-SUMIFS($U$712:$U$716,$O$712:$O$716,"&lt;"&amp;O716))),"n.a.")</x:f>
        <x:v>0</x:v>
      </x:c>
      <x:c r="Q716" s="22" t="n">
        <x:f>IF(T716="Ready",ROUND(N716+P716,2),"n.a.")</x:f>
        <x:v>0</x:v>
      </x:c>
      <x:c r="R716" s="22" t="n">
        <x:f>IF(T716="Ready",ROUND(Q716-M716,2),"n.a.")</x:f>
        <x:v>0</x:v>
      </x:c>
      <x:c r="S716" s="22" t="n">
        <x:f>IF(T716="Ready",MAX(0,ROUND(I716+M716-Q716,2)),"n.a.")</x:f>
        <x:v>0</x:v>
      </x:c>
      <x:c r="T716" s="22" t="str">
        <x:f>IF(AND(COUNT($I$712:$I$716)=5,COUNT(E716:F716)=2),IF(E716&gt;=F716,"Ready","Budget below minima"),"Check inputs")</x:f>
        <x:v>Ready</x:v>
      </x:c>
      <x:c r="U716" s="22" t="n">
        <x:f>IF(COUNT(I716,M716,N716)=3,MAX(0,ROUND(I716+M716-N716,2)),"n.a.")</x:f>
        <x:v>0</x:v>
      </x:c>
    </x:row>
    <x:row r="717" ht="22" customHeight="1">
      <x:c r="A717" s="2"/>
      <x:c r="B717" s="2"/>
      <x:c r="C717" s="27" t="n">
        <x:f>143</x:f>
        <x:v>143</x:v>
      </x:c>
      <x:c r="D717" s="28" t="n">
        <x:f>IF(ISNUMBER('Inputs'!$D$7),EDATE('Inputs'!$D$7,142),"n.a.")</x:f>
        <x:v>50649</x:v>
      </x:c>
      <x:c r="E717" s="26" t="n">
        <x:f>IF('Inputs'!$D$9&lt;&gt;"Ready","n.a.",IF(ISNUMBER('Inputs'!E161),IF('Inputs'!E161&gt;=0,'Inputs'!E161,"n.a."),IF('Inputs'!E161="",'Inputs'!$D$6,"n.a.")))</x:f>
        <x:v>500</x:v>
      </x:c>
      <x:c r="F717" s="22" t="n">
        <x:f>IF(COUNT($N$717:$N$721)=5,SUM($N$717:$N$721),"n.a.")</x:f>
        <x:v>0</x:v>
      </x:c>
      <x:c r="G717" s="22" t="n">
        <x:f>IF(COUNT(E717:F717)=2,MAX(0,E717-F717),"n.a.")</x:f>
        <x:v>500</x:v>
      </x:c>
      <x:c r="H717" s="26" t="str">
        <x:f>'Inputs'!C11</x:f>
        <x:v>Card A</x:v>
      </x:c>
      <x:c r="I717" s="26" t="n">
        <x:f>S712</x:f>
        <x:v>0</x:v>
      </x:c>
      <x:c r="J717" s="29" t="n">
        <x:f>IF('Inputs'!$D$9="Ready",'Inputs'!E11,"n.a.")</x:f>
        <x:v>0.24</x:v>
      </x:c>
      <x:c r="K717" s="26" t="n">
        <x:f>IF('Inputs'!$D$9="Ready",'Inputs'!F11,"n.a.")</x:f>
        <x:v>35</x:v>
      </x:c>
      <x:c r="L717" s="29" t="n">
        <x:f>IF('Inputs'!$D$9="Ready",'Inputs'!G11,"n.a.")</x:f>
        <x:v>0.02</x:v>
      </x:c>
      <x:c r="M717" s="22" t="n">
        <x:f>IF(COUNT(I717:L717)=4,ROUND(I717*J717/12,2),"n.a.")</x:f>
        <x:v>0</x:v>
      </x:c>
      <x:c r="N717" s="22" t="n">
        <x:f>IF(COUNT(I717:M717)=5,MIN(I717+M717,ROUND(MAX(K717,I717*L717+M717),2)),"n.a.")</x:f>
        <x:v>0</x:v>
      </x:c>
      <x:c r="O717" s="30" t="n">
        <x:f>IF(COUNT($I$717:$I$721)&lt;&gt;5,"n.a.",IF(I717=0,6,IF('Inputs'!$D$5=1,COUNTIFS($I$717:$I$721,"&gt;0",$I$717:$I$721,"&lt;"&amp;I717)+COUNTIFS($I$717:I717,I717),COUNTIFS($I$717:$I$721,"&gt;0",$J$717:$J$721,"&gt;"&amp;J717)+COUNTIFS($I$717:I717,"&gt;0",$J$717:J717,J717))))</x:f>
        <x:v>6</x:v>
      </x:c>
      <x:c r="P717" s="22" t="n">
        <x:f>IF(T717="Ready",MIN(U717,MAX(0,G717-SUMIFS($U$717:$U$721,$O$717:$O$721,"&lt;"&amp;O717))),"n.a.")</x:f>
        <x:v>0</x:v>
      </x:c>
      <x:c r="Q717" s="22" t="n">
        <x:f>IF(T717="Ready",ROUND(N717+P717,2),"n.a.")</x:f>
        <x:v>0</x:v>
      </x:c>
      <x:c r="R717" s="22" t="n">
        <x:f>IF(T717="Ready",ROUND(Q717-M717,2),"n.a.")</x:f>
        <x:v>0</x:v>
      </x:c>
      <x:c r="S717" s="22" t="n">
        <x:f>IF(T717="Ready",MAX(0,ROUND(I717+M717-Q717,2)),"n.a.")</x:f>
        <x:v>0</x:v>
      </x:c>
      <x:c r="T717" s="22" t="str">
        <x:f>IF(AND(COUNT($I$717:$I$721)=5,COUNT(E717:F717)=2),IF(E717&gt;=F717,"Ready","Budget below minima"),"Check inputs")</x:f>
        <x:v>Ready</x:v>
      </x:c>
      <x:c r="U717" s="22" t="n">
        <x:f>IF(COUNT(I717,M717,N717)=3,MAX(0,ROUND(I717+M717-N717,2)),"n.a.")</x:f>
        <x:v>0</x:v>
      </x:c>
    </x:row>
    <x:row r="718" ht="22" customHeight="1">
      <x:c r="A718" s="2"/>
      <x:c r="B718" s="2"/>
      <x:c r="C718" s="27" t="n">
        <x:f>143</x:f>
        <x:v>143</x:v>
      </x:c>
      <x:c r="D718" s="28" t="n">
        <x:f>IF(ISNUMBER('Inputs'!$D$7),EDATE('Inputs'!$D$7,142),"n.a.")</x:f>
        <x:v>50649</x:v>
      </x:c>
      <x:c r="E718" s="26" t="n">
        <x:f>IF('Inputs'!$D$9&lt;&gt;"Ready","n.a.",IF(ISNUMBER('Inputs'!E161),IF('Inputs'!E161&gt;=0,'Inputs'!E161,"n.a."),IF('Inputs'!E161="",'Inputs'!$D$6,"n.a.")))</x:f>
        <x:v>500</x:v>
      </x:c>
      <x:c r="F718" s="22" t="n">
        <x:f>IF(COUNT($N$717:$N$721)=5,SUM($N$717:$N$721),"n.a.")</x:f>
        <x:v>0</x:v>
      </x:c>
      <x:c r="G718" s="22" t="n">
        <x:f>IF(COUNT(E718:F718)=2,MAX(0,E718-F718),"n.a.")</x:f>
        <x:v>500</x:v>
      </x:c>
      <x:c r="H718" s="26" t="str">
        <x:f>'Inputs'!C12</x:f>
        <x:v>Card B</x:v>
      </x:c>
      <x:c r="I718" s="26" t="n">
        <x:f>S713</x:f>
        <x:v>0</x:v>
      </x:c>
      <x:c r="J718" s="29" t="n">
        <x:f>IF('Inputs'!$D$9="Ready",'Inputs'!E12,"n.a.")</x:f>
        <x:v>0.18</x:v>
      </x:c>
      <x:c r="K718" s="26" t="n">
        <x:f>IF('Inputs'!$D$9="Ready",'Inputs'!F12,"n.a.")</x:f>
        <x:v>60</x:v>
      </x:c>
      <x:c r="L718" s="29" t="n">
        <x:f>IF('Inputs'!$D$9="Ready",'Inputs'!G12,"n.a.")</x:f>
        <x:v>0.02</x:v>
      </x:c>
      <x:c r="M718" s="22" t="n">
        <x:f>IF(COUNT(I718:L718)=4,ROUND(I718*J718/12,2),"n.a.")</x:f>
        <x:v>0</x:v>
      </x:c>
      <x:c r="N718" s="22" t="n">
        <x:f>IF(COUNT(I718:M718)=5,MIN(I718+M718,ROUND(MAX(K718,I718*L718+M718),2)),"n.a.")</x:f>
        <x:v>0</x:v>
      </x:c>
      <x:c r="O718" s="30" t="n">
        <x:f>IF(COUNT($I$717:$I$721)&lt;&gt;5,"n.a.",IF(I718=0,6,IF('Inputs'!$D$5=1,COUNTIFS($I$717:$I$721,"&gt;0",$I$717:$I$721,"&lt;"&amp;I718)+COUNTIFS($I$717:I718,I718),COUNTIFS($I$717:$I$721,"&gt;0",$J$717:$J$721,"&gt;"&amp;J718)+COUNTIFS($I$717:I718,"&gt;0",$J$717:J718,J718))))</x:f>
        <x:v>6</x:v>
      </x:c>
      <x:c r="P718" s="22" t="n">
        <x:f>IF(T718="Ready",MIN(U718,MAX(0,G718-SUMIFS($U$717:$U$721,$O$717:$O$721,"&lt;"&amp;O718))),"n.a.")</x:f>
        <x:v>0</x:v>
      </x:c>
      <x:c r="Q718" s="22" t="n">
        <x:f>IF(T718="Ready",ROUND(N718+P718,2),"n.a.")</x:f>
        <x:v>0</x:v>
      </x:c>
      <x:c r="R718" s="22" t="n">
        <x:f>IF(T718="Ready",ROUND(Q718-M718,2),"n.a.")</x:f>
        <x:v>0</x:v>
      </x:c>
      <x:c r="S718" s="22" t="n">
        <x:f>IF(T718="Ready",MAX(0,ROUND(I718+M718-Q718,2)),"n.a.")</x:f>
        <x:v>0</x:v>
      </x:c>
      <x:c r="T718" s="22" t="str">
        <x:f>IF(AND(COUNT($I$717:$I$721)=5,COUNT(E718:F718)=2),IF(E718&gt;=F718,"Ready","Budget below minima"),"Check inputs")</x:f>
        <x:v>Ready</x:v>
      </x:c>
      <x:c r="U718" s="22" t="n">
        <x:f>IF(COUNT(I718,M718,N718)=3,MAX(0,ROUND(I718+M718-N718,2)),"n.a.")</x:f>
        <x:v>0</x:v>
      </x:c>
    </x:row>
    <x:row r="719" ht="22" customHeight="1">
      <x:c r="A719" s="2"/>
      <x:c r="B719" s="2"/>
      <x:c r="C719" s="27" t="n">
        <x:f>143</x:f>
        <x:v>143</x:v>
      </x:c>
      <x:c r="D719" s="28" t="n">
        <x:f>IF(ISNUMBER('Inputs'!$D$7),EDATE('Inputs'!$D$7,142),"n.a.")</x:f>
        <x:v>50649</x:v>
      </x:c>
      <x:c r="E719" s="26" t="n">
        <x:f>IF('Inputs'!$D$9&lt;&gt;"Ready","n.a.",IF(ISNUMBER('Inputs'!E161),IF('Inputs'!E161&gt;=0,'Inputs'!E161,"n.a."),IF('Inputs'!E161="",'Inputs'!$D$6,"n.a.")))</x:f>
        <x:v>500</x:v>
      </x:c>
      <x:c r="F719" s="22" t="n">
        <x:f>IF(COUNT($N$717:$N$721)=5,SUM($N$717:$N$721),"n.a.")</x:f>
        <x:v>0</x:v>
      </x:c>
      <x:c r="G719" s="22" t="n">
        <x:f>IF(COUNT(E719:F719)=2,MAX(0,E719-F719),"n.a.")</x:f>
        <x:v>500</x:v>
      </x:c>
      <x:c r="H719" s="26" t="str">
        <x:f>'Inputs'!C13</x:f>
        <x:v>Loan C</x:v>
      </x:c>
      <x:c r="I719" s="26" t="n">
        <x:f>S714</x:f>
        <x:v>0</x:v>
      </x:c>
      <x:c r="J719" s="29" t="n">
        <x:f>IF('Inputs'!$D$9="Ready",'Inputs'!E13,"n.a.")</x:f>
        <x:v>0.08</x:v>
      </x:c>
      <x:c r="K719" s="26" t="n">
        <x:f>IF('Inputs'!$D$9="Ready",'Inputs'!F13,"n.a.")</x:f>
        <x:v>150</x:v>
      </x:c>
      <x:c r="L719" s="29" t="n">
        <x:f>IF('Inputs'!$D$9="Ready",'Inputs'!G13,"n.a.")</x:f>
        <x:v>0</x:v>
      </x:c>
      <x:c r="M719" s="22" t="n">
        <x:f>IF(COUNT(I719:L719)=4,ROUND(I719*J719/12,2),"n.a.")</x:f>
        <x:v>0</x:v>
      </x:c>
      <x:c r="N719" s="22" t="n">
        <x:f>IF(COUNT(I719:M719)=5,MIN(I719+M719,ROUND(MAX(K719,I719*L719+M719),2)),"n.a.")</x:f>
        <x:v>0</x:v>
      </x:c>
      <x:c r="O719" s="30" t="n">
        <x:f>IF(COUNT($I$717:$I$721)&lt;&gt;5,"n.a.",IF(I719=0,6,IF('Inputs'!$D$5=1,COUNTIFS($I$717:$I$721,"&gt;0",$I$717:$I$721,"&lt;"&amp;I719)+COUNTIFS($I$717:I719,I719),COUNTIFS($I$717:$I$721,"&gt;0",$J$717:$J$721,"&gt;"&amp;J719)+COUNTIFS($I$717:I719,"&gt;0",$J$717:J719,J719))))</x:f>
        <x:v>6</x:v>
      </x:c>
      <x:c r="P719" s="22" t="n">
        <x:f>IF(T719="Ready",MIN(U719,MAX(0,G719-SUMIFS($U$717:$U$721,$O$717:$O$721,"&lt;"&amp;O719))),"n.a.")</x:f>
        <x:v>0</x:v>
      </x:c>
      <x:c r="Q719" s="22" t="n">
        <x:f>IF(T719="Ready",ROUND(N719+P719,2),"n.a.")</x:f>
        <x:v>0</x:v>
      </x:c>
      <x:c r="R719" s="22" t="n">
        <x:f>IF(T719="Ready",ROUND(Q719-M719,2),"n.a.")</x:f>
        <x:v>0</x:v>
      </x:c>
      <x:c r="S719" s="22" t="n">
        <x:f>IF(T719="Ready",MAX(0,ROUND(I719+M719-Q719,2)),"n.a.")</x:f>
        <x:v>0</x:v>
      </x:c>
      <x:c r="T719" s="22" t="str">
        <x:f>IF(AND(COUNT($I$717:$I$721)=5,COUNT(E719:F719)=2),IF(E719&gt;=F719,"Ready","Budget below minima"),"Check inputs")</x:f>
        <x:v>Ready</x:v>
      </x:c>
      <x:c r="U719" s="22" t="n">
        <x:f>IF(COUNT(I719,M719,N719)=3,MAX(0,ROUND(I719+M719-N719,2)),"n.a.")</x:f>
        <x:v>0</x:v>
      </x:c>
    </x:row>
    <x:row r="720" ht="22" customHeight="1">
      <x:c r="A720" s="2"/>
      <x:c r="B720" s="2"/>
      <x:c r="C720" s="27" t="n">
        <x:f>143</x:f>
        <x:v>143</x:v>
      </x:c>
      <x:c r="D720" s="28" t="n">
        <x:f>IF(ISNUMBER('Inputs'!$D$7),EDATE('Inputs'!$D$7,142),"n.a.")</x:f>
        <x:v>50649</x:v>
      </x:c>
      <x:c r="E720" s="26" t="n">
        <x:f>IF('Inputs'!$D$9&lt;&gt;"Ready","n.a.",IF(ISNUMBER('Inputs'!E161),IF('Inputs'!E161&gt;=0,'Inputs'!E161,"n.a."),IF('Inputs'!E161="",'Inputs'!$D$6,"n.a.")))</x:f>
        <x:v>500</x:v>
      </x:c>
      <x:c r="F720" s="22" t="n">
        <x:f>IF(COUNT($N$717:$N$721)=5,SUM($N$717:$N$721),"n.a.")</x:f>
        <x:v>0</x:v>
      </x:c>
      <x:c r="G720" s="22" t="n">
        <x:f>IF(COUNT(E720:F720)=2,MAX(0,E720-F720),"n.a.")</x:f>
        <x:v>500</x:v>
      </x:c>
      <x:c r="H720" s="26" t="str">
        <x:f>'Inputs'!C14</x:f>
        <x:v>Unused 4</x:v>
      </x:c>
      <x:c r="I720" s="26" t="n">
        <x:f>S715</x:f>
        <x:v>0</x:v>
      </x:c>
      <x:c r="J720" s="29" t="n">
        <x:f>IF('Inputs'!$D$9="Ready",'Inputs'!E14,"n.a.")</x:f>
        <x:v>0</x:v>
      </x:c>
      <x:c r="K720" s="26" t="n">
        <x:f>IF('Inputs'!$D$9="Ready",'Inputs'!F14,"n.a.")</x:f>
        <x:v>0</x:v>
      </x:c>
      <x:c r="L720" s="29" t="n">
        <x:f>IF('Inputs'!$D$9="Ready",'Inputs'!G14,"n.a.")</x:f>
        <x:v>0</x:v>
      </x:c>
      <x:c r="M720" s="22" t="n">
        <x:f>IF(COUNT(I720:L720)=4,ROUND(I720*J720/12,2),"n.a.")</x:f>
        <x:v>0</x:v>
      </x:c>
      <x:c r="N720" s="22" t="n">
        <x:f>IF(COUNT(I720:M720)=5,MIN(I720+M720,ROUND(MAX(K720,I720*L720+M720),2)),"n.a.")</x:f>
        <x:v>0</x:v>
      </x:c>
      <x:c r="O720" s="30" t="n">
        <x:f>IF(COUNT($I$717:$I$721)&lt;&gt;5,"n.a.",IF(I720=0,6,IF('Inputs'!$D$5=1,COUNTIFS($I$717:$I$721,"&gt;0",$I$717:$I$721,"&lt;"&amp;I720)+COUNTIFS($I$717:I720,I720),COUNTIFS($I$717:$I$721,"&gt;0",$J$717:$J$721,"&gt;"&amp;J720)+COUNTIFS($I$717:I720,"&gt;0",$J$717:J720,J720))))</x:f>
        <x:v>6</x:v>
      </x:c>
      <x:c r="P720" s="22" t="n">
        <x:f>IF(T720="Ready",MIN(U720,MAX(0,G720-SUMIFS($U$717:$U$721,$O$717:$O$721,"&lt;"&amp;O720))),"n.a.")</x:f>
        <x:v>0</x:v>
      </x:c>
      <x:c r="Q720" s="22" t="n">
        <x:f>IF(T720="Ready",ROUND(N720+P720,2),"n.a.")</x:f>
        <x:v>0</x:v>
      </x:c>
      <x:c r="R720" s="22" t="n">
        <x:f>IF(T720="Ready",ROUND(Q720-M720,2),"n.a.")</x:f>
        <x:v>0</x:v>
      </x:c>
      <x:c r="S720" s="22" t="n">
        <x:f>IF(T720="Ready",MAX(0,ROUND(I720+M720-Q720,2)),"n.a.")</x:f>
        <x:v>0</x:v>
      </x:c>
      <x:c r="T720" s="22" t="str">
        <x:f>IF(AND(COUNT($I$717:$I$721)=5,COUNT(E720:F720)=2),IF(E720&gt;=F720,"Ready","Budget below minima"),"Check inputs")</x:f>
        <x:v>Ready</x:v>
      </x:c>
      <x:c r="U720" s="22" t="n">
        <x:f>IF(COUNT(I720,M720,N720)=3,MAX(0,ROUND(I720+M720-N720,2)),"n.a.")</x:f>
        <x:v>0</x:v>
      </x:c>
    </x:row>
    <x:row r="721" ht="22" customHeight="1">
      <x:c r="A721" s="2"/>
      <x:c r="B721" s="2"/>
      <x:c r="C721" s="27" t="n">
        <x:f>143</x:f>
        <x:v>143</x:v>
      </x:c>
      <x:c r="D721" s="28" t="n">
        <x:f>IF(ISNUMBER('Inputs'!$D$7),EDATE('Inputs'!$D$7,142),"n.a.")</x:f>
        <x:v>50649</x:v>
      </x:c>
      <x:c r="E721" s="26" t="n">
        <x:f>IF('Inputs'!$D$9&lt;&gt;"Ready","n.a.",IF(ISNUMBER('Inputs'!E161),IF('Inputs'!E161&gt;=0,'Inputs'!E161,"n.a."),IF('Inputs'!E161="",'Inputs'!$D$6,"n.a.")))</x:f>
        <x:v>500</x:v>
      </x:c>
      <x:c r="F721" s="22" t="n">
        <x:f>IF(COUNT($N$717:$N$721)=5,SUM($N$717:$N$721),"n.a.")</x:f>
        <x:v>0</x:v>
      </x:c>
      <x:c r="G721" s="22" t="n">
        <x:f>IF(COUNT(E721:F721)=2,MAX(0,E721-F721),"n.a.")</x:f>
        <x:v>500</x:v>
      </x:c>
      <x:c r="H721" s="26" t="str">
        <x:f>'Inputs'!C15</x:f>
        <x:v>Unused 5</x:v>
      </x:c>
      <x:c r="I721" s="26" t="n">
        <x:f>S716</x:f>
        <x:v>0</x:v>
      </x:c>
      <x:c r="J721" s="29" t="n">
        <x:f>IF('Inputs'!$D$9="Ready",'Inputs'!E15,"n.a.")</x:f>
        <x:v>0</x:v>
      </x:c>
      <x:c r="K721" s="26" t="n">
        <x:f>IF('Inputs'!$D$9="Ready",'Inputs'!F15,"n.a.")</x:f>
        <x:v>0</x:v>
      </x:c>
      <x:c r="L721" s="29" t="n">
        <x:f>IF('Inputs'!$D$9="Ready",'Inputs'!G15,"n.a.")</x:f>
        <x:v>0</x:v>
      </x:c>
      <x:c r="M721" s="22" t="n">
        <x:f>IF(COUNT(I721:L721)=4,ROUND(I721*J721/12,2),"n.a.")</x:f>
        <x:v>0</x:v>
      </x:c>
      <x:c r="N721" s="22" t="n">
        <x:f>IF(COUNT(I721:M721)=5,MIN(I721+M721,ROUND(MAX(K721,I721*L721+M721),2)),"n.a.")</x:f>
        <x:v>0</x:v>
      </x:c>
      <x:c r="O721" s="30" t="n">
        <x:f>IF(COUNT($I$717:$I$721)&lt;&gt;5,"n.a.",IF(I721=0,6,IF('Inputs'!$D$5=1,COUNTIFS($I$717:$I$721,"&gt;0",$I$717:$I$721,"&lt;"&amp;I721)+COUNTIFS($I$717:I721,I721),COUNTIFS($I$717:$I$721,"&gt;0",$J$717:$J$721,"&gt;"&amp;J721)+COUNTIFS($I$717:I721,"&gt;0",$J$717:J721,J721))))</x:f>
        <x:v>6</x:v>
      </x:c>
      <x:c r="P721" s="22" t="n">
        <x:f>IF(T721="Ready",MIN(U721,MAX(0,G721-SUMIFS($U$717:$U$721,$O$717:$O$721,"&lt;"&amp;O721))),"n.a.")</x:f>
        <x:v>0</x:v>
      </x:c>
      <x:c r="Q721" s="22" t="n">
        <x:f>IF(T721="Ready",ROUND(N721+P721,2),"n.a.")</x:f>
        <x:v>0</x:v>
      </x:c>
      <x:c r="R721" s="22" t="n">
        <x:f>IF(T721="Ready",ROUND(Q721-M721,2),"n.a.")</x:f>
        <x:v>0</x:v>
      </x:c>
      <x:c r="S721" s="22" t="n">
        <x:f>IF(T721="Ready",MAX(0,ROUND(I721+M721-Q721,2)),"n.a.")</x:f>
        <x:v>0</x:v>
      </x:c>
      <x:c r="T721" s="22" t="str">
        <x:f>IF(AND(COUNT($I$717:$I$721)=5,COUNT(E721:F721)=2),IF(E721&gt;=F721,"Ready","Budget below minima"),"Check inputs")</x:f>
        <x:v>Ready</x:v>
      </x:c>
      <x:c r="U721" s="22" t="n">
        <x:f>IF(COUNT(I721,M721,N721)=3,MAX(0,ROUND(I721+M721-N721,2)),"n.a.")</x:f>
        <x:v>0</x:v>
      </x:c>
    </x:row>
    <x:row r="722" ht="22" customHeight="1">
      <x:c r="A722" s="2"/>
      <x:c r="B722" s="2"/>
      <x:c r="C722" s="27" t="n">
        <x:f>144</x:f>
        <x:v>144</x:v>
      </x:c>
      <x:c r="D722" s="28" t="n">
        <x:f>IF(ISNUMBER('Inputs'!$D$7),EDATE('Inputs'!$D$7,143),"n.a.")</x:f>
        <x:v>50679</x:v>
      </x:c>
      <x:c r="E722" s="26" t="n">
        <x:f>IF('Inputs'!$D$9&lt;&gt;"Ready","n.a.",IF(ISNUMBER('Inputs'!E162),IF('Inputs'!E162&gt;=0,'Inputs'!E162,"n.a."),IF('Inputs'!E162="",'Inputs'!$D$6,"n.a.")))</x:f>
        <x:v>500</x:v>
      </x:c>
      <x:c r="F722" s="22" t="n">
        <x:f>IF(COUNT($N$722:$N$726)=5,SUM($N$722:$N$726),"n.a.")</x:f>
        <x:v>0</x:v>
      </x:c>
      <x:c r="G722" s="22" t="n">
        <x:f>IF(COUNT(E722:F722)=2,MAX(0,E722-F722),"n.a.")</x:f>
        <x:v>500</x:v>
      </x:c>
      <x:c r="H722" s="26" t="str">
        <x:f>'Inputs'!C11</x:f>
        <x:v>Card A</x:v>
      </x:c>
      <x:c r="I722" s="26" t="n">
        <x:f>S717</x:f>
        <x:v>0</x:v>
      </x:c>
      <x:c r="J722" s="29" t="n">
        <x:f>IF('Inputs'!$D$9="Ready",'Inputs'!E11,"n.a.")</x:f>
        <x:v>0.24</x:v>
      </x:c>
      <x:c r="K722" s="26" t="n">
        <x:f>IF('Inputs'!$D$9="Ready",'Inputs'!F11,"n.a.")</x:f>
        <x:v>35</x:v>
      </x:c>
      <x:c r="L722" s="29" t="n">
        <x:f>IF('Inputs'!$D$9="Ready",'Inputs'!G11,"n.a.")</x:f>
        <x:v>0.02</x:v>
      </x:c>
      <x:c r="M722" s="22" t="n">
        <x:f>IF(COUNT(I722:L722)=4,ROUND(I722*J722/12,2),"n.a.")</x:f>
        <x:v>0</x:v>
      </x:c>
      <x:c r="N722" s="22" t="n">
        <x:f>IF(COUNT(I722:M722)=5,MIN(I722+M722,ROUND(MAX(K722,I722*L722+M722),2)),"n.a.")</x:f>
        <x:v>0</x:v>
      </x:c>
      <x:c r="O722" s="30" t="n">
        <x:f>IF(COUNT($I$722:$I$726)&lt;&gt;5,"n.a.",IF(I722=0,6,IF('Inputs'!$D$5=1,COUNTIFS($I$722:$I$726,"&gt;0",$I$722:$I$726,"&lt;"&amp;I722)+COUNTIFS($I$722:I722,I722),COUNTIFS($I$722:$I$726,"&gt;0",$J$722:$J$726,"&gt;"&amp;J722)+COUNTIFS($I$722:I722,"&gt;0",$J$722:J722,J722))))</x:f>
        <x:v>6</x:v>
      </x:c>
      <x:c r="P722" s="22" t="n">
        <x:f>IF(T722="Ready",MIN(U722,MAX(0,G722-SUMIFS($U$722:$U$726,$O$722:$O$726,"&lt;"&amp;O722))),"n.a.")</x:f>
        <x:v>0</x:v>
      </x:c>
      <x:c r="Q722" s="22" t="n">
        <x:f>IF(T722="Ready",ROUND(N722+P722,2),"n.a.")</x:f>
        <x:v>0</x:v>
      </x:c>
      <x:c r="R722" s="22" t="n">
        <x:f>IF(T722="Ready",ROUND(Q722-M722,2),"n.a.")</x:f>
        <x:v>0</x:v>
      </x:c>
      <x:c r="S722" s="22" t="n">
        <x:f>IF(T722="Ready",MAX(0,ROUND(I722+M722-Q722,2)),"n.a.")</x:f>
        <x:v>0</x:v>
      </x:c>
      <x:c r="T722" s="22" t="str">
        <x:f>IF(AND(COUNT($I$722:$I$726)=5,COUNT(E722:F722)=2),IF(E722&gt;=F722,"Ready","Budget below minima"),"Check inputs")</x:f>
        <x:v>Ready</x:v>
      </x:c>
      <x:c r="U722" s="22" t="n">
        <x:f>IF(COUNT(I722,M722,N722)=3,MAX(0,ROUND(I722+M722-N722,2)),"n.a.")</x:f>
        <x:v>0</x:v>
      </x:c>
    </x:row>
    <x:row r="723" ht="22" customHeight="1">
      <x:c r="A723" s="2"/>
      <x:c r="B723" s="2"/>
      <x:c r="C723" s="27" t="n">
        <x:f>144</x:f>
        <x:v>144</x:v>
      </x:c>
      <x:c r="D723" s="28" t="n">
        <x:f>IF(ISNUMBER('Inputs'!$D$7),EDATE('Inputs'!$D$7,143),"n.a.")</x:f>
        <x:v>50679</x:v>
      </x:c>
      <x:c r="E723" s="26" t="n">
        <x:f>IF('Inputs'!$D$9&lt;&gt;"Ready","n.a.",IF(ISNUMBER('Inputs'!E162),IF('Inputs'!E162&gt;=0,'Inputs'!E162,"n.a."),IF('Inputs'!E162="",'Inputs'!$D$6,"n.a.")))</x:f>
        <x:v>500</x:v>
      </x:c>
      <x:c r="F723" s="22" t="n">
        <x:f>IF(COUNT($N$722:$N$726)=5,SUM($N$722:$N$726),"n.a.")</x:f>
        <x:v>0</x:v>
      </x:c>
      <x:c r="G723" s="22" t="n">
        <x:f>IF(COUNT(E723:F723)=2,MAX(0,E723-F723),"n.a.")</x:f>
        <x:v>500</x:v>
      </x:c>
      <x:c r="H723" s="26" t="str">
        <x:f>'Inputs'!C12</x:f>
        <x:v>Card B</x:v>
      </x:c>
      <x:c r="I723" s="26" t="n">
        <x:f>S718</x:f>
        <x:v>0</x:v>
      </x:c>
      <x:c r="J723" s="29" t="n">
        <x:f>IF('Inputs'!$D$9="Ready",'Inputs'!E12,"n.a.")</x:f>
        <x:v>0.18</x:v>
      </x:c>
      <x:c r="K723" s="26" t="n">
        <x:f>IF('Inputs'!$D$9="Ready",'Inputs'!F12,"n.a.")</x:f>
        <x:v>60</x:v>
      </x:c>
      <x:c r="L723" s="29" t="n">
        <x:f>IF('Inputs'!$D$9="Ready",'Inputs'!G12,"n.a.")</x:f>
        <x:v>0.02</x:v>
      </x:c>
      <x:c r="M723" s="22" t="n">
        <x:f>IF(COUNT(I723:L723)=4,ROUND(I723*J723/12,2),"n.a.")</x:f>
        <x:v>0</x:v>
      </x:c>
      <x:c r="N723" s="22" t="n">
        <x:f>IF(COUNT(I723:M723)=5,MIN(I723+M723,ROUND(MAX(K723,I723*L723+M723),2)),"n.a.")</x:f>
        <x:v>0</x:v>
      </x:c>
      <x:c r="O723" s="30" t="n">
        <x:f>IF(COUNT($I$722:$I$726)&lt;&gt;5,"n.a.",IF(I723=0,6,IF('Inputs'!$D$5=1,COUNTIFS($I$722:$I$726,"&gt;0",$I$722:$I$726,"&lt;"&amp;I723)+COUNTIFS($I$722:I723,I723),COUNTIFS($I$722:$I$726,"&gt;0",$J$722:$J$726,"&gt;"&amp;J723)+COUNTIFS($I$722:I723,"&gt;0",$J$722:J723,J723))))</x:f>
        <x:v>6</x:v>
      </x:c>
      <x:c r="P723" s="22" t="n">
        <x:f>IF(T723="Ready",MIN(U723,MAX(0,G723-SUMIFS($U$722:$U$726,$O$722:$O$726,"&lt;"&amp;O723))),"n.a.")</x:f>
        <x:v>0</x:v>
      </x:c>
      <x:c r="Q723" s="22" t="n">
        <x:f>IF(T723="Ready",ROUND(N723+P723,2),"n.a.")</x:f>
        <x:v>0</x:v>
      </x:c>
      <x:c r="R723" s="22" t="n">
        <x:f>IF(T723="Ready",ROUND(Q723-M723,2),"n.a.")</x:f>
        <x:v>0</x:v>
      </x:c>
      <x:c r="S723" s="22" t="n">
        <x:f>IF(T723="Ready",MAX(0,ROUND(I723+M723-Q723,2)),"n.a.")</x:f>
        <x:v>0</x:v>
      </x:c>
      <x:c r="T723" s="22" t="str">
        <x:f>IF(AND(COUNT($I$722:$I$726)=5,COUNT(E723:F723)=2),IF(E723&gt;=F723,"Ready","Budget below minima"),"Check inputs")</x:f>
        <x:v>Ready</x:v>
      </x:c>
      <x:c r="U723" s="22" t="n">
        <x:f>IF(COUNT(I723,M723,N723)=3,MAX(0,ROUND(I723+M723-N723,2)),"n.a.")</x:f>
        <x:v>0</x:v>
      </x:c>
    </x:row>
    <x:row r="724" ht="22" customHeight="1">
      <x:c r="A724" s="2"/>
      <x:c r="B724" s="2"/>
      <x:c r="C724" s="27" t="n">
        <x:f>144</x:f>
        <x:v>144</x:v>
      </x:c>
      <x:c r="D724" s="28" t="n">
        <x:f>IF(ISNUMBER('Inputs'!$D$7),EDATE('Inputs'!$D$7,143),"n.a.")</x:f>
        <x:v>50679</x:v>
      </x:c>
      <x:c r="E724" s="26" t="n">
        <x:f>IF('Inputs'!$D$9&lt;&gt;"Ready","n.a.",IF(ISNUMBER('Inputs'!E162),IF('Inputs'!E162&gt;=0,'Inputs'!E162,"n.a."),IF('Inputs'!E162="",'Inputs'!$D$6,"n.a.")))</x:f>
        <x:v>500</x:v>
      </x:c>
      <x:c r="F724" s="22" t="n">
        <x:f>IF(COUNT($N$722:$N$726)=5,SUM($N$722:$N$726),"n.a.")</x:f>
        <x:v>0</x:v>
      </x:c>
      <x:c r="G724" s="22" t="n">
        <x:f>IF(COUNT(E724:F724)=2,MAX(0,E724-F724),"n.a.")</x:f>
        <x:v>500</x:v>
      </x:c>
      <x:c r="H724" s="26" t="str">
        <x:f>'Inputs'!C13</x:f>
        <x:v>Loan C</x:v>
      </x:c>
      <x:c r="I724" s="26" t="n">
        <x:f>S719</x:f>
        <x:v>0</x:v>
      </x:c>
      <x:c r="J724" s="29" t="n">
        <x:f>IF('Inputs'!$D$9="Ready",'Inputs'!E13,"n.a.")</x:f>
        <x:v>0.08</x:v>
      </x:c>
      <x:c r="K724" s="26" t="n">
        <x:f>IF('Inputs'!$D$9="Ready",'Inputs'!F13,"n.a.")</x:f>
        <x:v>150</x:v>
      </x:c>
      <x:c r="L724" s="29" t="n">
        <x:f>IF('Inputs'!$D$9="Ready",'Inputs'!G13,"n.a.")</x:f>
        <x:v>0</x:v>
      </x:c>
      <x:c r="M724" s="22" t="n">
        <x:f>IF(COUNT(I724:L724)=4,ROUND(I724*J724/12,2),"n.a.")</x:f>
        <x:v>0</x:v>
      </x:c>
      <x:c r="N724" s="22" t="n">
        <x:f>IF(COUNT(I724:M724)=5,MIN(I724+M724,ROUND(MAX(K724,I724*L724+M724),2)),"n.a.")</x:f>
        <x:v>0</x:v>
      </x:c>
      <x:c r="O724" s="30" t="n">
        <x:f>IF(COUNT($I$722:$I$726)&lt;&gt;5,"n.a.",IF(I724=0,6,IF('Inputs'!$D$5=1,COUNTIFS($I$722:$I$726,"&gt;0",$I$722:$I$726,"&lt;"&amp;I724)+COUNTIFS($I$722:I724,I724),COUNTIFS($I$722:$I$726,"&gt;0",$J$722:$J$726,"&gt;"&amp;J724)+COUNTIFS($I$722:I724,"&gt;0",$J$722:J724,J724))))</x:f>
        <x:v>6</x:v>
      </x:c>
      <x:c r="P724" s="22" t="n">
        <x:f>IF(T724="Ready",MIN(U724,MAX(0,G724-SUMIFS($U$722:$U$726,$O$722:$O$726,"&lt;"&amp;O724))),"n.a.")</x:f>
        <x:v>0</x:v>
      </x:c>
      <x:c r="Q724" s="22" t="n">
        <x:f>IF(T724="Ready",ROUND(N724+P724,2),"n.a.")</x:f>
        <x:v>0</x:v>
      </x:c>
      <x:c r="R724" s="22" t="n">
        <x:f>IF(T724="Ready",ROUND(Q724-M724,2),"n.a.")</x:f>
        <x:v>0</x:v>
      </x:c>
      <x:c r="S724" s="22" t="n">
        <x:f>IF(T724="Ready",MAX(0,ROUND(I724+M724-Q724,2)),"n.a.")</x:f>
        <x:v>0</x:v>
      </x:c>
      <x:c r="T724" s="22" t="str">
        <x:f>IF(AND(COUNT($I$722:$I$726)=5,COUNT(E724:F724)=2),IF(E724&gt;=F724,"Ready","Budget below minima"),"Check inputs")</x:f>
        <x:v>Ready</x:v>
      </x:c>
      <x:c r="U724" s="22" t="n">
        <x:f>IF(COUNT(I724,M724,N724)=3,MAX(0,ROUND(I724+M724-N724,2)),"n.a.")</x:f>
        <x:v>0</x:v>
      </x:c>
    </x:row>
    <x:row r="725" ht="22" customHeight="1">
      <x:c r="A725" s="2"/>
      <x:c r="B725" s="2"/>
      <x:c r="C725" s="27" t="n">
        <x:f>144</x:f>
        <x:v>144</x:v>
      </x:c>
      <x:c r="D725" s="28" t="n">
        <x:f>IF(ISNUMBER('Inputs'!$D$7),EDATE('Inputs'!$D$7,143),"n.a.")</x:f>
        <x:v>50679</x:v>
      </x:c>
      <x:c r="E725" s="26" t="n">
        <x:f>IF('Inputs'!$D$9&lt;&gt;"Ready","n.a.",IF(ISNUMBER('Inputs'!E162),IF('Inputs'!E162&gt;=0,'Inputs'!E162,"n.a."),IF('Inputs'!E162="",'Inputs'!$D$6,"n.a.")))</x:f>
        <x:v>500</x:v>
      </x:c>
      <x:c r="F725" s="22" t="n">
        <x:f>IF(COUNT($N$722:$N$726)=5,SUM($N$722:$N$726),"n.a.")</x:f>
        <x:v>0</x:v>
      </x:c>
      <x:c r="G725" s="22" t="n">
        <x:f>IF(COUNT(E725:F725)=2,MAX(0,E725-F725),"n.a.")</x:f>
        <x:v>500</x:v>
      </x:c>
      <x:c r="H725" s="26" t="str">
        <x:f>'Inputs'!C14</x:f>
        <x:v>Unused 4</x:v>
      </x:c>
      <x:c r="I725" s="26" t="n">
        <x:f>S720</x:f>
        <x:v>0</x:v>
      </x:c>
      <x:c r="J725" s="29" t="n">
        <x:f>IF('Inputs'!$D$9="Ready",'Inputs'!E14,"n.a.")</x:f>
        <x:v>0</x:v>
      </x:c>
      <x:c r="K725" s="26" t="n">
        <x:f>IF('Inputs'!$D$9="Ready",'Inputs'!F14,"n.a.")</x:f>
        <x:v>0</x:v>
      </x:c>
      <x:c r="L725" s="29" t="n">
        <x:f>IF('Inputs'!$D$9="Ready",'Inputs'!G14,"n.a.")</x:f>
        <x:v>0</x:v>
      </x:c>
      <x:c r="M725" s="22" t="n">
        <x:f>IF(COUNT(I725:L725)=4,ROUND(I725*J725/12,2),"n.a.")</x:f>
        <x:v>0</x:v>
      </x:c>
      <x:c r="N725" s="22" t="n">
        <x:f>IF(COUNT(I725:M725)=5,MIN(I725+M725,ROUND(MAX(K725,I725*L725+M725),2)),"n.a.")</x:f>
        <x:v>0</x:v>
      </x:c>
      <x:c r="O725" s="30" t="n">
        <x:f>IF(COUNT($I$722:$I$726)&lt;&gt;5,"n.a.",IF(I725=0,6,IF('Inputs'!$D$5=1,COUNTIFS($I$722:$I$726,"&gt;0",$I$722:$I$726,"&lt;"&amp;I725)+COUNTIFS($I$722:I725,I725),COUNTIFS($I$722:$I$726,"&gt;0",$J$722:$J$726,"&gt;"&amp;J725)+COUNTIFS($I$722:I725,"&gt;0",$J$722:J725,J725))))</x:f>
        <x:v>6</x:v>
      </x:c>
      <x:c r="P725" s="22" t="n">
        <x:f>IF(T725="Ready",MIN(U725,MAX(0,G725-SUMIFS($U$722:$U$726,$O$722:$O$726,"&lt;"&amp;O725))),"n.a.")</x:f>
        <x:v>0</x:v>
      </x:c>
      <x:c r="Q725" s="22" t="n">
        <x:f>IF(T725="Ready",ROUND(N725+P725,2),"n.a.")</x:f>
        <x:v>0</x:v>
      </x:c>
      <x:c r="R725" s="22" t="n">
        <x:f>IF(T725="Ready",ROUND(Q725-M725,2),"n.a.")</x:f>
        <x:v>0</x:v>
      </x:c>
      <x:c r="S725" s="22" t="n">
        <x:f>IF(T725="Ready",MAX(0,ROUND(I725+M725-Q725,2)),"n.a.")</x:f>
        <x:v>0</x:v>
      </x:c>
      <x:c r="T725" s="22" t="str">
        <x:f>IF(AND(COUNT($I$722:$I$726)=5,COUNT(E725:F725)=2),IF(E725&gt;=F725,"Ready","Budget below minima"),"Check inputs")</x:f>
        <x:v>Ready</x:v>
      </x:c>
      <x:c r="U725" s="22" t="n">
        <x:f>IF(COUNT(I725,M725,N725)=3,MAX(0,ROUND(I725+M725-N725,2)),"n.a.")</x:f>
        <x:v>0</x:v>
      </x:c>
    </x:row>
    <x:row r="726" ht="22" customHeight="1">
      <x:c r="A726" s="2"/>
      <x:c r="B726" s="2"/>
      <x:c r="C726" s="27" t="n">
        <x:f>144</x:f>
        <x:v>144</x:v>
      </x:c>
      <x:c r="D726" s="28" t="n">
        <x:f>IF(ISNUMBER('Inputs'!$D$7),EDATE('Inputs'!$D$7,143),"n.a.")</x:f>
        <x:v>50679</x:v>
      </x:c>
      <x:c r="E726" s="26" t="n">
        <x:f>IF('Inputs'!$D$9&lt;&gt;"Ready","n.a.",IF(ISNUMBER('Inputs'!E162),IF('Inputs'!E162&gt;=0,'Inputs'!E162,"n.a."),IF('Inputs'!E162="",'Inputs'!$D$6,"n.a.")))</x:f>
        <x:v>500</x:v>
      </x:c>
      <x:c r="F726" s="22" t="n">
        <x:f>IF(COUNT($N$722:$N$726)=5,SUM($N$722:$N$726),"n.a.")</x:f>
        <x:v>0</x:v>
      </x:c>
      <x:c r="G726" s="22" t="n">
        <x:f>IF(COUNT(E726:F726)=2,MAX(0,E726-F726),"n.a.")</x:f>
        <x:v>500</x:v>
      </x:c>
      <x:c r="H726" s="26" t="str">
        <x:f>'Inputs'!C15</x:f>
        <x:v>Unused 5</x:v>
      </x:c>
      <x:c r="I726" s="26" t="n">
        <x:f>S721</x:f>
        <x:v>0</x:v>
      </x:c>
      <x:c r="J726" s="29" t="n">
        <x:f>IF('Inputs'!$D$9="Ready",'Inputs'!E15,"n.a.")</x:f>
        <x:v>0</x:v>
      </x:c>
      <x:c r="K726" s="26" t="n">
        <x:f>IF('Inputs'!$D$9="Ready",'Inputs'!F15,"n.a.")</x:f>
        <x:v>0</x:v>
      </x:c>
      <x:c r="L726" s="29" t="n">
        <x:f>IF('Inputs'!$D$9="Ready",'Inputs'!G15,"n.a.")</x:f>
        <x:v>0</x:v>
      </x:c>
      <x:c r="M726" s="22" t="n">
        <x:f>IF(COUNT(I726:L726)=4,ROUND(I726*J726/12,2),"n.a.")</x:f>
        <x:v>0</x:v>
      </x:c>
      <x:c r="N726" s="22" t="n">
        <x:f>IF(COUNT(I726:M726)=5,MIN(I726+M726,ROUND(MAX(K726,I726*L726+M726),2)),"n.a.")</x:f>
        <x:v>0</x:v>
      </x:c>
      <x:c r="O726" s="30" t="n">
        <x:f>IF(COUNT($I$722:$I$726)&lt;&gt;5,"n.a.",IF(I726=0,6,IF('Inputs'!$D$5=1,COUNTIFS($I$722:$I$726,"&gt;0",$I$722:$I$726,"&lt;"&amp;I726)+COUNTIFS($I$722:I726,I726),COUNTIFS($I$722:$I$726,"&gt;0",$J$722:$J$726,"&gt;"&amp;J726)+COUNTIFS($I$722:I726,"&gt;0",$J$722:J726,J726))))</x:f>
        <x:v>6</x:v>
      </x:c>
      <x:c r="P726" s="22" t="n">
        <x:f>IF(T726="Ready",MIN(U726,MAX(0,G726-SUMIFS($U$722:$U$726,$O$722:$O$726,"&lt;"&amp;O726))),"n.a.")</x:f>
        <x:v>0</x:v>
      </x:c>
      <x:c r="Q726" s="22" t="n">
        <x:f>IF(T726="Ready",ROUND(N726+P726,2),"n.a.")</x:f>
        <x:v>0</x:v>
      </x:c>
      <x:c r="R726" s="22" t="n">
        <x:f>IF(T726="Ready",ROUND(Q726-M726,2),"n.a.")</x:f>
        <x:v>0</x:v>
      </x:c>
      <x:c r="S726" s="22" t="n">
        <x:f>IF(T726="Ready",MAX(0,ROUND(I726+M726-Q726,2)),"n.a.")</x:f>
        <x:v>0</x:v>
      </x:c>
      <x:c r="T726" s="22" t="str">
        <x:f>IF(AND(COUNT($I$722:$I$726)=5,COUNT(E726:F726)=2),IF(E726&gt;=F726,"Ready","Budget below minima"),"Check inputs")</x:f>
        <x:v>Ready</x:v>
      </x:c>
      <x:c r="U726" s="22" t="n">
        <x:f>IF(COUNT(I726,M726,N726)=3,MAX(0,ROUND(I726+M726-N726,2)),"n.a.")</x:f>
        <x:v>0</x:v>
      </x:c>
    </x:row>
    <x:row r="727" ht="22" customHeight="1">
      <x:c r="A727" s="2"/>
      <x:c r="B727" s="2"/>
      <x:c r="C727" s="27" t="n">
        <x:f>145</x:f>
        <x:v>145</x:v>
      </x:c>
      <x:c r="D727" s="28" t="n">
        <x:f>IF(ISNUMBER('Inputs'!$D$7),EDATE('Inputs'!$D$7,144),"n.a.")</x:f>
        <x:v>50710</x:v>
      </x:c>
      <x:c r="E727" s="26" t="n">
        <x:f>IF('Inputs'!$D$9&lt;&gt;"Ready","n.a.",IF(ISNUMBER('Inputs'!E163),IF('Inputs'!E163&gt;=0,'Inputs'!E163,"n.a."),IF('Inputs'!E163="",'Inputs'!$D$6,"n.a.")))</x:f>
        <x:v>500</x:v>
      </x:c>
      <x:c r="F727" s="22" t="n">
        <x:f>IF(COUNT($N$727:$N$731)=5,SUM($N$727:$N$731),"n.a.")</x:f>
        <x:v>0</x:v>
      </x:c>
      <x:c r="G727" s="22" t="n">
        <x:f>IF(COUNT(E727:F727)=2,MAX(0,E727-F727),"n.a.")</x:f>
        <x:v>500</x:v>
      </x:c>
      <x:c r="H727" s="26" t="str">
        <x:f>'Inputs'!C11</x:f>
        <x:v>Card A</x:v>
      </x:c>
      <x:c r="I727" s="26" t="n">
        <x:f>S722</x:f>
        <x:v>0</x:v>
      </x:c>
      <x:c r="J727" s="29" t="n">
        <x:f>IF('Inputs'!$D$9="Ready",'Inputs'!E11,"n.a.")</x:f>
        <x:v>0.24</x:v>
      </x:c>
      <x:c r="K727" s="26" t="n">
        <x:f>IF('Inputs'!$D$9="Ready",'Inputs'!F11,"n.a.")</x:f>
        <x:v>35</x:v>
      </x:c>
      <x:c r="L727" s="29" t="n">
        <x:f>IF('Inputs'!$D$9="Ready",'Inputs'!G11,"n.a.")</x:f>
        <x:v>0.02</x:v>
      </x:c>
      <x:c r="M727" s="22" t="n">
        <x:f>IF(COUNT(I727:L727)=4,ROUND(I727*J727/12,2),"n.a.")</x:f>
        <x:v>0</x:v>
      </x:c>
      <x:c r="N727" s="22" t="n">
        <x:f>IF(COUNT(I727:M727)=5,MIN(I727+M727,ROUND(MAX(K727,I727*L727+M727),2)),"n.a.")</x:f>
        <x:v>0</x:v>
      </x:c>
      <x:c r="O727" s="30" t="n">
        <x:f>IF(COUNT($I$727:$I$731)&lt;&gt;5,"n.a.",IF(I727=0,6,IF('Inputs'!$D$5=1,COUNTIFS($I$727:$I$731,"&gt;0",$I$727:$I$731,"&lt;"&amp;I727)+COUNTIFS($I$727:I727,I727),COUNTIFS($I$727:$I$731,"&gt;0",$J$727:$J$731,"&gt;"&amp;J727)+COUNTIFS($I$727:I727,"&gt;0",$J$727:J727,J727))))</x:f>
        <x:v>6</x:v>
      </x:c>
      <x:c r="P727" s="22" t="n">
        <x:f>IF(T727="Ready",MIN(U727,MAX(0,G727-SUMIFS($U$727:$U$731,$O$727:$O$731,"&lt;"&amp;O727))),"n.a.")</x:f>
        <x:v>0</x:v>
      </x:c>
      <x:c r="Q727" s="22" t="n">
        <x:f>IF(T727="Ready",ROUND(N727+P727,2),"n.a.")</x:f>
        <x:v>0</x:v>
      </x:c>
      <x:c r="R727" s="22" t="n">
        <x:f>IF(T727="Ready",ROUND(Q727-M727,2),"n.a.")</x:f>
        <x:v>0</x:v>
      </x:c>
      <x:c r="S727" s="22" t="n">
        <x:f>IF(T727="Ready",MAX(0,ROUND(I727+M727-Q727,2)),"n.a.")</x:f>
        <x:v>0</x:v>
      </x:c>
      <x:c r="T727" s="22" t="str">
        <x:f>IF(AND(COUNT($I$727:$I$731)=5,COUNT(E727:F727)=2),IF(E727&gt;=F727,"Ready","Budget below minima"),"Check inputs")</x:f>
        <x:v>Ready</x:v>
      </x:c>
      <x:c r="U727" s="22" t="n">
        <x:f>IF(COUNT(I727,M727,N727)=3,MAX(0,ROUND(I727+M727-N727,2)),"n.a.")</x:f>
        <x:v>0</x:v>
      </x:c>
    </x:row>
    <x:row r="728" ht="22" customHeight="1">
      <x:c r="A728" s="2"/>
      <x:c r="B728" s="2"/>
      <x:c r="C728" s="27" t="n">
        <x:f>145</x:f>
        <x:v>145</x:v>
      </x:c>
      <x:c r="D728" s="28" t="n">
        <x:f>IF(ISNUMBER('Inputs'!$D$7),EDATE('Inputs'!$D$7,144),"n.a.")</x:f>
        <x:v>50710</x:v>
      </x:c>
      <x:c r="E728" s="26" t="n">
        <x:f>IF('Inputs'!$D$9&lt;&gt;"Ready","n.a.",IF(ISNUMBER('Inputs'!E163),IF('Inputs'!E163&gt;=0,'Inputs'!E163,"n.a."),IF('Inputs'!E163="",'Inputs'!$D$6,"n.a.")))</x:f>
        <x:v>500</x:v>
      </x:c>
      <x:c r="F728" s="22" t="n">
        <x:f>IF(COUNT($N$727:$N$731)=5,SUM($N$727:$N$731),"n.a.")</x:f>
        <x:v>0</x:v>
      </x:c>
      <x:c r="G728" s="22" t="n">
        <x:f>IF(COUNT(E728:F728)=2,MAX(0,E728-F728),"n.a.")</x:f>
        <x:v>500</x:v>
      </x:c>
      <x:c r="H728" s="26" t="str">
        <x:f>'Inputs'!C12</x:f>
        <x:v>Card B</x:v>
      </x:c>
      <x:c r="I728" s="26" t="n">
        <x:f>S723</x:f>
        <x:v>0</x:v>
      </x:c>
      <x:c r="J728" s="29" t="n">
        <x:f>IF('Inputs'!$D$9="Ready",'Inputs'!E12,"n.a.")</x:f>
        <x:v>0.18</x:v>
      </x:c>
      <x:c r="K728" s="26" t="n">
        <x:f>IF('Inputs'!$D$9="Ready",'Inputs'!F12,"n.a.")</x:f>
        <x:v>60</x:v>
      </x:c>
      <x:c r="L728" s="29" t="n">
        <x:f>IF('Inputs'!$D$9="Ready",'Inputs'!G12,"n.a.")</x:f>
        <x:v>0.02</x:v>
      </x:c>
      <x:c r="M728" s="22" t="n">
        <x:f>IF(COUNT(I728:L728)=4,ROUND(I728*J728/12,2),"n.a.")</x:f>
        <x:v>0</x:v>
      </x:c>
      <x:c r="N728" s="22" t="n">
        <x:f>IF(COUNT(I728:M728)=5,MIN(I728+M728,ROUND(MAX(K728,I728*L728+M728),2)),"n.a.")</x:f>
        <x:v>0</x:v>
      </x:c>
      <x:c r="O728" s="30" t="n">
        <x:f>IF(COUNT($I$727:$I$731)&lt;&gt;5,"n.a.",IF(I728=0,6,IF('Inputs'!$D$5=1,COUNTIFS($I$727:$I$731,"&gt;0",$I$727:$I$731,"&lt;"&amp;I728)+COUNTIFS($I$727:I728,I728),COUNTIFS($I$727:$I$731,"&gt;0",$J$727:$J$731,"&gt;"&amp;J728)+COUNTIFS($I$727:I728,"&gt;0",$J$727:J728,J728))))</x:f>
        <x:v>6</x:v>
      </x:c>
      <x:c r="P728" s="22" t="n">
        <x:f>IF(T728="Ready",MIN(U728,MAX(0,G728-SUMIFS($U$727:$U$731,$O$727:$O$731,"&lt;"&amp;O728))),"n.a.")</x:f>
        <x:v>0</x:v>
      </x:c>
      <x:c r="Q728" s="22" t="n">
        <x:f>IF(T728="Ready",ROUND(N728+P728,2),"n.a.")</x:f>
        <x:v>0</x:v>
      </x:c>
      <x:c r="R728" s="22" t="n">
        <x:f>IF(T728="Ready",ROUND(Q728-M728,2),"n.a.")</x:f>
        <x:v>0</x:v>
      </x:c>
      <x:c r="S728" s="22" t="n">
        <x:f>IF(T728="Ready",MAX(0,ROUND(I728+M728-Q728,2)),"n.a.")</x:f>
        <x:v>0</x:v>
      </x:c>
      <x:c r="T728" s="22" t="str">
        <x:f>IF(AND(COUNT($I$727:$I$731)=5,COUNT(E728:F728)=2),IF(E728&gt;=F728,"Ready","Budget below minima"),"Check inputs")</x:f>
        <x:v>Ready</x:v>
      </x:c>
      <x:c r="U728" s="22" t="n">
        <x:f>IF(COUNT(I728,M728,N728)=3,MAX(0,ROUND(I728+M728-N728,2)),"n.a.")</x:f>
        <x:v>0</x:v>
      </x:c>
    </x:row>
    <x:row r="729" ht="22" customHeight="1">
      <x:c r="A729" s="2"/>
      <x:c r="B729" s="2"/>
      <x:c r="C729" s="27" t="n">
        <x:f>145</x:f>
        <x:v>145</x:v>
      </x:c>
      <x:c r="D729" s="28" t="n">
        <x:f>IF(ISNUMBER('Inputs'!$D$7),EDATE('Inputs'!$D$7,144),"n.a.")</x:f>
        <x:v>50710</x:v>
      </x:c>
      <x:c r="E729" s="26" t="n">
        <x:f>IF('Inputs'!$D$9&lt;&gt;"Ready","n.a.",IF(ISNUMBER('Inputs'!E163),IF('Inputs'!E163&gt;=0,'Inputs'!E163,"n.a."),IF('Inputs'!E163="",'Inputs'!$D$6,"n.a.")))</x:f>
        <x:v>500</x:v>
      </x:c>
      <x:c r="F729" s="22" t="n">
        <x:f>IF(COUNT($N$727:$N$731)=5,SUM($N$727:$N$731),"n.a.")</x:f>
        <x:v>0</x:v>
      </x:c>
      <x:c r="G729" s="22" t="n">
        <x:f>IF(COUNT(E729:F729)=2,MAX(0,E729-F729),"n.a.")</x:f>
        <x:v>500</x:v>
      </x:c>
      <x:c r="H729" s="26" t="str">
        <x:f>'Inputs'!C13</x:f>
        <x:v>Loan C</x:v>
      </x:c>
      <x:c r="I729" s="26" t="n">
        <x:f>S724</x:f>
        <x:v>0</x:v>
      </x:c>
      <x:c r="J729" s="29" t="n">
        <x:f>IF('Inputs'!$D$9="Ready",'Inputs'!E13,"n.a.")</x:f>
        <x:v>0.08</x:v>
      </x:c>
      <x:c r="K729" s="26" t="n">
        <x:f>IF('Inputs'!$D$9="Ready",'Inputs'!F13,"n.a.")</x:f>
        <x:v>150</x:v>
      </x:c>
      <x:c r="L729" s="29" t="n">
        <x:f>IF('Inputs'!$D$9="Ready",'Inputs'!G13,"n.a.")</x:f>
        <x:v>0</x:v>
      </x:c>
      <x:c r="M729" s="22" t="n">
        <x:f>IF(COUNT(I729:L729)=4,ROUND(I729*J729/12,2),"n.a.")</x:f>
        <x:v>0</x:v>
      </x:c>
      <x:c r="N729" s="22" t="n">
        <x:f>IF(COUNT(I729:M729)=5,MIN(I729+M729,ROUND(MAX(K729,I729*L729+M729),2)),"n.a.")</x:f>
        <x:v>0</x:v>
      </x:c>
      <x:c r="O729" s="30" t="n">
        <x:f>IF(COUNT($I$727:$I$731)&lt;&gt;5,"n.a.",IF(I729=0,6,IF('Inputs'!$D$5=1,COUNTIFS($I$727:$I$731,"&gt;0",$I$727:$I$731,"&lt;"&amp;I729)+COUNTIFS($I$727:I729,I729),COUNTIFS($I$727:$I$731,"&gt;0",$J$727:$J$731,"&gt;"&amp;J729)+COUNTIFS($I$727:I729,"&gt;0",$J$727:J729,J729))))</x:f>
        <x:v>6</x:v>
      </x:c>
      <x:c r="P729" s="22" t="n">
        <x:f>IF(T729="Ready",MIN(U729,MAX(0,G729-SUMIFS($U$727:$U$731,$O$727:$O$731,"&lt;"&amp;O729))),"n.a.")</x:f>
        <x:v>0</x:v>
      </x:c>
      <x:c r="Q729" s="22" t="n">
        <x:f>IF(T729="Ready",ROUND(N729+P729,2),"n.a.")</x:f>
        <x:v>0</x:v>
      </x:c>
      <x:c r="R729" s="22" t="n">
        <x:f>IF(T729="Ready",ROUND(Q729-M729,2),"n.a.")</x:f>
        <x:v>0</x:v>
      </x:c>
      <x:c r="S729" s="22" t="n">
        <x:f>IF(T729="Ready",MAX(0,ROUND(I729+M729-Q729,2)),"n.a.")</x:f>
        <x:v>0</x:v>
      </x:c>
      <x:c r="T729" s="22" t="str">
        <x:f>IF(AND(COUNT($I$727:$I$731)=5,COUNT(E729:F729)=2),IF(E729&gt;=F729,"Ready","Budget below minima"),"Check inputs")</x:f>
        <x:v>Ready</x:v>
      </x:c>
      <x:c r="U729" s="22" t="n">
        <x:f>IF(COUNT(I729,M729,N729)=3,MAX(0,ROUND(I729+M729-N729,2)),"n.a.")</x:f>
        <x:v>0</x:v>
      </x:c>
    </x:row>
    <x:row r="730" ht="22" customHeight="1">
      <x:c r="A730" s="2"/>
      <x:c r="B730" s="2"/>
      <x:c r="C730" s="27" t="n">
        <x:f>145</x:f>
        <x:v>145</x:v>
      </x:c>
      <x:c r="D730" s="28" t="n">
        <x:f>IF(ISNUMBER('Inputs'!$D$7),EDATE('Inputs'!$D$7,144),"n.a.")</x:f>
        <x:v>50710</x:v>
      </x:c>
      <x:c r="E730" s="26" t="n">
        <x:f>IF('Inputs'!$D$9&lt;&gt;"Ready","n.a.",IF(ISNUMBER('Inputs'!E163),IF('Inputs'!E163&gt;=0,'Inputs'!E163,"n.a."),IF('Inputs'!E163="",'Inputs'!$D$6,"n.a.")))</x:f>
        <x:v>500</x:v>
      </x:c>
      <x:c r="F730" s="22" t="n">
        <x:f>IF(COUNT($N$727:$N$731)=5,SUM($N$727:$N$731),"n.a.")</x:f>
        <x:v>0</x:v>
      </x:c>
      <x:c r="G730" s="22" t="n">
        <x:f>IF(COUNT(E730:F730)=2,MAX(0,E730-F730),"n.a.")</x:f>
        <x:v>500</x:v>
      </x:c>
      <x:c r="H730" s="26" t="str">
        <x:f>'Inputs'!C14</x:f>
        <x:v>Unused 4</x:v>
      </x:c>
      <x:c r="I730" s="26" t="n">
        <x:f>S725</x:f>
        <x:v>0</x:v>
      </x:c>
      <x:c r="J730" s="29" t="n">
        <x:f>IF('Inputs'!$D$9="Ready",'Inputs'!E14,"n.a.")</x:f>
        <x:v>0</x:v>
      </x:c>
      <x:c r="K730" s="26" t="n">
        <x:f>IF('Inputs'!$D$9="Ready",'Inputs'!F14,"n.a.")</x:f>
        <x:v>0</x:v>
      </x:c>
      <x:c r="L730" s="29" t="n">
        <x:f>IF('Inputs'!$D$9="Ready",'Inputs'!G14,"n.a.")</x:f>
        <x:v>0</x:v>
      </x:c>
      <x:c r="M730" s="22" t="n">
        <x:f>IF(COUNT(I730:L730)=4,ROUND(I730*J730/12,2),"n.a.")</x:f>
        <x:v>0</x:v>
      </x:c>
      <x:c r="N730" s="22" t="n">
        <x:f>IF(COUNT(I730:M730)=5,MIN(I730+M730,ROUND(MAX(K730,I730*L730+M730),2)),"n.a.")</x:f>
        <x:v>0</x:v>
      </x:c>
      <x:c r="O730" s="30" t="n">
        <x:f>IF(COUNT($I$727:$I$731)&lt;&gt;5,"n.a.",IF(I730=0,6,IF('Inputs'!$D$5=1,COUNTIFS($I$727:$I$731,"&gt;0",$I$727:$I$731,"&lt;"&amp;I730)+COUNTIFS($I$727:I730,I730),COUNTIFS($I$727:$I$731,"&gt;0",$J$727:$J$731,"&gt;"&amp;J730)+COUNTIFS($I$727:I730,"&gt;0",$J$727:J730,J730))))</x:f>
        <x:v>6</x:v>
      </x:c>
      <x:c r="P730" s="22" t="n">
        <x:f>IF(T730="Ready",MIN(U730,MAX(0,G730-SUMIFS($U$727:$U$731,$O$727:$O$731,"&lt;"&amp;O730))),"n.a.")</x:f>
        <x:v>0</x:v>
      </x:c>
      <x:c r="Q730" s="22" t="n">
        <x:f>IF(T730="Ready",ROUND(N730+P730,2),"n.a.")</x:f>
        <x:v>0</x:v>
      </x:c>
      <x:c r="R730" s="22" t="n">
        <x:f>IF(T730="Ready",ROUND(Q730-M730,2),"n.a.")</x:f>
        <x:v>0</x:v>
      </x:c>
      <x:c r="S730" s="22" t="n">
        <x:f>IF(T730="Ready",MAX(0,ROUND(I730+M730-Q730,2)),"n.a.")</x:f>
        <x:v>0</x:v>
      </x:c>
      <x:c r="T730" s="22" t="str">
        <x:f>IF(AND(COUNT($I$727:$I$731)=5,COUNT(E730:F730)=2),IF(E730&gt;=F730,"Ready","Budget below minima"),"Check inputs")</x:f>
        <x:v>Ready</x:v>
      </x:c>
      <x:c r="U730" s="22" t="n">
        <x:f>IF(COUNT(I730,M730,N730)=3,MAX(0,ROUND(I730+M730-N730,2)),"n.a.")</x:f>
        <x:v>0</x:v>
      </x:c>
    </x:row>
    <x:row r="731" ht="22" customHeight="1">
      <x:c r="A731" s="2"/>
      <x:c r="B731" s="2"/>
      <x:c r="C731" s="27" t="n">
        <x:f>145</x:f>
        <x:v>145</x:v>
      </x:c>
      <x:c r="D731" s="28" t="n">
        <x:f>IF(ISNUMBER('Inputs'!$D$7),EDATE('Inputs'!$D$7,144),"n.a.")</x:f>
        <x:v>50710</x:v>
      </x:c>
      <x:c r="E731" s="26" t="n">
        <x:f>IF('Inputs'!$D$9&lt;&gt;"Ready","n.a.",IF(ISNUMBER('Inputs'!E163),IF('Inputs'!E163&gt;=0,'Inputs'!E163,"n.a."),IF('Inputs'!E163="",'Inputs'!$D$6,"n.a.")))</x:f>
        <x:v>500</x:v>
      </x:c>
      <x:c r="F731" s="22" t="n">
        <x:f>IF(COUNT($N$727:$N$731)=5,SUM($N$727:$N$731),"n.a.")</x:f>
        <x:v>0</x:v>
      </x:c>
      <x:c r="G731" s="22" t="n">
        <x:f>IF(COUNT(E731:F731)=2,MAX(0,E731-F731),"n.a.")</x:f>
        <x:v>500</x:v>
      </x:c>
      <x:c r="H731" s="26" t="str">
        <x:f>'Inputs'!C15</x:f>
        <x:v>Unused 5</x:v>
      </x:c>
      <x:c r="I731" s="26" t="n">
        <x:f>S726</x:f>
        <x:v>0</x:v>
      </x:c>
      <x:c r="J731" s="29" t="n">
        <x:f>IF('Inputs'!$D$9="Ready",'Inputs'!E15,"n.a.")</x:f>
        <x:v>0</x:v>
      </x:c>
      <x:c r="K731" s="26" t="n">
        <x:f>IF('Inputs'!$D$9="Ready",'Inputs'!F15,"n.a.")</x:f>
        <x:v>0</x:v>
      </x:c>
      <x:c r="L731" s="29" t="n">
        <x:f>IF('Inputs'!$D$9="Ready",'Inputs'!G15,"n.a.")</x:f>
        <x:v>0</x:v>
      </x:c>
      <x:c r="M731" s="22" t="n">
        <x:f>IF(COUNT(I731:L731)=4,ROUND(I731*J731/12,2),"n.a.")</x:f>
        <x:v>0</x:v>
      </x:c>
      <x:c r="N731" s="22" t="n">
        <x:f>IF(COUNT(I731:M731)=5,MIN(I731+M731,ROUND(MAX(K731,I731*L731+M731),2)),"n.a.")</x:f>
        <x:v>0</x:v>
      </x:c>
      <x:c r="O731" s="30" t="n">
        <x:f>IF(COUNT($I$727:$I$731)&lt;&gt;5,"n.a.",IF(I731=0,6,IF('Inputs'!$D$5=1,COUNTIFS($I$727:$I$731,"&gt;0",$I$727:$I$731,"&lt;"&amp;I731)+COUNTIFS($I$727:I731,I731),COUNTIFS($I$727:$I$731,"&gt;0",$J$727:$J$731,"&gt;"&amp;J731)+COUNTIFS($I$727:I731,"&gt;0",$J$727:J731,J731))))</x:f>
        <x:v>6</x:v>
      </x:c>
      <x:c r="P731" s="22" t="n">
        <x:f>IF(T731="Ready",MIN(U731,MAX(0,G731-SUMIFS($U$727:$U$731,$O$727:$O$731,"&lt;"&amp;O731))),"n.a.")</x:f>
        <x:v>0</x:v>
      </x:c>
      <x:c r="Q731" s="22" t="n">
        <x:f>IF(T731="Ready",ROUND(N731+P731,2),"n.a.")</x:f>
        <x:v>0</x:v>
      </x:c>
      <x:c r="R731" s="22" t="n">
        <x:f>IF(T731="Ready",ROUND(Q731-M731,2),"n.a.")</x:f>
        <x:v>0</x:v>
      </x:c>
      <x:c r="S731" s="22" t="n">
        <x:f>IF(T731="Ready",MAX(0,ROUND(I731+M731-Q731,2)),"n.a.")</x:f>
        <x:v>0</x:v>
      </x:c>
      <x:c r="T731" s="22" t="str">
        <x:f>IF(AND(COUNT($I$727:$I$731)=5,COUNT(E731:F731)=2),IF(E731&gt;=F731,"Ready","Budget below minima"),"Check inputs")</x:f>
        <x:v>Ready</x:v>
      </x:c>
      <x:c r="U731" s="22" t="n">
        <x:f>IF(COUNT(I731,M731,N731)=3,MAX(0,ROUND(I731+M731-N731,2)),"n.a.")</x:f>
        <x:v>0</x:v>
      </x:c>
    </x:row>
    <x:row r="732" ht="22" customHeight="1">
      <x:c r="A732" s="2"/>
      <x:c r="B732" s="2"/>
      <x:c r="C732" s="27" t="n">
        <x:f>146</x:f>
        <x:v>146</x:v>
      </x:c>
      <x:c r="D732" s="28" t="n">
        <x:f>IF(ISNUMBER('Inputs'!$D$7),EDATE('Inputs'!$D$7,145),"n.a.")</x:f>
        <x:v>50740</x:v>
      </x:c>
      <x:c r="E732" s="26" t="n">
        <x:f>IF('Inputs'!$D$9&lt;&gt;"Ready","n.a.",IF(ISNUMBER('Inputs'!E164),IF('Inputs'!E164&gt;=0,'Inputs'!E164,"n.a."),IF('Inputs'!E164="",'Inputs'!$D$6,"n.a.")))</x:f>
        <x:v>500</x:v>
      </x:c>
      <x:c r="F732" s="22" t="n">
        <x:f>IF(COUNT($N$732:$N$736)=5,SUM($N$732:$N$736),"n.a.")</x:f>
        <x:v>0</x:v>
      </x:c>
      <x:c r="G732" s="22" t="n">
        <x:f>IF(COUNT(E732:F732)=2,MAX(0,E732-F732),"n.a.")</x:f>
        <x:v>500</x:v>
      </x:c>
      <x:c r="H732" s="26" t="str">
        <x:f>'Inputs'!C11</x:f>
        <x:v>Card A</x:v>
      </x:c>
      <x:c r="I732" s="26" t="n">
        <x:f>S727</x:f>
        <x:v>0</x:v>
      </x:c>
      <x:c r="J732" s="29" t="n">
        <x:f>IF('Inputs'!$D$9="Ready",'Inputs'!E11,"n.a.")</x:f>
        <x:v>0.24</x:v>
      </x:c>
      <x:c r="K732" s="26" t="n">
        <x:f>IF('Inputs'!$D$9="Ready",'Inputs'!F11,"n.a.")</x:f>
        <x:v>35</x:v>
      </x:c>
      <x:c r="L732" s="29" t="n">
        <x:f>IF('Inputs'!$D$9="Ready",'Inputs'!G11,"n.a.")</x:f>
        <x:v>0.02</x:v>
      </x:c>
      <x:c r="M732" s="22" t="n">
        <x:f>IF(COUNT(I732:L732)=4,ROUND(I732*J732/12,2),"n.a.")</x:f>
        <x:v>0</x:v>
      </x:c>
      <x:c r="N732" s="22" t="n">
        <x:f>IF(COUNT(I732:M732)=5,MIN(I732+M732,ROUND(MAX(K732,I732*L732+M732),2)),"n.a.")</x:f>
        <x:v>0</x:v>
      </x:c>
      <x:c r="O732" s="30" t="n">
        <x:f>IF(COUNT($I$732:$I$736)&lt;&gt;5,"n.a.",IF(I732=0,6,IF('Inputs'!$D$5=1,COUNTIFS($I$732:$I$736,"&gt;0",$I$732:$I$736,"&lt;"&amp;I732)+COUNTIFS($I$732:I732,I732),COUNTIFS($I$732:$I$736,"&gt;0",$J$732:$J$736,"&gt;"&amp;J732)+COUNTIFS($I$732:I732,"&gt;0",$J$732:J732,J732))))</x:f>
        <x:v>6</x:v>
      </x:c>
      <x:c r="P732" s="22" t="n">
        <x:f>IF(T732="Ready",MIN(U732,MAX(0,G732-SUMIFS($U$732:$U$736,$O$732:$O$736,"&lt;"&amp;O732))),"n.a.")</x:f>
        <x:v>0</x:v>
      </x:c>
      <x:c r="Q732" s="22" t="n">
        <x:f>IF(T732="Ready",ROUND(N732+P732,2),"n.a.")</x:f>
        <x:v>0</x:v>
      </x:c>
      <x:c r="R732" s="22" t="n">
        <x:f>IF(T732="Ready",ROUND(Q732-M732,2),"n.a.")</x:f>
        <x:v>0</x:v>
      </x:c>
      <x:c r="S732" s="22" t="n">
        <x:f>IF(T732="Ready",MAX(0,ROUND(I732+M732-Q732,2)),"n.a.")</x:f>
        <x:v>0</x:v>
      </x:c>
      <x:c r="T732" s="22" t="str">
        <x:f>IF(AND(COUNT($I$732:$I$736)=5,COUNT(E732:F732)=2),IF(E732&gt;=F732,"Ready","Budget below minima"),"Check inputs")</x:f>
        <x:v>Ready</x:v>
      </x:c>
      <x:c r="U732" s="22" t="n">
        <x:f>IF(COUNT(I732,M732,N732)=3,MAX(0,ROUND(I732+M732-N732,2)),"n.a.")</x:f>
        <x:v>0</x:v>
      </x:c>
    </x:row>
    <x:row r="733" ht="22" customHeight="1">
      <x:c r="A733" s="2"/>
      <x:c r="B733" s="2"/>
      <x:c r="C733" s="27" t="n">
        <x:f>146</x:f>
        <x:v>146</x:v>
      </x:c>
      <x:c r="D733" s="28" t="n">
        <x:f>IF(ISNUMBER('Inputs'!$D$7),EDATE('Inputs'!$D$7,145),"n.a.")</x:f>
        <x:v>50740</x:v>
      </x:c>
      <x:c r="E733" s="26" t="n">
        <x:f>IF('Inputs'!$D$9&lt;&gt;"Ready","n.a.",IF(ISNUMBER('Inputs'!E164),IF('Inputs'!E164&gt;=0,'Inputs'!E164,"n.a."),IF('Inputs'!E164="",'Inputs'!$D$6,"n.a.")))</x:f>
        <x:v>500</x:v>
      </x:c>
      <x:c r="F733" s="22" t="n">
        <x:f>IF(COUNT($N$732:$N$736)=5,SUM($N$732:$N$736),"n.a.")</x:f>
        <x:v>0</x:v>
      </x:c>
      <x:c r="G733" s="22" t="n">
        <x:f>IF(COUNT(E733:F733)=2,MAX(0,E733-F733),"n.a.")</x:f>
        <x:v>500</x:v>
      </x:c>
      <x:c r="H733" s="26" t="str">
        <x:f>'Inputs'!C12</x:f>
        <x:v>Card B</x:v>
      </x:c>
      <x:c r="I733" s="26" t="n">
        <x:f>S728</x:f>
        <x:v>0</x:v>
      </x:c>
      <x:c r="J733" s="29" t="n">
        <x:f>IF('Inputs'!$D$9="Ready",'Inputs'!E12,"n.a.")</x:f>
        <x:v>0.18</x:v>
      </x:c>
      <x:c r="K733" s="26" t="n">
        <x:f>IF('Inputs'!$D$9="Ready",'Inputs'!F12,"n.a.")</x:f>
        <x:v>60</x:v>
      </x:c>
      <x:c r="L733" s="29" t="n">
        <x:f>IF('Inputs'!$D$9="Ready",'Inputs'!G12,"n.a.")</x:f>
        <x:v>0.02</x:v>
      </x:c>
      <x:c r="M733" s="22" t="n">
        <x:f>IF(COUNT(I733:L733)=4,ROUND(I733*J733/12,2),"n.a.")</x:f>
        <x:v>0</x:v>
      </x:c>
      <x:c r="N733" s="22" t="n">
        <x:f>IF(COUNT(I733:M733)=5,MIN(I733+M733,ROUND(MAX(K733,I733*L733+M733),2)),"n.a.")</x:f>
        <x:v>0</x:v>
      </x:c>
      <x:c r="O733" s="30" t="n">
        <x:f>IF(COUNT($I$732:$I$736)&lt;&gt;5,"n.a.",IF(I733=0,6,IF('Inputs'!$D$5=1,COUNTIFS($I$732:$I$736,"&gt;0",$I$732:$I$736,"&lt;"&amp;I733)+COUNTIFS($I$732:I733,I733),COUNTIFS($I$732:$I$736,"&gt;0",$J$732:$J$736,"&gt;"&amp;J733)+COUNTIFS($I$732:I733,"&gt;0",$J$732:J733,J733))))</x:f>
        <x:v>6</x:v>
      </x:c>
      <x:c r="P733" s="22" t="n">
        <x:f>IF(T733="Ready",MIN(U733,MAX(0,G733-SUMIFS($U$732:$U$736,$O$732:$O$736,"&lt;"&amp;O733))),"n.a.")</x:f>
        <x:v>0</x:v>
      </x:c>
      <x:c r="Q733" s="22" t="n">
        <x:f>IF(T733="Ready",ROUND(N733+P733,2),"n.a.")</x:f>
        <x:v>0</x:v>
      </x:c>
      <x:c r="R733" s="22" t="n">
        <x:f>IF(T733="Ready",ROUND(Q733-M733,2),"n.a.")</x:f>
        <x:v>0</x:v>
      </x:c>
      <x:c r="S733" s="22" t="n">
        <x:f>IF(T733="Ready",MAX(0,ROUND(I733+M733-Q733,2)),"n.a.")</x:f>
        <x:v>0</x:v>
      </x:c>
      <x:c r="T733" s="22" t="str">
        <x:f>IF(AND(COUNT($I$732:$I$736)=5,COUNT(E733:F733)=2),IF(E733&gt;=F733,"Ready","Budget below minima"),"Check inputs")</x:f>
        <x:v>Ready</x:v>
      </x:c>
      <x:c r="U733" s="22" t="n">
        <x:f>IF(COUNT(I733,M733,N733)=3,MAX(0,ROUND(I733+M733-N733,2)),"n.a.")</x:f>
        <x:v>0</x:v>
      </x:c>
    </x:row>
    <x:row r="734" ht="22" customHeight="1">
      <x:c r="A734" s="2"/>
      <x:c r="B734" s="2"/>
      <x:c r="C734" s="27" t="n">
        <x:f>146</x:f>
        <x:v>146</x:v>
      </x:c>
      <x:c r="D734" s="28" t="n">
        <x:f>IF(ISNUMBER('Inputs'!$D$7),EDATE('Inputs'!$D$7,145),"n.a.")</x:f>
        <x:v>50740</x:v>
      </x:c>
      <x:c r="E734" s="26" t="n">
        <x:f>IF('Inputs'!$D$9&lt;&gt;"Ready","n.a.",IF(ISNUMBER('Inputs'!E164),IF('Inputs'!E164&gt;=0,'Inputs'!E164,"n.a."),IF('Inputs'!E164="",'Inputs'!$D$6,"n.a.")))</x:f>
        <x:v>500</x:v>
      </x:c>
      <x:c r="F734" s="22" t="n">
        <x:f>IF(COUNT($N$732:$N$736)=5,SUM($N$732:$N$736),"n.a.")</x:f>
        <x:v>0</x:v>
      </x:c>
      <x:c r="G734" s="22" t="n">
        <x:f>IF(COUNT(E734:F734)=2,MAX(0,E734-F734),"n.a.")</x:f>
        <x:v>500</x:v>
      </x:c>
      <x:c r="H734" s="26" t="str">
        <x:f>'Inputs'!C13</x:f>
        <x:v>Loan C</x:v>
      </x:c>
      <x:c r="I734" s="26" t="n">
        <x:f>S729</x:f>
        <x:v>0</x:v>
      </x:c>
      <x:c r="J734" s="29" t="n">
        <x:f>IF('Inputs'!$D$9="Ready",'Inputs'!E13,"n.a.")</x:f>
        <x:v>0.08</x:v>
      </x:c>
      <x:c r="K734" s="26" t="n">
        <x:f>IF('Inputs'!$D$9="Ready",'Inputs'!F13,"n.a.")</x:f>
        <x:v>150</x:v>
      </x:c>
      <x:c r="L734" s="29" t="n">
        <x:f>IF('Inputs'!$D$9="Ready",'Inputs'!G13,"n.a.")</x:f>
        <x:v>0</x:v>
      </x:c>
      <x:c r="M734" s="22" t="n">
        <x:f>IF(COUNT(I734:L734)=4,ROUND(I734*J734/12,2),"n.a.")</x:f>
        <x:v>0</x:v>
      </x:c>
      <x:c r="N734" s="22" t="n">
        <x:f>IF(COUNT(I734:M734)=5,MIN(I734+M734,ROUND(MAX(K734,I734*L734+M734),2)),"n.a.")</x:f>
        <x:v>0</x:v>
      </x:c>
      <x:c r="O734" s="30" t="n">
        <x:f>IF(COUNT($I$732:$I$736)&lt;&gt;5,"n.a.",IF(I734=0,6,IF('Inputs'!$D$5=1,COUNTIFS($I$732:$I$736,"&gt;0",$I$732:$I$736,"&lt;"&amp;I734)+COUNTIFS($I$732:I734,I734),COUNTIFS($I$732:$I$736,"&gt;0",$J$732:$J$736,"&gt;"&amp;J734)+COUNTIFS($I$732:I734,"&gt;0",$J$732:J734,J734))))</x:f>
        <x:v>6</x:v>
      </x:c>
      <x:c r="P734" s="22" t="n">
        <x:f>IF(T734="Ready",MIN(U734,MAX(0,G734-SUMIFS($U$732:$U$736,$O$732:$O$736,"&lt;"&amp;O734))),"n.a.")</x:f>
        <x:v>0</x:v>
      </x:c>
      <x:c r="Q734" s="22" t="n">
        <x:f>IF(T734="Ready",ROUND(N734+P734,2),"n.a.")</x:f>
        <x:v>0</x:v>
      </x:c>
      <x:c r="R734" s="22" t="n">
        <x:f>IF(T734="Ready",ROUND(Q734-M734,2),"n.a.")</x:f>
        <x:v>0</x:v>
      </x:c>
      <x:c r="S734" s="22" t="n">
        <x:f>IF(T734="Ready",MAX(0,ROUND(I734+M734-Q734,2)),"n.a.")</x:f>
        <x:v>0</x:v>
      </x:c>
      <x:c r="T734" s="22" t="str">
        <x:f>IF(AND(COUNT($I$732:$I$736)=5,COUNT(E734:F734)=2),IF(E734&gt;=F734,"Ready","Budget below minima"),"Check inputs")</x:f>
        <x:v>Ready</x:v>
      </x:c>
      <x:c r="U734" s="22" t="n">
        <x:f>IF(COUNT(I734,M734,N734)=3,MAX(0,ROUND(I734+M734-N734,2)),"n.a.")</x:f>
        <x:v>0</x:v>
      </x:c>
    </x:row>
    <x:row r="735" ht="22" customHeight="1">
      <x:c r="A735" s="2"/>
      <x:c r="B735" s="2"/>
      <x:c r="C735" s="27" t="n">
        <x:f>146</x:f>
        <x:v>146</x:v>
      </x:c>
      <x:c r="D735" s="28" t="n">
        <x:f>IF(ISNUMBER('Inputs'!$D$7),EDATE('Inputs'!$D$7,145),"n.a.")</x:f>
        <x:v>50740</x:v>
      </x:c>
      <x:c r="E735" s="26" t="n">
        <x:f>IF('Inputs'!$D$9&lt;&gt;"Ready","n.a.",IF(ISNUMBER('Inputs'!E164),IF('Inputs'!E164&gt;=0,'Inputs'!E164,"n.a."),IF('Inputs'!E164="",'Inputs'!$D$6,"n.a.")))</x:f>
        <x:v>500</x:v>
      </x:c>
      <x:c r="F735" s="22" t="n">
        <x:f>IF(COUNT($N$732:$N$736)=5,SUM($N$732:$N$736),"n.a.")</x:f>
        <x:v>0</x:v>
      </x:c>
      <x:c r="G735" s="22" t="n">
        <x:f>IF(COUNT(E735:F735)=2,MAX(0,E735-F735),"n.a.")</x:f>
        <x:v>500</x:v>
      </x:c>
      <x:c r="H735" s="26" t="str">
        <x:f>'Inputs'!C14</x:f>
        <x:v>Unused 4</x:v>
      </x:c>
      <x:c r="I735" s="26" t="n">
        <x:f>S730</x:f>
        <x:v>0</x:v>
      </x:c>
      <x:c r="J735" s="29" t="n">
        <x:f>IF('Inputs'!$D$9="Ready",'Inputs'!E14,"n.a.")</x:f>
        <x:v>0</x:v>
      </x:c>
      <x:c r="K735" s="26" t="n">
        <x:f>IF('Inputs'!$D$9="Ready",'Inputs'!F14,"n.a.")</x:f>
        <x:v>0</x:v>
      </x:c>
      <x:c r="L735" s="29" t="n">
        <x:f>IF('Inputs'!$D$9="Ready",'Inputs'!G14,"n.a.")</x:f>
        <x:v>0</x:v>
      </x:c>
      <x:c r="M735" s="22" t="n">
        <x:f>IF(COUNT(I735:L735)=4,ROUND(I735*J735/12,2),"n.a.")</x:f>
        <x:v>0</x:v>
      </x:c>
      <x:c r="N735" s="22" t="n">
        <x:f>IF(COUNT(I735:M735)=5,MIN(I735+M735,ROUND(MAX(K735,I735*L735+M735),2)),"n.a.")</x:f>
        <x:v>0</x:v>
      </x:c>
      <x:c r="O735" s="30" t="n">
        <x:f>IF(COUNT($I$732:$I$736)&lt;&gt;5,"n.a.",IF(I735=0,6,IF('Inputs'!$D$5=1,COUNTIFS($I$732:$I$736,"&gt;0",$I$732:$I$736,"&lt;"&amp;I735)+COUNTIFS($I$732:I735,I735),COUNTIFS($I$732:$I$736,"&gt;0",$J$732:$J$736,"&gt;"&amp;J735)+COUNTIFS($I$732:I735,"&gt;0",$J$732:J735,J735))))</x:f>
        <x:v>6</x:v>
      </x:c>
      <x:c r="P735" s="22" t="n">
        <x:f>IF(T735="Ready",MIN(U735,MAX(0,G735-SUMIFS($U$732:$U$736,$O$732:$O$736,"&lt;"&amp;O735))),"n.a.")</x:f>
        <x:v>0</x:v>
      </x:c>
      <x:c r="Q735" s="22" t="n">
        <x:f>IF(T735="Ready",ROUND(N735+P735,2),"n.a.")</x:f>
        <x:v>0</x:v>
      </x:c>
      <x:c r="R735" s="22" t="n">
        <x:f>IF(T735="Ready",ROUND(Q735-M735,2),"n.a.")</x:f>
        <x:v>0</x:v>
      </x:c>
      <x:c r="S735" s="22" t="n">
        <x:f>IF(T735="Ready",MAX(0,ROUND(I735+M735-Q735,2)),"n.a.")</x:f>
        <x:v>0</x:v>
      </x:c>
      <x:c r="T735" s="22" t="str">
        <x:f>IF(AND(COUNT($I$732:$I$736)=5,COUNT(E735:F735)=2),IF(E735&gt;=F735,"Ready","Budget below minima"),"Check inputs")</x:f>
        <x:v>Ready</x:v>
      </x:c>
      <x:c r="U735" s="22" t="n">
        <x:f>IF(COUNT(I735,M735,N735)=3,MAX(0,ROUND(I735+M735-N735,2)),"n.a.")</x:f>
        <x:v>0</x:v>
      </x:c>
    </x:row>
    <x:row r="736" ht="22" customHeight="1">
      <x:c r="A736" s="2"/>
      <x:c r="B736" s="2"/>
      <x:c r="C736" s="27" t="n">
        <x:f>146</x:f>
        <x:v>146</x:v>
      </x:c>
      <x:c r="D736" s="28" t="n">
        <x:f>IF(ISNUMBER('Inputs'!$D$7),EDATE('Inputs'!$D$7,145),"n.a.")</x:f>
        <x:v>50740</x:v>
      </x:c>
      <x:c r="E736" s="26" t="n">
        <x:f>IF('Inputs'!$D$9&lt;&gt;"Ready","n.a.",IF(ISNUMBER('Inputs'!E164),IF('Inputs'!E164&gt;=0,'Inputs'!E164,"n.a."),IF('Inputs'!E164="",'Inputs'!$D$6,"n.a.")))</x:f>
        <x:v>500</x:v>
      </x:c>
      <x:c r="F736" s="22" t="n">
        <x:f>IF(COUNT($N$732:$N$736)=5,SUM($N$732:$N$736),"n.a.")</x:f>
        <x:v>0</x:v>
      </x:c>
      <x:c r="G736" s="22" t="n">
        <x:f>IF(COUNT(E736:F736)=2,MAX(0,E736-F736),"n.a.")</x:f>
        <x:v>500</x:v>
      </x:c>
      <x:c r="H736" s="26" t="str">
        <x:f>'Inputs'!C15</x:f>
        <x:v>Unused 5</x:v>
      </x:c>
      <x:c r="I736" s="26" t="n">
        <x:f>S731</x:f>
        <x:v>0</x:v>
      </x:c>
      <x:c r="J736" s="29" t="n">
        <x:f>IF('Inputs'!$D$9="Ready",'Inputs'!E15,"n.a.")</x:f>
        <x:v>0</x:v>
      </x:c>
      <x:c r="K736" s="26" t="n">
        <x:f>IF('Inputs'!$D$9="Ready",'Inputs'!F15,"n.a.")</x:f>
        <x:v>0</x:v>
      </x:c>
      <x:c r="L736" s="29" t="n">
        <x:f>IF('Inputs'!$D$9="Ready",'Inputs'!G15,"n.a.")</x:f>
        <x:v>0</x:v>
      </x:c>
      <x:c r="M736" s="22" t="n">
        <x:f>IF(COUNT(I736:L736)=4,ROUND(I736*J736/12,2),"n.a.")</x:f>
        <x:v>0</x:v>
      </x:c>
      <x:c r="N736" s="22" t="n">
        <x:f>IF(COUNT(I736:M736)=5,MIN(I736+M736,ROUND(MAX(K736,I736*L736+M736),2)),"n.a.")</x:f>
        <x:v>0</x:v>
      </x:c>
      <x:c r="O736" s="30" t="n">
        <x:f>IF(COUNT($I$732:$I$736)&lt;&gt;5,"n.a.",IF(I736=0,6,IF('Inputs'!$D$5=1,COUNTIFS($I$732:$I$736,"&gt;0",$I$732:$I$736,"&lt;"&amp;I736)+COUNTIFS($I$732:I736,I736),COUNTIFS($I$732:$I$736,"&gt;0",$J$732:$J$736,"&gt;"&amp;J736)+COUNTIFS($I$732:I736,"&gt;0",$J$732:J736,J736))))</x:f>
        <x:v>6</x:v>
      </x:c>
      <x:c r="P736" s="22" t="n">
        <x:f>IF(T736="Ready",MIN(U736,MAX(0,G736-SUMIFS($U$732:$U$736,$O$732:$O$736,"&lt;"&amp;O736))),"n.a.")</x:f>
        <x:v>0</x:v>
      </x:c>
      <x:c r="Q736" s="22" t="n">
        <x:f>IF(T736="Ready",ROUND(N736+P736,2),"n.a.")</x:f>
        <x:v>0</x:v>
      </x:c>
      <x:c r="R736" s="22" t="n">
        <x:f>IF(T736="Ready",ROUND(Q736-M736,2),"n.a.")</x:f>
        <x:v>0</x:v>
      </x:c>
      <x:c r="S736" s="22" t="n">
        <x:f>IF(T736="Ready",MAX(0,ROUND(I736+M736-Q736,2)),"n.a.")</x:f>
        <x:v>0</x:v>
      </x:c>
      <x:c r="T736" s="22" t="str">
        <x:f>IF(AND(COUNT($I$732:$I$736)=5,COUNT(E736:F736)=2),IF(E736&gt;=F736,"Ready","Budget below minima"),"Check inputs")</x:f>
        <x:v>Ready</x:v>
      </x:c>
      <x:c r="U736" s="22" t="n">
        <x:f>IF(COUNT(I736,M736,N736)=3,MAX(0,ROUND(I736+M736-N736,2)),"n.a.")</x:f>
        <x:v>0</x:v>
      </x:c>
    </x:row>
    <x:row r="737" ht="22" customHeight="1">
      <x:c r="A737" s="2"/>
      <x:c r="B737" s="2"/>
      <x:c r="C737" s="27" t="n">
        <x:f>147</x:f>
        <x:v>147</x:v>
      </x:c>
      <x:c r="D737" s="28" t="n">
        <x:f>IF(ISNUMBER('Inputs'!$D$7),EDATE('Inputs'!$D$7,146),"n.a.")</x:f>
        <x:v>50771</x:v>
      </x:c>
      <x:c r="E737" s="26" t="n">
        <x:f>IF('Inputs'!$D$9&lt;&gt;"Ready","n.a.",IF(ISNUMBER('Inputs'!E165),IF('Inputs'!E165&gt;=0,'Inputs'!E165,"n.a."),IF('Inputs'!E165="",'Inputs'!$D$6,"n.a.")))</x:f>
        <x:v>500</x:v>
      </x:c>
      <x:c r="F737" s="22" t="n">
        <x:f>IF(COUNT($N$737:$N$741)=5,SUM($N$737:$N$741),"n.a.")</x:f>
        <x:v>0</x:v>
      </x:c>
      <x:c r="G737" s="22" t="n">
        <x:f>IF(COUNT(E737:F737)=2,MAX(0,E737-F737),"n.a.")</x:f>
        <x:v>500</x:v>
      </x:c>
      <x:c r="H737" s="26" t="str">
        <x:f>'Inputs'!C11</x:f>
        <x:v>Card A</x:v>
      </x:c>
      <x:c r="I737" s="26" t="n">
        <x:f>S732</x:f>
        <x:v>0</x:v>
      </x:c>
      <x:c r="J737" s="29" t="n">
        <x:f>IF('Inputs'!$D$9="Ready",'Inputs'!E11,"n.a.")</x:f>
        <x:v>0.24</x:v>
      </x:c>
      <x:c r="K737" s="26" t="n">
        <x:f>IF('Inputs'!$D$9="Ready",'Inputs'!F11,"n.a.")</x:f>
        <x:v>35</x:v>
      </x:c>
      <x:c r="L737" s="29" t="n">
        <x:f>IF('Inputs'!$D$9="Ready",'Inputs'!G11,"n.a.")</x:f>
        <x:v>0.02</x:v>
      </x:c>
      <x:c r="M737" s="22" t="n">
        <x:f>IF(COUNT(I737:L737)=4,ROUND(I737*J737/12,2),"n.a.")</x:f>
        <x:v>0</x:v>
      </x:c>
      <x:c r="N737" s="22" t="n">
        <x:f>IF(COUNT(I737:M737)=5,MIN(I737+M737,ROUND(MAX(K737,I737*L737+M737),2)),"n.a.")</x:f>
        <x:v>0</x:v>
      </x:c>
      <x:c r="O737" s="30" t="n">
        <x:f>IF(COUNT($I$737:$I$741)&lt;&gt;5,"n.a.",IF(I737=0,6,IF('Inputs'!$D$5=1,COUNTIFS($I$737:$I$741,"&gt;0",$I$737:$I$741,"&lt;"&amp;I737)+COUNTIFS($I$737:I737,I737),COUNTIFS($I$737:$I$741,"&gt;0",$J$737:$J$741,"&gt;"&amp;J737)+COUNTIFS($I$737:I737,"&gt;0",$J$737:J737,J737))))</x:f>
        <x:v>6</x:v>
      </x:c>
      <x:c r="P737" s="22" t="n">
        <x:f>IF(T737="Ready",MIN(U737,MAX(0,G737-SUMIFS($U$737:$U$741,$O$737:$O$741,"&lt;"&amp;O737))),"n.a.")</x:f>
        <x:v>0</x:v>
      </x:c>
      <x:c r="Q737" s="22" t="n">
        <x:f>IF(T737="Ready",ROUND(N737+P737,2),"n.a.")</x:f>
        <x:v>0</x:v>
      </x:c>
      <x:c r="R737" s="22" t="n">
        <x:f>IF(T737="Ready",ROUND(Q737-M737,2),"n.a.")</x:f>
        <x:v>0</x:v>
      </x:c>
      <x:c r="S737" s="22" t="n">
        <x:f>IF(T737="Ready",MAX(0,ROUND(I737+M737-Q737,2)),"n.a.")</x:f>
        <x:v>0</x:v>
      </x:c>
      <x:c r="T737" s="22" t="str">
        <x:f>IF(AND(COUNT($I$737:$I$741)=5,COUNT(E737:F737)=2),IF(E737&gt;=F737,"Ready","Budget below minima"),"Check inputs")</x:f>
        <x:v>Ready</x:v>
      </x:c>
      <x:c r="U737" s="22" t="n">
        <x:f>IF(COUNT(I737,M737,N737)=3,MAX(0,ROUND(I737+M737-N737,2)),"n.a.")</x:f>
        <x:v>0</x:v>
      </x:c>
    </x:row>
    <x:row r="738" ht="22" customHeight="1">
      <x:c r="A738" s="2"/>
      <x:c r="B738" s="2"/>
      <x:c r="C738" s="27" t="n">
        <x:f>147</x:f>
        <x:v>147</x:v>
      </x:c>
      <x:c r="D738" s="28" t="n">
        <x:f>IF(ISNUMBER('Inputs'!$D$7),EDATE('Inputs'!$D$7,146),"n.a.")</x:f>
        <x:v>50771</x:v>
      </x:c>
      <x:c r="E738" s="26" t="n">
        <x:f>IF('Inputs'!$D$9&lt;&gt;"Ready","n.a.",IF(ISNUMBER('Inputs'!E165),IF('Inputs'!E165&gt;=0,'Inputs'!E165,"n.a."),IF('Inputs'!E165="",'Inputs'!$D$6,"n.a.")))</x:f>
        <x:v>500</x:v>
      </x:c>
      <x:c r="F738" s="22" t="n">
        <x:f>IF(COUNT($N$737:$N$741)=5,SUM($N$737:$N$741),"n.a.")</x:f>
        <x:v>0</x:v>
      </x:c>
      <x:c r="G738" s="22" t="n">
        <x:f>IF(COUNT(E738:F738)=2,MAX(0,E738-F738),"n.a.")</x:f>
        <x:v>500</x:v>
      </x:c>
      <x:c r="H738" s="26" t="str">
        <x:f>'Inputs'!C12</x:f>
        <x:v>Card B</x:v>
      </x:c>
      <x:c r="I738" s="26" t="n">
        <x:f>S733</x:f>
        <x:v>0</x:v>
      </x:c>
      <x:c r="J738" s="29" t="n">
        <x:f>IF('Inputs'!$D$9="Ready",'Inputs'!E12,"n.a.")</x:f>
        <x:v>0.18</x:v>
      </x:c>
      <x:c r="K738" s="26" t="n">
        <x:f>IF('Inputs'!$D$9="Ready",'Inputs'!F12,"n.a.")</x:f>
        <x:v>60</x:v>
      </x:c>
      <x:c r="L738" s="29" t="n">
        <x:f>IF('Inputs'!$D$9="Ready",'Inputs'!G12,"n.a.")</x:f>
        <x:v>0.02</x:v>
      </x:c>
      <x:c r="M738" s="22" t="n">
        <x:f>IF(COUNT(I738:L738)=4,ROUND(I738*J738/12,2),"n.a.")</x:f>
        <x:v>0</x:v>
      </x:c>
      <x:c r="N738" s="22" t="n">
        <x:f>IF(COUNT(I738:M738)=5,MIN(I738+M738,ROUND(MAX(K738,I738*L738+M738),2)),"n.a.")</x:f>
        <x:v>0</x:v>
      </x:c>
      <x:c r="O738" s="30" t="n">
        <x:f>IF(COUNT($I$737:$I$741)&lt;&gt;5,"n.a.",IF(I738=0,6,IF('Inputs'!$D$5=1,COUNTIFS($I$737:$I$741,"&gt;0",$I$737:$I$741,"&lt;"&amp;I738)+COUNTIFS($I$737:I738,I738),COUNTIFS($I$737:$I$741,"&gt;0",$J$737:$J$741,"&gt;"&amp;J738)+COUNTIFS($I$737:I738,"&gt;0",$J$737:J738,J738))))</x:f>
        <x:v>6</x:v>
      </x:c>
      <x:c r="P738" s="22" t="n">
        <x:f>IF(T738="Ready",MIN(U738,MAX(0,G738-SUMIFS($U$737:$U$741,$O$737:$O$741,"&lt;"&amp;O738))),"n.a.")</x:f>
        <x:v>0</x:v>
      </x:c>
      <x:c r="Q738" s="22" t="n">
        <x:f>IF(T738="Ready",ROUND(N738+P738,2),"n.a.")</x:f>
        <x:v>0</x:v>
      </x:c>
      <x:c r="R738" s="22" t="n">
        <x:f>IF(T738="Ready",ROUND(Q738-M738,2),"n.a.")</x:f>
        <x:v>0</x:v>
      </x:c>
      <x:c r="S738" s="22" t="n">
        <x:f>IF(T738="Ready",MAX(0,ROUND(I738+M738-Q738,2)),"n.a.")</x:f>
        <x:v>0</x:v>
      </x:c>
      <x:c r="T738" s="22" t="str">
        <x:f>IF(AND(COUNT($I$737:$I$741)=5,COUNT(E738:F738)=2),IF(E738&gt;=F738,"Ready","Budget below minima"),"Check inputs")</x:f>
        <x:v>Ready</x:v>
      </x:c>
      <x:c r="U738" s="22" t="n">
        <x:f>IF(COUNT(I738,M738,N738)=3,MAX(0,ROUND(I738+M738-N738,2)),"n.a.")</x:f>
        <x:v>0</x:v>
      </x:c>
    </x:row>
    <x:row r="739" ht="22" customHeight="1">
      <x:c r="A739" s="2"/>
      <x:c r="B739" s="2"/>
      <x:c r="C739" s="27" t="n">
        <x:f>147</x:f>
        <x:v>147</x:v>
      </x:c>
      <x:c r="D739" s="28" t="n">
        <x:f>IF(ISNUMBER('Inputs'!$D$7),EDATE('Inputs'!$D$7,146),"n.a.")</x:f>
        <x:v>50771</x:v>
      </x:c>
      <x:c r="E739" s="26" t="n">
        <x:f>IF('Inputs'!$D$9&lt;&gt;"Ready","n.a.",IF(ISNUMBER('Inputs'!E165),IF('Inputs'!E165&gt;=0,'Inputs'!E165,"n.a."),IF('Inputs'!E165="",'Inputs'!$D$6,"n.a.")))</x:f>
        <x:v>500</x:v>
      </x:c>
      <x:c r="F739" s="22" t="n">
        <x:f>IF(COUNT($N$737:$N$741)=5,SUM($N$737:$N$741),"n.a.")</x:f>
        <x:v>0</x:v>
      </x:c>
      <x:c r="G739" s="22" t="n">
        <x:f>IF(COUNT(E739:F739)=2,MAX(0,E739-F739),"n.a.")</x:f>
        <x:v>500</x:v>
      </x:c>
      <x:c r="H739" s="26" t="str">
        <x:f>'Inputs'!C13</x:f>
        <x:v>Loan C</x:v>
      </x:c>
      <x:c r="I739" s="26" t="n">
        <x:f>S734</x:f>
        <x:v>0</x:v>
      </x:c>
      <x:c r="J739" s="29" t="n">
        <x:f>IF('Inputs'!$D$9="Ready",'Inputs'!E13,"n.a.")</x:f>
        <x:v>0.08</x:v>
      </x:c>
      <x:c r="K739" s="26" t="n">
        <x:f>IF('Inputs'!$D$9="Ready",'Inputs'!F13,"n.a.")</x:f>
        <x:v>150</x:v>
      </x:c>
      <x:c r="L739" s="29" t="n">
        <x:f>IF('Inputs'!$D$9="Ready",'Inputs'!G13,"n.a.")</x:f>
        <x:v>0</x:v>
      </x:c>
      <x:c r="M739" s="22" t="n">
        <x:f>IF(COUNT(I739:L739)=4,ROUND(I739*J739/12,2),"n.a.")</x:f>
        <x:v>0</x:v>
      </x:c>
      <x:c r="N739" s="22" t="n">
        <x:f>IF(COUNT(I739:M739)=5,MIN(I739+M739,ROUND(MAX(K739,I739*L739+M739),2)),"n.a.")</x:f>
        <x:v>0</x:v>
      </x:c>
      <x:c r="O739" s="30" t="n">
        <x:f>IF(COUNT($I$737:$I$741)&lt;&gt;5,"n.a.",IF(I739=0,6,IF('Inputs'!$D$5=1,COUNTIFS($I$737:$I$741,"&gt;0",$I$737:$I$741,"&lt;"&amp;I739)+COUNTIFS($I$737:I739,I739),COUNTIFS($I$737:$I$741,"&gt;0",$J$737:$J$741,"&gt;"&amp;J739)+COUNTIFS($I$737:I739,"&gt;0",$J$737:J739,J739))))</x:f>
        <x:v>6</x:v>
      </x:c>
      <x:c r="P739" s="22" t="n">
        <x:f>IF(T739="Ready",MIN(U739,MAX(0,G739-SUMIFS($U$737:$U$741,$O$737:$O$741,"&lt;"&amp;O739))),"n.a.")</x:f>
        <x:v>0</x:v>
      </x:c>
      <x:c r="Q739" s="22" t="n">
        <x:f>IF(T739="Ready",ROUND(N739+P739,2),"n.a.")</x:f>
        <x:v>0</x:v>
      </x:c>
      <x:c r="R739" s="22" t="n">
        <x:f>IF(T739="Ready",ROUND(Q739-M739,2),"n.a.")</x:f>
        <x:v>0</x:v>
      </x:c>
      <x:c r="S739" s="22" t="n">
        <x:f>IF(T739="Ready",MAX(0,ROUND(I739+M739-Q739,2)),"n.a.")</x:f>
        <x:v>0</x:v>
      </x:c>
      <x:c r="T739" s="22" t="str">
        <x:f>IF(AND(COUNT($I$737:$I$741)=5,COUNT(E739:F739)=2),IF(E739&gt;=F739,"Ready","Budget below minima"),"Check inputs")</x:f>
        <x:v>Ready</x:v>
      </x:c>
      <x:c r="U739" s="22" t="n">
        <x:f>IF(COUNT(I739,M739,N739)=3,MAX(0,ROUND(I739+M739-N739,2)),"n.a.")</x:f>
        <x:v>0</x:v>
      </x:c>
    </x:row>
    <x:row r="740" ht="22" customHeight="1">
      <x:c r="A740" s="2"/>
      <x:c r="B740" s="2"/>
      <x:c r="C740" s="27" t="n">
        <x:f>147</x:f>
        <x:v>147</x:v>
      </x:c>
      <x:c r="D740" s="28" t="n">
        <x:f>IF(ISNUMBER('Inputs'!$D$7),EDATE('Inputs'!$D$7,146),"n.a.")</x:f>
        <x:v>50771</x:v>
      </x:c>
      <x:c r="E740" s="26" t="n">
        <x:f>IF('Inputs'!$D$9&lt;&gt;"Ready","n.a.",IF(ISNUMBER('Inputs'!E165),IF('Inputs'!E165&gt;=0,'Inputs'!E165,"n.a."),IF('Inputs'!E165="",'Inputs'!$D$6,"n.a.")))</x:f>
        <x:v>500</x:v>
      </x:c>
      <x:c r="F740" s="22" t="n">
        <x:f>IF(COUNT($N$737:$N$741)=5,SUM($N$737:$N$741),"n.a.")</x:f>
        <x:v>0</x:v>
      </x:c>
      <x:c r="G740" s="22" t="n">
        <x:f>IF(COUNT(E740:F740)=2,MAX(0,E740-F740),"n.a.")</x:f>
        <x:v>500</x:v>
      </x:c>
      <x:c r="H740" s="26" t="str">
        <x:f>'Inputs'!C14</x:f>
        <x:v>Unused 4</x:v>
      </x:c>
      <x:c r="I740" s="26" t="n">
        <x:f>S735</x:f>
        <x:v>0</x:v>
      </x:c>
      <x:c r="J740" s="29" t="n">
        <x:f>IF('Inputs'!$D$9="Ready",'Inputs'!E14,"n.a.")</x:f>
        <x:v>0</x:v>
      </x:c>
      <x:c r="K740" s="26" t="n">
        <x:f>IF('Inputs'!$D$9="Ready",'Inputs'!F14,"n.a.")</x:f>
        <x:v>0</x:v>
      </x:c>
      <x:c r="L740" s="29" t="n">
        <x:f>IF('Inputs'!$D$9="Ready",'Inputs'!G14,"n.a.")</x:f>
        <x:v>0</x:v>
      </x:c>
      <x:c r="M740" s="22" t="n">
        <x:f>IF(COUNT(I740:L740)=4,ROUND(I740*J740/12,2),"n.a.")</x:f>
        <x:v>0</x:v>
      </x:c>
      <x:c r="N740" s="22" t="n">
        <x:f>IF(COUNT(I740:M740)=5,MIN(I740+M740,ROUND(MAX(K740,I740*L740+M740),2)),"n.a.")</x:f>
        <x:v>0</x:v>
      </x:c>
      <x:c r="O740" s="30" t="n">
        <x:f>IF(COUNT($I$737:$I$741)&lt;&gt;5,"n.a.",IF(I740=0,6,IF('Inputs'!$D$5=1,COUNTIFS($I$737:$I$741,"&gt;0",$I$737:$I$741,"&lt;"&amp;I740)+COUNTIFS($I$737:I740,I740),COUNTIFS($I$737:$I$741,"&gt;0",$J$737:$J$741,"&gt;"&amp;J740)+COUNTIFS($I$737:I740,"&gt;0",$J$737:J740,J740))))</x:f>
        <x:v>6</x:v>
      </x:c>
      <x:c r="P740" s="22" t="n">
        <x:f>IF(T740="Ready",MIN(U740,MAX(0,G740-SUMIFS($U$737:$U$741,$O$737:$O$741,"&lt;"&amp;O740))),"n.a.")</x:f>
        <x:v>0</x:v>
      </x:c>
      <x:c r="Q740" s="22" t="n">
        <x:f>IF(T740="Ready",ROUND(N740+P740,2),"n.a.")</x:f>
        <x:v>0</x:v>
      </x:c>
      <x:c r="R740" s="22" t="n">
        <x:f>IF(T740="Ready",ROUND(Q740-M740,2),"n.a.")</x:f>
        <x:v>0</x:v>
      </x:c>
      <x:c r="S740" s="22" t="n">
        <x:f>IF(T740="Ready",MAX(0,ROUND(I740+M740-Q740,2)),"n.a.")</x:f>
        <x:v>0</x:v>
      </x:c>
      <x:c r="T740" s="22" t="str">
        <x:f>IF(AND(COUNT($I$737:$I$741)=5,COUNT(E740:F740)=2),IF(E740&gt;=F740,"Ready","Budget below minima"),"Check inputs")</x:f>
        <x:v>Ready</x:v>
      </x:c>
      <x:c r="U740" s="22" t="n">
        <x:f>IF(COUNT(I740,M740,N740)=3,MAX(0,ROUND(I740+M740-N740,2)),"n.a.")</x:f>
        <x:v>0</x:v>
      </x:c>
    </x:row>
    <x:row r="741" ht="22" customHeight="1">
      <x:c r="A741" s="2"/>
      <x:c r="B741" s="2"/>
      <x:c r="C741" s="27" t="n">
        <x:f>147</x:f>
        <x:v>147</x:v>
      </x:c>
      <x:c r="D741" s="28" t="n">
        <x:f>IF(ISNUMBER('Inputs'!$D$7),EDATE('Inputs'!$D$7,146),"n.a.")</x:f>
        <x:v>50771</x:v>
      </x:c>
      <x:c r="E741" s="26" t="n">
        <x:f>IF('Inputs'!$D$9&lt;&gt;"Ready","n.a.",IF(ISNUMBER('Inputs'!E165),IF('Inputs'!E165&gt;=0,'Inputs'!E165,"n.a."),IF('Inputs'!E165="",'Inputs'!$D$6,"n.a.")))</x:f>
        <x:v>500</x:v>
      </x:c>
      <x:c r="F741" s="22" t="n">
        <x:f>IF(COUNT($N$737:$N$741)=5,SUM($N$737:$N$741),"n.a.")</x:f>
        <x:v>0</x:v>
      </x:c>
      <x:c r="G741" s="22" t="n">
        <x:f>IF(COUNT(E741:F741)=2,MAX(0,E741-F741),"n.a.")</x:f>
        <x:v>500</x:v>
      </x:c>
      <x:c r="H741" s="26" t="str">
        <x:f>'Inputs'!C15</x:f>
        <x:v>Unused 5</x:v>
      </x:c>
      <x:c r="I741" s="26" t="n">
        <x:f>S736</x:f>
        <x:v>0</x:v>
      </x:c>
      <x:c r="J741" s="29" t="n">
        <x:f>IF('Inputs'!$D$9="Ready",'Inputs'!E15,"n.a.")</x:f>
        <x:v>0</x:v>
      </x:c>
      <x:c r="K741" s="26" t="n">
        <x:f>IF('Inputs'!$D$9="Ready",'Inputs'!F15,"n.a.")</x:f>
        <x:v>0</x:v>
      </x:c>
      <x:c r="L741" s="29" t="n">
        <x:f>IF('Inputs'!$D$9="Ready",'Inputs'!G15,"n.a.")</x:f>
        <x:v>0</x:v>
      </x:c>
      <x:c r="M741" s="22" t="n">
        <x:f>IF(COUNT(I741:L741)=4,ROUND(I741*J741/12,2),"n.a.")</x:f>
        <x:v>0</x:v>
      </x:c>
      <x:c r="N741" s="22" t="n">
        <x:f>IF(COUNT(I741:M741)=5,MIN(I741+M741,ROUND(MAX(K741,I741*L741+M741),2)),"n.a.")</x:f>
        <x:v>0</x:v>
      </x:c>
      <x:c r="O741" s="30" t="n">
        <x:f>IF(COUNT($I$737:$I$741)&lt;&gt;5,"n.a.",IF(I741=0,6,IF('Inputs'!$D$5=1,COUNTIFS($I$737:$I$741,"&gt;0",$I$737:$I$741,"&lt;"&amp;I741)+COUNTIFS($I$737:I741,I741),COUNTIFS($I$737:$I$741,"&gt;0",$J$737:$J$741,"&gt;"&amp;J741)+COUNTIFS($I$737:I741,"&gt;0",$J$737:J741,J741))))</x:f>
        <x:v>6</x:v>
      </x:c>
      <x:c r="P741" s="22" t="n">
        <x:f>IF(T741="Ready",MIN(U741,MAX(0,G741-SUMIFS($U$737:$U$741,$O$737:$O$741,"&lt;"&amp;O741))),"n.a.")</x:f>
        <x:v>0</x:v>
      </x:c>
      <x:c r="Q741" s="22" t="n">
        <x:f>IF(T741="Ready",ROUND(N741+P741,2),"n.a.")</x:f>
        <x:v>0</x:v>
      </x:c>
      <x:c r="R741" s="22" t="n">
        <x:f>IF(T741="Ready",ROUND(Q741-M741,2),"n.a.")</x:f>
        <x:v>0</x:v>
      </x:c>
      <x:c r="S741" s="22" t="n">
        <x:f>IF(T741="Ready",MAX(0,ROUND(I741+M741-Q741,2)),"n.a.")</x:f>
        <x:v>0</x:v>
      </x:c>
      <x:c r="T741" s="22" t="str">
        <x:f>IF(AND(COUNT($I$737:$I$741)=5,COUNT(E741:F741)=2),IF(E741&gt;=F741,"Ready","Budget below minima"),"Check inputs")</x:f>
        <x:v>Ready</x:v>
      </x:c>
      <x:c r="U741" s="22" t="n">
        <x:f>IF(COUNT(I741,M741,N741)=3,MAX(0,ROUND(I741+M741-N741,2)),"n.a.")</x:f>
        <x:v>0</x:v>
      </x:c>
    </x:row>
    <x:row r="742" ht="22" customHeight="1">
      <x:c r="A742" s="2"/>
      <x:c r="B742" s="2"/>
      <x:c r="C742" s="27" t="n">
        <x:f>148</x:f>
        <x:v>148</x:v>
      </x:c>
      <x:c r="D742" s="28" t="n">
        <x:f>IF(ISNUMBER('Inputs'!$D$7),EDATE('Inputs'!$D$7,147),"n.a.")</x:f>
        <x:v>50802</x:v>
      </x:c>
      <x:c r="E742" s="26" t="n">
        <x:f>IF('Inputs'!$D$9&lt;&gt;"Ready","n.a.",IF(ISNUMBER('Inputs'!E166),IF('Inputs'!E166&gt;=0,'Inputs'!E166,"n.a."),IF('Inputs'!E166="",'Inputs'!$D$6,"n.a.")))</x:f>
        <x:v>500</x:v>
      </x:c>
      <x:c r="F742" s="22" t="n">
        <x:f>IF(COUNT($N$742:$N$746)=5,SUM($N$742:$N$746),"n.a.")</x:f>
        <x:v>0</x:v>
      </x:c>
      <x:c r="G742" s="22" t="n">
        <x:f>IF(COUNT(E742:F742)=2,MAX(0,E742-F742),"n.a.")</x:f>
        <x:v>500</x:v>
      </x:c>
      <x:c r="H742" s="26" t="str">
        <x:f>'Inputs'!C11</x:f>
        <x:v>Card A</x:v>
      </x:c>
      <x:c r="I742" s="26" t="n">
        <x:f>S737</x:f>
        <x:v>0</x:v>
      </x:c>
      <x:c r="J742" s="29" t="n">
        <x:f>IF('Inputs'!$D$9="Ready",'Inputs'!E11,"n.a.")</x:f>
        <x:v>0.24</x:v>
      </x:c>
      <x:c r="K742" s="26" t="n">
        <x:f>IF('Inputs'!$D$9="Ready",'Inputs'!F11,"n.a.")</x:f>
        <x:v>35</x:v>
      </x:c>
      <x:c r="L742" s="29" t="n">
        <x:f>IF('Inputs'!$D$9="Ready",'Inputs'!G11,"n.a.")</x:f>
        <x:v>0.02</x:v>
      </x:c>
      <x:c r="M742" s="22" t="n">
        <x:f>IF(COUNT(I742:L742)=4,ROUND(I742*J742/12,2),"n.a.")</x:f>
        <x:v>0</x:v>
      </x:c>
      <x:c r="N742" s="22" t="n">
        <x:f>IF(COUNT(I742:M742)=5,MIN(I742+M742,ROUND(MAX(K742,I742*L742+M742),2)),"n.a.")</x:f>
        <x:v>0</x:v>
      </x:c>
      <x:c r="O742" s="30" t="n">
        <x:f>IF(COUNT($I$742:$I$746)&lt;&gt;5,"n.a.",IF(I742=0,6,IF('Inputs'!$D$5=1,COUNTIFS($I$742:$I$746,"&gt;0",$I$742:$I$746,"&lt;"&amp;I742)+COUNTIFS($I$742:I742,I742),COUNTIFS($I$742:$I$746,"&gt;0",$J$742:$J$746,"&gt;"&amp;J742)+COUNTIFS($I$742:I742,"&gt;0",$J$742:J742,J742))))</x:f>
        <x:v>6</x:v>
      </x:c>
      <x:c r="P742" s="22" t="n">
        <x:f>IF(T742="Ready",MIN(U742,MAX(0,G742-SUMIFS($U$742:$U$746,$O$742:$O$746,"&lt;"&amp;O742))),"n.a.")</x:f>
        <x:v>0</x:v>
      </x:c>
      <x:c r="Q742" s="22" t="n">
        <x:f>IF(T742="Ready",ROUND(N742+P742,2),"n.a.")</x:f>
        <x:v>0</x:v>
      </x:c>
      <x:c r="R742" s="22" t="n">
        <x:f>IF(T742="Ready",ROUND(Q742-M742,2),"n.a.")</x:f>
        <x:v>0</x:v>
      </x:c>
      <x:c r="S742" s="22" t="n">
        <x:f>IF(T742="Ready",MAX(0,ROUND(I742+M742-Q742,2)),"n.a.")</x:f>
        <x:v>0</x:v>
      </x:c>
      <x:c r="T742" s="22" t="str">
        <x:f>IF(AND(COUNT($I$742:$I$746)=5,COUNT(E742:F742)=2),IF(E742&gt;=F742,"Ready","Budget below minima"),"Check inputs")</x:f>
        <x:v>Ready</x:v>
      </x:c>
      <x:c r="U742" s="22" t="n">
        <x:f>IF(COUNT(I742,M742,N742)=3,MAX(0,ROUND(I742+M742-N742,2)),"n.a.")</x:f>
        <x:v>0</x:v>
      </x:c>
    </x:row>
    <x:row r="743" ht="22" customHeight="1">
      <x:c r="A743" s="2"/>
      <x:c r="B743" s="2"/>
      <x:c r="C743" s="27" t="n">
        <x:f>148</x:f>
        <x:v>148</x:v>
      </x:c>
      <x:c r="D743" s="28" t="n">
        <x:f>IF(ISNUMBER('Inputs'!$D$7),EDATE('Inputs'!$D$7,147),"n.a.")</x:f>
        <x:v>50802</x:v>
      </x:c>
      <x:c r="E743" s="26" t="n">
        <x:f>IF('Inputs'!$D$9&lt;&gt;"Ready","n.a.",IF(ISNUMBER('Inputs'!E166),IF('Inputs'!E166&gt;=0,'Inputs'!E166,"n.a."),IF('Inputs'!E166="",'Inputs'!$D$6,"n.a.")))</x:f>
        <x:v>500</x:v>
      </x:c>
      <x:c r="F743" s="22" t="n">
        <x:f>IF(COUNT($N$742:$N$746)=5,SUM($N$742:$N$746),"n.a.")</x:f>
        <x:v>0</x:v>
      </x:c>
      <x:c r="G743" s="22" t="n">
        <x:f>IF(COUNT(E743:F743)=2,MAX(0,E743-F743),"n.a.")</x:f>
        <x:v>500</x:v>
      </x:c>
      <x:c r="H743" s="26" t="str">
        <x:f>'Inputs'!C12</x:f>
        <x:v>Card B</x:v>
      </x:c>
      <x:c r="I743" s="26" t="n">
        <x:f>S738</x:f>
        <x:v>0</x:v>
      </x:c>
      <x:c r="J743" s="29" t="n">
        <x:f>IF('Inputs'!$D$9="Ready",'Inputs'!E12,"n.a.")</x:f>
        <x:v>0.18</x:v>
      </x:c>
      <x:c r="K743" s="26" t="n">
        <x:f>IF('Inputs'!$D$9="Ready",'Inputs'!F12,"n.a.")</x:f>
        <x:v>60</x:v>
      </x:c>
      <x:c r="L743" s="29" t="n">
        <x:f>IF('Inputs'!$D$9="Ready",'Inputs'!G12,"n.a.")</x:f>
        <x:v>0.02</x:v>
      </x:c>
      <x:c r="M743" s="22" t="n">
        <x:f>IF(COUNT(I743:L743)=4,ROUND(I743*J743/12,2),"n.a.")</x:f>
        <x:v>0</x:v>
      </x:c>
      <x:c r="N743" s="22" t="n">
        <x:f>IF(COUNT(I743:M743)=5,MIN(I743+M743,ROUND(MAX(K743,I743*L743+M743),2)),"n.a.")</x:f>
        <x:v>0</x:v>
      </x:c>
      <x:c r="O743" s="30" t="n">
        <x:f>IF(COUNT($I$742:$I$746)&lt;&gt;5,"n.a.",IF(I743=0,6,IF('Inputs'!$D$5=1,COUNTIFS($I$742:$I$746,"&gt;0",$I$742:$I$746,"&lt;"&amp;I743)+COUNTIFS($I$742:I743,I743),COUNTIFS($I$742:$I$746,"&gt;0",$J$742:$J$746,"&gt;"&amp;J743)+COUNTIFS($I$742:I743,"&gt;0",$J$742:J743,J743))))</x:f>
        <x:v>6</x:v>
      </x:c>
      <x:c r="P743" s="22" t="n">
        <x:f>IF(T743="Ready",MIN(U743,MAX(0,G743-SUMIFS($U$742:$U$746,$O$742:$O$746,"&lt;"&amp;O743))),"n.a.")</x:f>
        <x:v>0</x:v>
      </x:c>
      <x:c r="Q743" s="22" t="n">
        <x:f>IF(T743="Ready",ROUND(N743+P743,2),"n.a.")</x:f>
        <x:v>0</x:v>
      </x:c>
      <x:c r="R743" s="22" t="n">
        <x:f>IF(T743="Ready",ROUND(Q743-M743,2),"n.a.")</x:f>
        <x:v>0</x:v>
      </x:c>
      <x:c r="S743" s="22" t="n">
        <x:f>IF(T743="Ready",MAX(0,ROUND(I743+M743-Q743,2)),"n.a.")</x:f>
        <x:v>0</x:v>
      </x:c>
      <x:c r="T743" s="22" t="str">
        <x:f>IF(AND(COUNT($I$742:$I$746)=5,COUNT(E743:F743)=2),IF(E743&gt;=F743,"Ready","Budget below minima"),"Check inputs")</x:f>
        <x:v>Ready</x:v>
      </x:c>
      <x:c r="U743" s="22" t="n">
        <x:f>IF(COUNT(I743,M743,N743)=3,MAX(0,ROUND(I743+M743-N743,2)),"n.a.")</x:f>
        <x:v>0</x:v>
      </x:c>
    </x:row>
    <x:row r="744" ht="22" customHeight="1">
      <x:c r="A744" s="2"/>
      <x:c r="B744" s="2"/>
      <x:c r="C744" s="27" t="n">
        <x:f>148</x:f>
        <x:v>148</x:v>
      </x:c>
      <x:c r="D744" s="28" t="n">
        <x:f>IF(ISNUMBER('Inputs'!$D$7),EDATE('Inputs'!$D$7,147),"n.a.")</x:f>
        <x:v>50802</x:v>
      </x:c>
      <x:c r="E744" s="26" t="n">
        <x:f>IF('Inputs'!$D$9&lt;&gt;"Ready","n.a.",IF(ISNUMBER('Inputs'!E166),IF('Inputs'!E166&gt;=0,'Inputs'!E166,"n.a."),IF('Inputs'!E166="",'Inputs'!$D$6,"n.a.")))</x:f>
        <x:v>500</x:v>
      </x:c>
      <x:c r="F744" s="22" t="n">
        <x:f>IF(COUNT($N$742:$N$746)=5,SUM($N$742:$N$746),"n.a.")</x:f>
        <x:v>0</x:v>
      </x:c>
      <x:c r="G744" s="22" t="n">
        <x:f>IF(COUNT(E744:F744)=2,MAX(0,E744-F744),"n.a.")</x:f>
        <x:v>500</x:v>
      </x:c>
      <x:c r="H744" s="26" t="str">
        <x:f>'Inputs'!C13</x:f>
        <x:v>Loan C</x:v>
      </x:c>
      <x:c r="I744" s="26" t="n">
        <x:f>S739</x:f>
        <x:v>0</x:v>
      </x:c>
      <x:c r="J744" s="29" t="n">
        <x:f>IF('Inputs'!$D$9="Ready",'Inputs'!E13,"n.a.")</x:f>
        <x:v>0.08</x:v>
      </x:c>
      <x:c r="K744" s="26" t="n">
        <x:f>IF('Inputs'!$D$9="Ready",'Inputs'!F13,"n.a.")</x:f>
        <x:v>150</x:v>
      </x:c>
      <x:c r="L744" s="29" t="n">
        <x:f>IF('Inputs'!$D$9="Ready",'Inputs'!G13,"n.a.")</x:f>
        <x:v>0</x:v>
      </x:c>
      <x:c r="M744" s="22" t="n">
        <x:f>IF(COUNT(I744:L744)=4,ROUND(I744*J744/12,2),"n.a.")</x:f>
        <x:v>0</x:v>
      </x:c>
      <x:c r="N744" s="22" t="n">
        <x:f>IF(COUNT(I744:M744)=5,MIN(I744+M744,ROUND(MAX(K744,I744*L744+M744),2)),"n.a.")</x:f>
        <x:v>0</x:v>
      </x:c>
      <x:c r="O744" s="30" t="n">
        <x:f>IF(COUNT($I$742:$I$746)&lt;&gt;5,"n.a.",IF(I744=0,6,IF('Inputs'!$D$5=1,COUNTIFS($I$742:$I$746,"&gt;0",$I$742:$I$746,"&lt;"&amp;I744)+COUNTIFS($I$742:I744,I744),COUNTIFS($I$742:$I$746,"&gt;0",$J$742:$J$746,"&gt;"&amp;J744)+COUNTIFS($I$742:I744,"&gt;0",$J$742:J744,J744))))</x:f>
        <x:v>6</x:v>
      </x:c>
      <x:c r="P744" s="22" t="n">
        <x:f>IF(T744="Ready",MIN(U744,MAX(0,G744-SUMIFS($U$742:$U$746,$O$742:$O$746,"&lt;"&amp;O744))),"n.a.")</x:f>
        <x:v>0</x:v>
      </x:c>
      <x:c r="Q744" s="22" t="n">
        <x:f>IF(T744="Ready",ROUND(N744+P744,2),"n.a.")</x:f>
        <x:v>0</x:v>
      </x:c>
      <x:c r="R744" s="22" t="n">
        <x:f>IF(T744="Ready",ROUND(Q744-M744,2),"n.a.")</x:f>
        <x:v>0</x:v>
      </x:c>
      <x:c r="S744" s="22" t="n">
        <x:f>IF(T744="Ready",MAX(0,ROUND(I744+M744-Q744,2)),"n.a.")</x:f>
        <x:v>0</x:v>
      </x:c>
      <x:c r="T744" s="22" t="str">
        <x:f>IF(AND(COUNT($I$742:$I$746)=5,COUNT(E744:F744)=2),IF(E744&gt;=F744,"Ready","Budget below minima"),"Check inputs")</x:f>
        <x:v>Ready</x:v>
      </x:c>
      <x:c r="U744" s="22" t="n">
        <x:f>IF(COUNT(I744,M744,N744)=3,MAX(0,ROUND(I744+M744-N744,2)),"n.a.")</x:f>
        <x:v>0</x:v>
      </x:c>
    </x:row>
    <x:row r="745" ht="22" customHeight="1">
      <x:c r="A745" s="2"/>
      <x:c r="B745" s="2"/>
      <x:c r="C745" s="27" t="n">
        <x:f>148</x:f>
        <x:v>148</x:v>
      </x:c>
      <x:c r="D745" s="28" t="n">
        <x:f>IF(ISNUMBER('Inputs'!$D$7),EDATE('Inputs'!$D$7,147),"n.a.")</x:f>
        <x:v>50802</x:v>
      </x:c>
      <x:c r="E745" s="26" t="n">
        <x:f>IF('Inputs'!$D$9&lt;&gt;"Ready","n.a.",IF(ISNUMBER('Inputs'!E166),IF('Inputs'!E166&gt;=0,'Inputs'!E166,"n.a."),IF('Inputs'!E166="",'Inputs'!$D$6,"n.a.")))</x:f>
        <x:v>500</x:v>
      </x:c>
      <x:c r="F745" s="22" t="n">
        <x:f>IF(COUNT($N$742:$N$746)=5,SUM($N$742:$N$746),"n.a.")</x:f>
        <x:v>0</x:v>
      </x:c>
      <x:c r="G745" s="22" t="n">
        <x:f>IF(COUNT(E745:F745)=2,MAX(0,E745-F745),"n.a.")</x:f>
        <x:v>500</x:v>
      </x:c>
      <x:c r="H745" s="26" t="str">
        <x:f>'Inputs'!C14</x:f>
        <x:v>Unused 4</x:v>
      </x:c>
      <x:c r="I745" s="26" t="n">
        <x:f>S740</x:f>
        <x:v>0</x:v>
      </x:c>
      <x:c r="J745" s="29" t="n">
        <x:f>IF('Inputs'!$D$9="Ready",'Inputs'!E14,"n.a.")</x:f>
        <x:v>0</x:v>
      </x:c>
      <x:c r="K745" s="26" t="n">
        <x:f>IF('Inputs'!$D$9="Ready",'Inputs'!F14,"n.a.")</x:f>
        <x:v>0</x:v>
      </x:c>
      <x:c r="L745" s="29" t="n">
        <x:f>IF('Inputs'!$D$9="Ready",'Inputs'!G14,"n.a.")</x:f>
        <x:v>0</x:v>
      </x:c>
      <x:c r="M745" s="22" t="n">
        <x:f>IF(COUNT(I745:L745)=4,ROUND(I745*J745/12,2),"n.a.")</x:f>
        <x:v>0</x:v>
      </x:c>
      <x:c r="N745" s="22" t="n">
        <x:f>IF(COUNT(I745:M745)=5,MIN(I745+M745,ROUND(MAX(K745,I745*L745+M745),2)),"n.a.")</x:f>
        <x:v>0</x:v>
      </x:c>
      <x:c r="O745" s="30" t="n">
        <x:f>IF(COUNT($I$742:$I$746)&lt;&gt;5,"n.a.",IF(I745=0,6,IF('Inputs'!$D$5=1,COUNTIFS($I$742:$I$746,"&gt;0",$I$742:$I$746,"&lt;"&amp;I745)+COUNTIFS($I$742:I745,I745),COUNTIFS($I$742:$I$746,"&gt;0",$J$742:$J$746,"&gt;"&amp;J745)+COUNTIFS($I$742:I745,"&gt;0",$J$742:J745,J745))))</x:f>
        <x:v>6</x:v>
      </x:c>
      <x:c r="P745" s="22" t="n">
        <x:f>IF(T745="Ready",MIN(U745,MAX(0,G745-SUMIFS($U$742:$U$746,$O$742:$O$746,"&lt;"&amp;O745))),"n.a.")</x:f>
        <x:v>0</x:v>
      </x:c>
      <x:c r="Q745" s="22" t="n">
        <x:f>IF(T745="Ready",ROUND(N745+P745,2),"n.a.")</x:f>
        <x:v>0</x:v>
      </x:c>
      <x:c r="R745" s="22" t="n">
        <x:f>IF(T745="Ready",ROUND(Q745-M745,2),"n.a.")</x:f>
        <x:v>0</x:v>
      </x:c>
      <x:c r="S745" s="22" t="n">
        <x:f>IF(T745="Ready",MAX(0,ROUND(I745+M745-Q745,2)),"n.a.")</x:f>
        <x:v>0</x:v>
      </x:c>
      <x:c r="T745" s="22" t="str">
        <x:f>IF(AND(COUNT($I$742:$I$746)=5,COUNT(E745:F745)=2),IF(E745&gt;=F745,"Ready","Budget below minima"),"Check inputs")</x:f>
        <x:v>Ready</x:v>
      </x:c>
      <x:c r="U745" s="22" t="n">
        <x:f>IF(COUNT(I745,M745,N745)=3,MAX(0,ROUND(I745+M745-N745,2)),"n.a.")</x:f>
        <x:v>0</x:v>
      </x:c>
    </x:row>
    <x:row r="746" ht="22" customHeight="1">
      <x:c r="A746" s="2"/>
      <x:c r="B746" s="2"/>
      <x:c r="C746" s="27" t="n">
        <x:f>148</x:f>
        <x:v>148</x:v>
      </x:c>
      <x:c r="D746" s="28" t="n">
        <x:f>IF(ISNUMBER('Inputs'!$D$7),EDATE('Inputs'!$D$7,147),"n.a.")</x:f>
        <x:v>50802</x:v>
      </x:c>
      <x:c r="E746" s="26" t="n">
        <x:f>IF('Inputs'!$D$9&lt;&gt;"Ready","n.a.",IF(ISNUMBER('Inputs'!E166),IF('Inputs'!E166&gt;=0,'Inputs'!E166,"n.a."),IF('Inputs'!E166="",'Inputs'!$D$6,"n.a.")))</x:f>
        <x:v>500</x:v>
      </x:c>
      <x:c r="F746" s="22" t="n">
        <x:f>IF(COUNT($N$742:$N$746)=5,SUM($N$742:$N$746),"n.a.")</x:f>
        <x:v>0</x:v>
      </x:c>
      <x:c r="G746" s="22" t="n">
        <x:f>IF(COUNT(E746:F746)=2,MAX(0,E746-F746),"n.a.")</x:f>
        <x:v>500</x:v>
      </x:c>
      <x:c r="H746" s="26" t="str">
        <x:f>'Inputs'!C15</x:f>
        <x:v>Unused 5</x:v>
      </x:c>
      <x:c r="I746" s="26" t="n">
        <x:f>S741</x:f>
        <x:v>0</x:v>
      </x:c>
      <x:c r="J746" s="29" t="n">
        <x:f>IF('Inputs'!$D$9="Ready",'Inputs'!E15,"n.a.")</x:f>
        <x:v>0</x:v>
      </x:c>
      <x:c r="K746" s="26" t="n">
        <x:f>IF('Inputs'!$D$9="Ready",'Inputs'!F15,"n.a.")</x:f>
        <x:v>0</x:v>
      </x:c>
      <x:c r="L746" s="29" t="n">
        <x:f>IF('Inputs'!$D$9="Ready",'Inputs'!G15,"n.a.")</x:f>
        <x:v>0</x:v>
      </x:c>
      <x:c r="M746" s="22" t="n">
        <x:f>IF(COUNT(I746:L746)=4,ROUND(I746*J746/12,2),"n.a.")</x:f>
        <x:v>0</x:v>
      </x:c>
      <x:c r="N746" s="22" t="n">
        <x:f>IF(COUNT(I746:M746)=5,MIN(I746+M746,ROUND(MAX(K746,I746*L746+M746),2)),"n.a.")</x:f>
        <x:v>0</x:v>
      </x:c>
      <x:c r="O746" s="30" t="n">
        <x:f>IF(COUNT($I$742:$I$746)&lt;&gt;5,"n.a.",IF(I746=0,6,IF('Inputs'!$D$5=1,COUNTIFS($I$742:$I$746,"&gt;0",$I$742:$I$746,"&lt;"&amp;I746)+COUNTIFS($I$742:I746,I746),COUNTIFS($I$742:$I$746,"&gt;0",$J$742:$J$746,"&gt;"&amp;J746)+COUNTIFS($I$742:I746,"&gt;0",$J$742:J746,J746))))</x:f>
        <x:v>6</x:v>
      </x:c>
      <x:c r="P746" s="22" t="n">
        <x:f>IF(T746="Ready",MIN(U746,MAX(0,G746-SUMIFS($U$742:$U$746,$O$742:$O$746,"&lt;"&amp;O746))),"n.a.")</x:f>
        <x:v>0</x:v>
      </x:c>
      <x:c r="Q746" s="22" t="n">
        <x:f>IF(T746="Ready",ROUND(N746+P746,2),"n.a.")</x:f>
        <x:v>0</x:v>
      </x:c>
      <x:c r="R746" s="22" t="n">
        <x:f>IF(T746="Ready",ROUND(Q746-M746,2),"n.a.")</x:f>
        <x:v>0</x:v>
      </x:c>
      <x:c r="S746" s="22" t="n">
        <x:f>IF(T746="Ready",MAX(0,ROUND(I746+M746-Q746,2)),"n.a.")</x:f>
        <x:v>0</x:v>
      </x:c>
      <x:c r="T746" s="22" t="str">
        <x:f>IF(AND(COUNT($I$742:$I$746)=5,COUNT(E746:F746)=2),IF(E746&gt;=F746,"Ready","Budget below minima"),"Check inputs")</x:f>
        <x:v>Ready</x:v>
      </x:c>
      <x:c r="U746" s="22" t="n">
        <x:f>IF(COUNT(I746,M746,N746)=3,MAX(0,ROUND(I746+M746-N746,2)),"n.a.")</x:f>
        <x:v>0</x:v>
      </x:c>
    </x:row>
    <x:row r="747" ht="22" customHeight="1">
      <x:c r="A747" s="2"/>
      <x:c r="B747" s="2"/>
      <x:c r="C747" s="27" t="n">
        <x:f>149</x:f>
        <x:v>149</x:v>
      </x:c>
      <x:c r="D747" s="28" t="n">
        <x:f>IF(ISNUMBER('Inputs'!$D$7),EDATE('Inputs'!$D$7,148),"n.a.")</x:f>
        <x:v>50830</x:v>
      </x:c>
      <x:c r="E747" s="26" t="n">
        <x:f>IF('Inputs'!$D$9&lt;&gt;"Ready","n.a.",IF(ISNUMBER('Inputs'!E167),IF('Inputs'!E167&gt;=0,'Inputs'!E167,"n.a."),IF('Inputs'!E167="",'Inputs'!$D$6,"n.a.")))</x:f>
        <x:v>500</x:v>
      </x:c>
      <x:c r="F747" s="22" t="n">
        <x:f>IF(COUNT($N$747:$N$751)=5,SUM($N$747:$N$751),"n.a.")</x:f>
        <x:v>0</x:v>
      </x:c>
      <x:c r="G747" s="22" t="n">
        <x:f>IF(COUNT(E747:F747)=2,MAX(0,E747-F747),"n.a.")</x:f>
        <x:v>500</x:v>
      </x:c>
      <x:c r="H747" s="26" t="str">
        <x:f>'Inputs'!C11</x:f>
        <x:v>Card A</x:v>
      </x:c>
      <x:c r="I747" s="26" t="n">
        <x:f>S742</x:f>
        <x:v>0</x:v>
      </x:c>
      <x:c r="J747" s="29" t="n">
        <x:f>IF('Inputs'!$D$9="Ready",'Inputs'!E11,"n.a.")</x:f>
        <x:v>0.24</x:v>
      </x:c>
      <x:c r="K747" s="26" t="n">
        <x:f>IF('Inputs'!$D$9="Ready",'Inputs'!F11,"n.a.")</x:f>
        <x:v>35</x:v>
      </x:c>
      <x:c r="L747" s="29" t="n">
        <x:f>IF('Inputs'!$D$9="Ready",'Inputs'!G11,"n.a.")</x:f>
        <x:v>0.02</x:v>
      </x:c>
      <x:c r="M747" s="22" t="n">
        <x:f>IF(COUNT(I747:L747)=4,ROUND(I747*J747/12,2),"n.a.")</x:f>
        <x:v>0</x:v>
      </x:c>
      <x:c r="N747" s="22" t="n">
        <x:f>IF(COUNT(I747:M747)=5,MIN(I747+M747,ROUND(MAX(K747,I747*L747+M747),2)),"n.a.")</x:f>
        <x:v>0</x:v>
      </x:c>
      <x:c r="O747" s="30" t="n">
        <x:f>IF(COUNT($I$747:$I$751)&lt;&gt;5,"n.a.",IF(I747=0,6,IF('Inputs'!$D$5=1,COUNTIFS($I$747:$I$751,"&gt;0",$I$747:$I$751,"&lt;"&amp;I747)+COUNTIFS($I$747:I747,I747),COUNTIFS($I$747:$I$751,"&gt;0",$J$747:$J$751,"&gt;"&amp;J747)+COUNTIFS($I$747:I747,"&gt;0",$J$747:J747,J747))))</x:f>
        <x:v>6</x:v>
      </x:c>
      <x:c r="P747" s="22" t="n">
        <x:f>IF(T747="Ready",MIN(U747,MAX(0,G747-SUMIFS($U$747:$U$751,$O$747:$O$751,"&lt;"&amp;O747))),"n.a.")</x:f>
        <x:v>0</x:v>
      </x:c>
      <x:c r="Q747" s="22" t="n">
        <x:f>IF(T747="Ready",ROUND(N747+P747,2),"n.a.")</x:f>
        <x:v>0</x:v>
      </x:c>
      <x:c r="R747" s="22" t="n">
        <x:f>IF(T747="Ready",ROUND(Q747-M747,2),"n.a.")</x:f>
        <x:v>0</x:v>
      </x:c>
      <x:c r="S747" s="22" t="n">
        <x:f>IF(T747="Ready",MAX(0,ROUND(I747+M747-Q747,2)),"n.a.")</x:f>
        <x:v>0</x:v>
      </x:c>
      <x:c r="T747" s="22" t="str">
        <x:f>IF(AND(COUNT($I$747:$I$751)=5,COUNT(E747:F747)=2),IF(E747&gt;=F747,"Ready","Budget below minima"),"Check inputs")</x:f>
        <x:v>Ready</x:v>
      </x:c>
      <x:c r="U747" s="22" t="n">
        <x:f>IF(COUNT(I747,M747,N747)=3,MAX(0,ROUND(I747+M747-N747,2)),"n.a.")</x:f>
        <x:v>0</x:v>
      </x:c>
    </x:row>
    <x:row r="748" ht="22" customHeight="1">
      <x:c r="A748" s="2"/>
      <x:c r="B748" s="2"/>
      <x:c r="C748" s="27" t="n">
        <x:f>149</x:f>
        <x:v>149</x:v>
      </x:c>
      <x:c r="D748" s="28" t="n">
        <x:f>IF(ISNUMBER('Inputs'!$D$7),EDATE('Inputs'!$D$7,148),"n.a.")</x:f>
        <x:v>50830</x:v>
      </x:c>
      <x:c r="E748" s="26" t="n">
        <x:f>IF('Inputs'!$D$9&lt;&gt;"Ready","n.a.",IF(ISNUMBER('Inputs'!E167),IF('Inputs'!E167&gt;=0,'Inputs'!E167,"n.a."),IF('Inputs'!E167="",'Inputs'!$D$6,"n.a.")))</x:f>
        <x:v>500</x:v>
      </x:c>
      <x:c r="F748" s="22" t="n">
        <x:f>IF(COUNT($N$747:$N$751)=5,SUM($N$747:$N$751),"n.a.")</x:f>
        <x:v>0</x:v>
      </x:c>
      <x:c r="G748" s="22" t="n">
        <x:f>IF(COUNT(E748:F748)=2,MAX(0,E748-F748),"n.a.")</x:f>
        <x:v>500</x:v>
      </x:c>
      <x:c r="H748" s="26" t="str">
        <x:f>'Inputs'!C12</x:f>
        <x:v>Card B</x:v>
      </x:c>
      <x:c r="I748" s="26" t="n">
        <x:f>S743</x:f>
        <x:v>0</x:v>
      </x:c>
      <x:c r="J748" s="29" t="n">
        <x:f>IF('Inputs'!$D$9="Ready",'Inputs'!E12,"n.a.")</x:f>
        <x:v>0.18</x:v>
      </x:c>
      <x:c r="K748" s="26" t="n">
        <x:f>IF('Inputs'!$D$9="Ready",'Inputs'!F12,"n.a.")</x:f>
        <x:v>60</x:v>
      </x:c>
      <x:c r="L748" s="29" t="n">
        <x:f>IF('Inputs'!$D$9="Ready",'Inputs'!G12,"n.a.")</x:f>
        <x:v>0.02</x:v>
      </x:c>
      <x:c r="M748" s="22" t="n">
        <x:f>IF(COUNT(I748:L748)=4,ROUND(I748*J748/12,2),"n.a.")</x:f>
        <x:v>0</x:v>
      </x:c>
      <x:c r="N748" s="22" t="n">
        <x:f>IF(COUNT(I748:M748)=5,MIN(I748+M748,ROUND(MAX(K748,I748*L748+M748),2)),"n.a.")</x:f>
        <x:v>0</x:v>
      </x:c>
      <x:c r="O748" s="30" t="n">
        <x:f>IF(COUNT($I$747:$I$751)&lt;&gt;5,"n.a.",IF(I748=0,6,IF('Inputs'!$D$5=1,COUNTIFS($I$747:$I$751,"&gt;0",$I$747:$I$751,"&lt;"&amp;I748)+COUNTIFS($I$747:I748,I748),COUNTIFS($I$747:$I$751,"&gt;0",$J$747:$J$751,"&gt;"&amp;J748)+COUNTIFS($I$747:I748,"&gt;0",$J$747:J748,J748))))</x:f>
        <x:v>6</x:v>
      </x:c>
      <x:c r="P748" s="22" t="n">
        <x:f>IF(T748="Ready",MIN(U748,MAX(0,G748-SUMIFS($U$747:$U$751,$O$747:$O$751,"&lt;"&amp;O748))),"n.a.")</x:f>
        <x:v>0</x:v>
      </x:c>
      <x:c r="Q748" s="22" t="n">
        <x:f>IF(T748="Ready",ROUND(N748+P748,2),"n.a.")</x:f>
        <x:v>0</x:v>
      </x:c>
      <x:c r="R748" s="22" t="n">
        <x:f>IF(T748="Ready",ROUND(Q748-M748,2),"n.a.")</x:f>
        <x:v>0</x:v>
      </x:c>
      <x:c r="S748" s="22" t="n">
        <x:f>IF(T748="Ready",MAX(0,ROUND(I748+M748-Q748,2)),"n.a.")</x:f>
        <x:v>0</x:v>
      </x:c>
      <x:c r="T748" s="22" t="str">
        <x:f>IF(AND(COUNT($I$747:$I$751)=5,COUNT(E748:F748)=2),IF(E748&gt;=F748,"Ready","Budget below minima"),"Check inputs")</x:f>
        <x:v>Ready</x:v>
      </x:c>
      <x:c r="U748" s="22" t="n">
        <x:f>IF(COUNT(I748,M748,N748)=3,MAX(0,ROUND(I748+M748-N748,2)),"n.a.")</x:f>
        <x:v>0</x:v>
      </x:c>
    </x:row>
    <x:row r="749" ht="22" customHeight="1">
      <x:c r="A749" s="2"/>
      <x:c r="B749" s="2"/>
      <x:c r="C749" s="27" t="n">
        <x:f>149</x:f>
        <x:v>149</x:v>
      </x:c>
      <x:c r="D749" s="28" t="n">
        <x:f>IF(ISNUMBER('Inputs'!$D$7),EDATE('Inputs'!$D$7,148),"n.a.")</x:f>
        <x:v>50830</x:v>
      </x:c>
      <x:c r="E749" s="26" t="n">
        <x:f>IF('Inputs'!$D$9&lt;&gt;"Ready","n.a.",IF(ISNUMBER('Inputs'!E167),IF('Inputs'!E167&gt;=0,'Inputs'!E167,"n.a."),IF('Inputs'!E167="",'Inputs'!$D$6,"n.a.")))</x:f>
        <x:v>500</x:v>
      </x:c>
      <x:c r="F749" s="22" t="n">
        <x:f>IF(COUNT($N$747:$N$751)=5,SUM($N$747:$N$751),"n.a.")</x:f>
        <x:v>0</x:v>
      </x:c>
      <x:c r="G749" s="22" t="n">
        <x:f>IF(COUNT(E749:F749)=2,MAX(0,E749-F749),"n.a.")</x:f>
        <x:v>500</x:v>
      </x:c>
      <x:c r="H749" s="26" t="str">
        <x:f>'Inputs'!C13</x:f>
        <x:v>Loan C</x:v>
      </x:c>
      <x:c r="I749" s="26" t="n">
        <x:f>S744</x:f>
        <x:v>0</x:v>
      </x:c>
      <x:c r="J749" s="29" t="n">
        <x:f>IF('Inputs'!$D$9="Ready",'Inputs'!E13,"n.a.")</x:f>
        <x:v>0.08</x:v>
      </x:c>
      <x:c r="K749" s="26" t="n">
        <x:f>IF('Inputs'!$D$9="Ready",'Inputs'!F13,"n.a.")</x:f>
        <x:v>150</x:v>
      </x:c>
      <x:c r="L749" s="29" t="n">
        <x:f>IF('Inputs'!$D$9="Ready",'Inputs'!G13,"n.a.")</x:f>
        <x:v>0</x:v>
      </x:c>
      <x:c r="M749" s="22" t="n">
        <x:f>IF(COUNT(I749:L749)=4,ROUND(I749*J749/12,2),"n.a.")</x:f>
        <x:v>0</x:v>
      </x:c>
      <x:c r="N749" s="22" t="n">
        <x:f>IF(COUNT(I749:M749)=5,MIN(I749+M749,ROUND(MAX(K749,I749*L749+M749),2)),"n.a.")</x:f>
        <x:v>0</x:v>
      </x:c>
      <x:c r="O749" s="30" t="n">
        <x:f>IF(COUNT($I$747:$I$751)&lt;&gt;5,"n.a.",IF(I749=0,6,IF('Inputs'!$D$5=1,COUNTIFS($I$747:$I$751,"&gt;0",$I$747:$I$751,"&lt;"&amp;I749)+COUNTIFS($I$747:I749,I749),COUNTIFS($I$747:$I$751,"&gt;0",$J$747:$J$751,"&gt;"&amp;J749)+COUNTIFS($I$747:I749,"&gt;0",$J$747:J749,J749))))</x:f>
        <x:v>6</x:v>
      </x:c>
      <x:c r="P749" s="22" t="n">
        <x:f>IF(T749="Ready",MIN(U749,MAX(0,G749-SUMIFS($U$747:$U$751,$O$747:$O$751,"&lt;"&amp;O749))),"n.a.")</x:f>
        <x:v>0</x:v>
      </x:c>
      <x:c r="Q749" s="22" t="n">
        <x:f>IF(T749="Ready",ROUND(N749+P749,2),"n.a.")</x:f>
        <x:v>0</x:v>
      </x:c>
      <x:c r="R749" s="22" t="n">
        <x:f>IF(T749="Ready",ROUND(Q749-M749,2),"n.a.")</x:f>
        <x:v>0</x:v>
      </x:c>
      <x:c r="S749" s="22" t="n">
        <x:f>IF(T749="Ready",MAX(0,ROUND(I749+M749-Q749,2)),"n.a.")</x:f>
        <x:v>0</x:v>
      </x:c>
      <x:c r="T749" s="22" t="str">
        <x:f>IF(AND(COUNT($I$747:$I$751)=5,COUNT(E749:F749)=2),IF(E749&gt;=F749,"Ready","Budget below minima"),"Check inputs")</x:f>
        <x:v>Ready</x:v>
      </x:c>
      <x:c r="U749" s="22" t="n">
        <x:f>IF(COUNT(I749,M749,N749)=3,MAX(0,ROUND(I749+M749-N749,2)),"n.a.")</x:f>
        <x:v>0</x:v>
      </x:c>
    </x:row>
    <x:row r="750" ht="22" customHeight="1">
      <x:c r="A750" s="2"/>
      <x:c r="B750" s="2"/>
      <x:c r="C750" s="27" t="n">
        <x:f>149</x:f>
        <x:v>149</x:v>
      </x:c>
      <x:c r="D750" s="28" t="n">
        <x:f>IF(ISNUMBER('Inputs'!$D$7),EDATE('Inputs'!$D$7,148),"n.a.")</x:f>
        <x:v>50830</x:v>
      </x:c>
      <x:c r="E750" s="26" t="n">
        <x:f>IF('Inputs'!$D$9&lt;&gt;"Ready","n.a.",IF(ISNUMBER('Inputs'!E167),IF('Inputs'!E167&gt;=0,'Inputs'!E167,"n.a."),IF('Inputs'!E167="",'Inputs'!$D$6,"n.a.")))</x:f>
        <x:v>500</x:v>
      </x:c>
      <x:c r="F750" s="22" t="n">
        <x:f>IF(COUNT($N$747:$N$751)=5,SUM($N$747:$N$751),"n.a.")</x:f>
        <x:v>0</x:v>
      </x:c>
      <x:c r="G750" s="22" t="n">
        <x:f>IF(COUNT(E750:F750)=2,MAX(0,E750-F750),"n.a.")</x:f>
        <x:v>500</x:v>
      </x:c>
      <x:c r="H750" s="26" t="str">
        <x:f>'Inputs'!C14</x:f>
        <x:v>Unused 4</x:v>
      </x:c>
      <x:c r="I750" s="26" t="n">
        <x:f>S745</x:f>
        <x:v>0</x:v>
      </x:c>
      <x:c r="J750" s="29" t="n">
        <x:f>IF('Inputs'!$D$9="Ready",'Inputs'!E14,"n.a.")</x:f>
        <x:v>0</x:v>
      </x:c>
      <x:c r="K750" s="26" t="n">
        <x:f>IF('Inputs'!$D$9="Ready",'Inputs'!F14,"n.a.")</x:f>
        <x:v>0</x:v>
      </x:c>
      <x:c r="L750" s="29" t="n">
        <x:f>IF('Inputs'!$D$9="Ready",'Inputs'!G14,"n.a.")</x:f>
        <x:v>0</x:v>
      </x:c>
      <x:c r="M750" s="22" t="n">
        <x:f>IF(COUNT(I750:L750)=4,ROUND(I750*J750/12,2),"n.a.")</x:f>
        <x:v>0</x:v>
      </x:c>
      <x:c r="N750" s="22" t="n">
        <x:f>IF(COUNT(I750:M750)=5,MIN(I750+M750,ROUND(MAX(K750,I750*L750+M750),2)),"n.a.")</x:f>
        <x:v>0</x:v>
      </x:c>
      <x:c r="O750" s="30" t="n">
        <x:f>IF(COUNT($I$747:$I$751)&lt;&gt;5,"n.a.",IF(I750=0,6,IF('Inputs'!$D$5=1,COUNTIFS($I$747:$I$751,"&gt;0",$I$747:$I$751,"&lt;"&amp;I750)+COUNTIFS($I$747:I750,I750),COUNTIFS($I$747:$I$751,"&gt;0",$J$747:$J$751,"&gt;"&amp;J750)+COUNTIFS($I$747:I750,"&gt;0",$J$747:J750,J750))))</x:f>
        <x:v>6</x:v>
      </x:c>
      <x:c r="P750" s="22" t="n">
        <x:f>IF(T750="Ready",MIN(U750,MAX(0,G750-SUMIFS($U$747:$U$751,$O$747:$O$751,"&lt;"&amp;O750))),"n.a.")</x:f>
        <x:v>0</x:v>
      </x:c>
      <x:c r="Q750" s="22" t="n">
        <x:f>IF(T750="Ready",ROUND(N750+P750,2),"n.a.")</x:f>
        <x:v>0</x:v>
      </x:c>
      <x:c r="R750" s="22" t="n">
        <x:f>IF(T750="Ready",ROUND(Q750-M750,2),"n.a.")</x:f>
        <x:v>0</x:v>
      </x:c>
      <x:c r="S750" s="22" t="n">
        <x:f>IF(T750="Ready",MAX(0,ROUND(I750+M750-Q750,2)),"n.a.")</x:f>
        <x:v>0</x:v>
      </x:c>
      <x:c r="T750" s="22" t="str">
        <x:f>IF(AND(COUNT($I$747:$I$751)=5,COUNT(E750:F750)=2),IF(E750&gt;=F750,"Ready","Budget below minima"),"Check inputs")</x:f>
        <x:v>Ready</x:v>
      </x:c>
      <x:c r="U750" s="22" t="n">
        <x:f>IF(COUNT(I750,M750,N750)=3,MAX(0,ROUND(I750+M750-N750,2)),"n.a.")</x:f>
        <x:v>0</x:v>
      </x:c>
    </x:row>
    <x:row r="751" ht="22" customHeight="1">
      <x:c r="A751" s="2"/>
      <x:c r="B751" s="2"/>
      <x:c r="C751" s="27" t="n">
        <x:f>149</x:f>
        <x:v>149</x:v>
      </x:c>
      <x:c r="D751" s="28" t="n">
        <x:f>IF(ISNUMBER('Inputs'!$D$7),EDATE('Inputs'!$D$7,148),"n.a.")</x:f>
        <x:v>50830</x:v>
      </x:c>
      <x:c r="E751" s="26" t="n">
        <x:f>IF('Inputs'!$D$9&lt;&gt;"Ready","n.a.",IF(ISNUMBER('Inputs'!E167),IF('Inputs'!E167&gt;=0,'Inputs'!E167,"n.a."),IF('Inputs'!E167="",'Inputs'!$D$6,"n.a.")))</x:f>
        <x:v>500</x:v>
      </x:c>
      <x:c r="F751" s="22" t="n">
        <x:f>IF(COUNT($N$747:$N$751)=5,SUM($N$747:$N$751),"n.a.")</x:f>
        <x:v>0</x:v>
      </x:c>
      <x:c r="G751" s="22" t="n">
        <x:f>IF(COUNT(E751:F751)=2,MAX(0,E751-F751),"n.a.")</x:f>
        <x:v>500</x:v>
      </x:c>
      <x:c r="H751" s="26" t="str">
        <x:f>'Inputs'!C15</x:f>
        <x:v>Unused 5</x:v>
      </x:c>
      <x:c r="I751" s="26" t="n">
        <x:f>S746</x:f>
        <x:v>0</x:v>
      </x:c>
      <x:c r="J751" s="29" t="n">
        <x:f>IF('Inputs'!$D$9="Ready",'Inputs'!E15,"n.a.")</x:f>
        <x:v>0</x:v>
      </x:c>
      <x:c r="K751" s="26" t="n">
        <x:f>IF('Inputs'!$D$9="Ready",'Inputs'!F15,"n.a.")</x:f>
        <x:v>0</x:v>
      </x:c>
      <x:c r="L751" s="29" t="n">
        <x:f>IF('Inputs'!$D$9="Ready",'Inputs'!G15,"n.a.")</x:f>
        <x:v>0</x:v>
      </x:c>
      <x:c r="M751" s="22" t="n">
        <x:f>IF(COUNT(I751:L751)=4,ROUND(I751*J751/12,2),"n.a.")</x:f>
        <x:v>0</x:v>
      </x:c>
      <x:c r="N751" s="22" t="n">
        <x:f>IF(COUNT(I751:M751)=5,MIN(I751+M751,ROUND(MAX(K751,I751*L751+M751),2)),"n.a.")</x:f>
        <x:v>0</x:v>
      </x:c>
      <x:c r="O751" s="30" t="n">
        <x:f>IF(COUNT($I$747:$I$751)&lt;&gt;5,"n.a.",IF(I751=0,6,IF('Inputs'!$D$5=1,COUNTIFS($I$747:$I$751,"&gt;0",$I$747:$I$751,"&lt;"&amp;I751)+COUNTIFS($I$747:I751,I751),COUNTIFS($I$747:$I$751,"&gt;0",$J$747:$J$751,"&gt;"&amp;J751)+COUNTIFS($I$747:I751,"&gt;0",$J$747:J751,J751))))</x:f>
        <x:v>6</x:v>
      </x:c>
      <x:c r="P751" s="22" t="n">
        <x:f>IF(T751="Ready",MIN(U751,MAX(0,G751-SUMIFS($U$747:$U$751,$O$747:$O$751,"&lt;"&amp;O751))),"n.a.")</x:f>
        <x:v>0</x:v>
      </x:c>
      <x:c r="Q751" s="22" t="n">
        <x:f>IF(T751="Ready",ROUND(N751+P751,2),"n.a.")</x:f>
        <x:v>0</x:v>
      </x:c>
      <x:c r="R751" s="22" t="n">
        <x:f>IF(T751="Ready",ROUND(Q751-M751,2),"n.a.")</x:f>
        <x:v>0</x:v>
      </x:c>
      <x:c r="S751" s="22" t="n">
        <x:f>IF(T751="Ready",MAX(0,ROUND(I751+M751-Q751,2)),"n.a.")</x:f>
        <x:v>0</x:v>
      </x:c>
      <x:c r="T751" s="22" t="str">
        <x:f>IF(AND(COUNT($I$747:$I$751)=5,COUNT(E751:F751)=2),IF(E751&gt;=F751,"Ready","Budget below minima"),"Check inputs")</x:f>
        <x:v>Ready</x:v>
      </x:c>
      <x:c r="U751" s="22" t="n">
        <x:f>IF(COUNT(I751,M751,N751)=3,MAX(0,ROUND(I751+M751-N751,2)),"n.a.")</x:f>
        <x:v>0</x:v>
      </x:c>
    </x:row>
    <x:row r="752" ht="22" customHeight="1">
      <x:c r="A752" s="2"/>
      <x:c r="B752" s="2"/>
      <x:c r="C752" s="27" t="n">
        <x:f>150</x:f>
        <x:v>150</x:v>
      </x:c>
      <x:c r="D752" s="28" t="n">
        <x:f>IF(ISNUMBER('Inputs'!$D$7),EDATE('Inputs'!$D$7,149),"n.a.")</x:f>
        <x:v>50861</x:v>
      </x:c>
      <x:c r="E752" s="26" t="n">
        <x:f>IF('Inputs'!$D$9&lt;&gt;"Ready","n.a.",IF(ISNUMBER('Inputs'!E168),IF('Inputs'!E168&gt;=0,'Inputs'!E168,"n.a."),IF('Inputs'!E168="",'Inputs'!$D$6,"n.a.")))</x:f>
        <x:v>500</x:v>
      </x:c>
      <x:c r="F752" s="22" t="n">
        <x:f>IF(COUNT($N$752:$N$756)=5,SUM($N$752:$N$756),"n.a.")</x:f>
        <x:v>0</x:v>
      </x:c>
      <x:c r="G752" s="22" t="n">
        <x:f>IF(COUNT(E752:F752)=2,MAX(0,E752-F752),"n.a.")</x:f>
        <x:v>500</x:v>
      </x:c>
      <x:c r="H752" s="26" t="str">
        <x:f>'Inputs'!C11</x:f>
        <x:v>Card A</x:v>
      </x:c>
      <x:c r="I752" s="26" t="n">
        <x:f>S747</x:f>
        <x:v>0</x:v>
      </x:c>
      <x:c r="J752" s="29" t="n">
        <x:f>IF('Inputs'!$D$9="Ready",'Inputs'!E11,"n.a.")</x:f>
        <x:v>0.24</x:v>
      </x:c>
      <x:c r="K752" s="26" t="n">
        <x:f>IF('Inputs'!$D$9="Ready",'Inputs'!F11,"n.a.")</x:f>
        <x:v>35</x:v>
      </x:c>
      <x:c r="L752" s="29" t="n">
        <x:f>IF('Inputs'!$D$9="Ready",'Inputs'!G11,"n.a.")</x:f>
        <x:v>0.02</x:v>
      </x:c>
      <x:c r="M752" s="22" t="n">
        <x:f>IF(COUNT(I752:L752)=4,ROUND(I752*J752/12,2),"n.a.")</x:f>
        <x:v>0</x:v>
      </x:c>
      <x:c r="N752" s="22" t="n">
        <x:f>IF(COUNT(I752:M752)=5,MIN(I752+M752,ROUND(MAX(K752,I752*L752+M752),2)),"n.a.")</x:f>
        <x:v>0</x:v>
      </x:c>
      <x:c r="O752" s="30" t="n">
        <x:f>IF(COUNT($I$752:$I$756)&lt;&gt;5,"n.a.",IF(I752=0,6,IF('Inputs'!$D$5=1,COUNTIFS($I$752:$I$756,"&gt;0",$I$752:$I$756,"&lt;"&amp;I752)+COUNTIFS($I$752:I752,I752),COUNTIFS($I$752:$I$756,"&gt;0",$J$752:$J$756,"&gt;"&amp;J752)+COUNTIFS($I$752:I752,"&gt;0",$J$752:J752,J752))))</x:f>
        <x:v>6</x:v>
      </x:c>
      <x:c r="P752" s="22" t="n">
        <x:f>IF(T752="Ready",MIN(U752,MAX(0,G752-SUMIFS($U$752:$U$756,$O$752:$O$756,"&lt;"&amp;O752))),"n.a.")</x:f>
        <x:v>0</x:v>
      </x:c>
      <x:c r="Q752" s="22" t="n">
        <x:f>IF(T752="Ready",ROUND(N752+P752,2),"n.a.")</x:f>
        <x:v>0</x:v>
      </x:c>
      <x:c r="R752" s="22" t="n">
        <x:f>IF(T752="Ready",ROUND(Q752-M752,2),"n.a.")</x:f>
        <x:v>0</x:v>
      </x:c>
      <x:c r="S752" s="22" t="n">
        <x:f>IF(T752="Ready",MAX(0,ROUND(I752+M752-Q752,2)),"n.a.")</x:f>
        <x:v>0</x:v>
      </x:c>
      <x:c r="T752" s="22" t="str">
        <x:f>IF(AND(COUNT($I$752:$I$756)=5,COUNT(E752:F752)=2),IF(E752&gt;=F752,"Ready","Budget below minima"),"Check inputs")</x:f>
        <x:v>Ready</x:v>
      </x:c>
      <x:c r="U752" s="22" t="n">
        <x:f>IF(COUNT(I752,M752,N752)=3,MAX(0,ROUND(I752+M752-N752,2)),"n.a.")</x:f>
        <x:v>0</x:v>
      </x:c>
    </x:row>
    <x:row r="753" ht="22" customHeight="1">
      <x:c r="A753" s="2"/>
      <x:c r="B753" s="2"/>
      <x:c r="C753" s="27" t="n">
        <x:f>150</x:f>
        <x:v>150</x:v>
      </x:c>
      <x:c r="D753" s="28" t="n">
        <x:f>IF(ISNUMBER('Inputs'!$D$7),EDATE('Inputs'!$D$7,149),"n.a.")</x:f>
        <x:v>50861</x:v>
      </x:c>
      <x:c r="E753" s="26" t="n">
        <x:f>IF('Inputs'!$D$9&lt;&gt;"Ready","n.a.",IF(ISNUMBER('Inputs'!E168),IF('Inputs'!E168&gt;=0,'Inputs'!E168,"n.a."),IF('Inputs'!E168="",'Inputs'!$D$6,"n.a.")))</x:f>
        <x:v>500</x:v>
      </x:c>
      <x:c r="F753" s="22" t="n">
        <x:f>IF(COUNT($N$752:$N$756)=5,SUM($N$752:$N$756),"n.a.")</x:f>
        <x:v>0</x:v>
      </x:c>
      <x:c r="G753" s="22" t="n">
        <x:f>IF(COUNT(E753:F753)=2,MAX(0,E753-F753),"n.a.")</x:f>
        <x:v>500</x:v>
      </x:c>
      <x:c r="H753" s="26" t="str">
        <x:f>'Inputs'!C12</x:f>
        <x:v>Card B</x:v>
      </x:c>
      <x:c r="I753" s="26" t="n">
        <x:f>S748</x:f>
        <x:v>0</x:v>
      </x:c>
      <x:c r="J753" s="29" t="n">
        <x:f>IF('Inputs'!$D$9="Ready",'Inputs'!E12,"n.a.")</x:f>
        <x:v>0.18</x:v>
      </x:c>
      <x:c r="K753" s="26" t="n">
        <x:f>IF('Inputs'!$D$9="Ready",'Inputs'!F12,"n.a.")</x:f>
        <x:v>60</x:v>
      </x:c>
      <x:c r="L753" s="29" t="n">
        <x:f>IF('Inputs'!$D$9="Ready",'Inputs'!G12,"n.a.")</x:f>
        <x:v>0.02</x:v>
      </x:c>
      <x:c r="M753" s="22" t="n">
        <x:f>IF(COUNT(I753:L753)=4,ROUND(I753*J753/12,2),"n.a.")</x:f>
        <x:v>0</x:v>
      </x:c>
      <x:c r="N753" s="22" t="n">
        <x:f>IF(COUNT(I753:M753)=5,MIN(I753+M753,ROUND(MAX(K753,I753*L753+M753),2)),"n.a.")</x:f>
        <x:v>0</x:v>
      </x:c>
      <x:c r="O753" s="30" t="n">
        <x:f>IF(COUNT($I$752:$I$756)&lt;&gt;5,"n.a.",IF(I753=0,6,IF('Inputs'!$D$5=1,COUNTIFS($I$752:$I$756,"&gt;0",$I$752:$I$756,"&lt;"&amp;I753)+COUNTIFS($I$752:I753,I753),COUNTIFS($I$752:$I$756,"&gt;0",$J$752:$J$756,"&gt;"&amp;J753)+COUNTIFS($I$752:I753,"&gt;0",$J$752:J753,J753))))</x:f>
        <x:v>6</x:v>
      </x:c>
      <x:c r="P753" s="22" t="n">
        <x:f>IF(T753="Ready",MIN(U753,MAX(0,G753-SUMIFS($U$752:$U$756,$O$752:$O$756,"&lt;"&amp;O753))),"n.a.")</x:f>
        <x:v>0</x:v>
      </x:c>
      <x:c r="Q753" s="22" t="n">
        <x:f>IF(T753="Ready",ROUND(N753+P753,2),"n.a.")</x:f>
        <x:v>0</x:v>
      </x:c>
      <x:c r="R753" s="22" t="n">
        <x:f>IF(T753="Ready",ROUND(Q753-M753,2),"n.a.")</x:f>
        <x:v>0</x:v>
      </x:c>
      <x:c r="S753" s="22" t="n">
        <x:f>IF(T753="Ready",MAX(0,ROUND(I753+M753-Q753,2)),"n.a.")</x:f>
        <x:v>0</x:v>
      </x:c>
      <x:c r="T753" s="22" t="str">
        <x:f>IF(AND(COUNT($I$752:$I$756)=5,COUNT(E753:F753)=2),IF(E753&gt;=F753,"Ready","Budget below minima"),"Check inputs")</x:f>
        <x:v>Ready</x:v>
      </x:c>
      <x:c r="U753" s="22" t="n">
        <x:f>IF(COUNT(I753,M753,N753)=3,MAX(0,ROUND(I753+M753-N753,2)),"n.a.")</x:f>
        <x:v>0</x:v>
      </x:c>
    </x:row>
    <x:row r="754" ht="22" customHeight="1">
      <x:c r="A754" s="2"/>
      <x:c r="B754" s="2"/>
      <x:c r="C754" s="27" t="n">
        <x:f>150</x:f>
        <x:v>150</x:v>
      </x:c>
      <x:c r="D754" s="28" t="n">
        <x:f>IF(ISNUMBER('Inputs'!$D$7),EDATE('Inputs'!$D$7,149),"n.a.")</x:f>
        <x:v>50861</x:v>
      </x:c>
      <x:c r="E754" s="26" t="n">
        <x:f>IF('Inputs'!$D$9&lt;&gt;"Ready","n.a.",IF(ISNUMBER('Inputs'!E168),IF('Inputs'!E168&gt;=0,'Inputs'!E168,"n.a."),IF('Inputs'!E168="",'Inputs'!$D$6,"n.a.")))</x:f>
        <x:v>500</x:v>
      </x:c>
      <x:c r="F754" s="22" t="n">
        <x:f>IF(COUNT($N$752:$N$756)=5,SUM($N$752:$N$756),"n.a.")</x:f>
        <x:v>0</x:v>
      </x:c>
      <x:c r="G754" s="22" t="n">
        <x:f>IF(COUNT(E754:F754)=2,MAX(0,E754-F754),"n.a.")</x:f>
        <x:v>500</x:v>
      </x:c>
      <x:c r="H754" s="26" t="str">
        <x:f>'Inputs'!C13</x:f>
        <x:v>Loan C</x:v>
      </x:c>
      <x:c r="I754" s="26" t="n">
        <x:f>S749</x:f>
        <x:v>0</x:v>
      </x:c>
      <x:c r="J754" s="29" t="n">
        <x:f>IF('Inputs'!$D$9="Ready",'Inputs'!E13,"n.a.")</x:f>
        <x:v>0.08</x:v>
      </x:c>
      <x:c r="K754" s="26" t="n">
        <x:f>IF('Inputs'!$D$9="Ready",'Inputs'!F13,"n.a.")</x:f>
        <x:v>150</x:v>
      </x:c>
      <x:c r="L754" s="29" t="n">
        <x:f>IF('Inputs'!$D$9="Ready",'Inputs'!G13,"n.a.")</x:f>
        <x:v>0</x:v>
      </x:c>
      <x:c r="M754" s="22" t="n">
        <x:f>IF(COUNT(I754:L754)=4,ROUND(I754*J754/12,2),"n.a.")</x:f>
        <x:v>0</x:v>
      </x:c>
      <x:c r="N754" s="22" t="n">
        <x:f>IF(COUNT(I754:M754)=5,MIN(I754+M754,ROUND(MAX(K754,I754*L754+M754),2)),"n.a.")</x:f>
        <x:v>0</x:v>
      </x:c>
      <x:c r="O754" s="30" t="n">
        <x:f>IF(COUNT($I$752:$I$756)&lt;&gt;5,"n.a.",IF(I754=0,6,IF('Inputs'!$D$5=1,COUNTIFS($I$752:$I$756,"&gt;0",$I$752:$I$756,"&lt;"&amp;I754)+COUNTIFS($I$752:I754,I754),COUNTIFS($I$752:$I$756,"&gt;0",$J$752:$J$756,"&gt;"&amp;J754)+COUNTIFS($I$752:I754,"&gt;0",$J$752:J754,J754))))</x:f>
        <x:v>6</x:v>
      </x:c>
      <x:c r="P754" s="22" t="n">
        <x:f>IF(T754="Ready",MIN(U754,MAX(0,G754-SUMIFS($U$752:$U$756,$O$752:$O$756,"&lt;"&amp;O754))),"n.a.")</x:f>
        <x:v>0</x:v>
      </x:c>
      <x:c r="Q754" s="22" t="n">
        <x:f>IF(T754="Ready",ROUND(N754+P754,2),"n.a.")</x:f>
        <x:v>0</x:v>
      </x:c>
      <x:c r="R754" s="22" t="n">
        <x:f>IF(T754="Ready",ROUND(Q754-M754,2),"n.a.")</x:f>
        <x:v>0</x:v>
      </x:c>
      <x:c r="S754" s="22" t="n">
        <x:f>IF(T754="Ready",MAX(0,ROUND(I754+M754-Q754,2)),"n.a.")</x:f>
        <x:v>0</x:v>
      </x:c>
      <x:c r="T754" s="22" t="str">
        <x:f>IF(AND(COUNT($I$752:$I$756)=5,COUNT(E754:F754)=2),IF(E754&gt;=F754,"Ready","Budget below minima"),"Check inputs")</x:f>
        <x:v>Ready</x:v>
      </x:c>
      <x:c r="U754" s="22" t="n">
        <x:f>IF(COUNT(I754,M754,N754)=3,MAX(0,ROUND(I754+M754-N754,2)),"n.a.")</x:f>
        <x:v>0</x:v>
      </x:c>
    </x:row>
    <x:row r="755" ht="22" customHeight="1">
      <x:c r="A755" s="2"/>
      <x:c r="B755" s="2"/>
      <x:c r="C755" s="27" t="n">
        <x:f>150</x:f>
        <x:v>150</x:v>
      </x:c>
      <x:c r="D755" s="28" t="n">
        <x:f>IF(ISNUMBER('Inputs'!$D$7),EDATE('Inputs'!$D$7,149),"n.a.")</x:f>
        <x:v>50861</x:v>
      </x:c>
      <x:c r="E755" s="26" t="n">
        <x:f>IF('Inputs'!$D$9&lt;&gt;"Ready","n.a.",IF(ISNUMBER('Inputs'!E168),IF('Inputs'!E168&gt;=0,'Inputs'!E168,"n.a."),IF('Inputs'!E168="",'Inputs'!$D$6,"n.a.")))</x:f>
        <x:v>500</x:v>
      </x:c>
      <x:c r="F755" s="22" t="n">
        <x:f>IF(COUNT($N$752:$N$756)=5,SUM($N$752:$N$756),"n.a.")</x:f>
        <x:v>0</x:v>
      </x:c>
      <x:c r="G755" s="22" t="n">
        <x:f>IF(COUNT(E755:F755)=2,MAX(0,E755-F755),"n.a.")</x:f>
        <x:v>500</x:v>
      </x:c>
      <x:c r="H755" s="26" t="str">
        <x:f>'Inputs'!C14</x:f>
        <x:v>Unused 4</x:v>
      </x:c>
      <x:c r="I755" s="26" t="n">
        <x:f>S750</x:f>
        <x:v>0</x:v>
      </x:c>
      <x:c r="J755" s="29" t="n">
        <x:f>IF('Inputs'!$D$9="Ready",'Inputs'!E14,"n.a.")</x:f>
        <x:v>0</x:v>
      </x:c>
      <x:c r="K755" s="26" t="n">
        <x:f>IF('Inputs'!$D$9="Ready",'Inputs'!F14,"n.a.")</x:f>
        <x:v>0</x:v>
      </x:c>
      <x:c r="L755" s="29" t="n">
        <x:f>IF('Inputs'!$D$9="Ready",'Inputs'!G14,"n.a.")</x:f>
        <x:v>0</x:v>
      </x:c>
      <x:c r="M755" s="22" t="n">
        <x:f>IF(COUNT(I755:L755)=4,ROUND(I755*J755/12,2),"n.a.")</x:f>
        <x:v>0</x:v>
      </x:c>
      <x:c r="N755" s="22" t="n">
        <x:f>IF(COUNT(I755:M755)=5,MIN(I755+M755,ROUND(MAX(K755,I755*L755+M755),2)),"n.a.")</x:f>
        <x:v>0</x:v>
      </x:c>
      <x:c r="O755" s="30" t="n">
        <x:f>IF(COUNT($I$752:$I$756)&lt;&gt;5,"n.a.",IF(I755=0,6,IF('Inputs'!$D$5=1,COUNTIFS($I$752:$I$756,"&gt;0",$I$752:$I$756,"&lt;"&amp;I755)+COUNTIFS($I$752:I755,I755),COUNTIFS($I$752:$I$756,"&gt;0",$J$752:$J$756,"&gt;"&amp;J755)+COUNTIFS($I$752:I755,"&gt;0",$J$752:J755,J755))))</x:f>
        <x:v>6</x:v>
      </x:c>
      <x:c r="P755" s="22" t="n">
        <x:f>IF(T755="Ready",MIN(U755,MAX(0,G755-SUMIFS($U$752:$U$756,$O$752:$O$756,"&lt;"&amp;O755))),"n.a.")</x:f>
        <x:v>0</x:v>
      </x:c>
      <x:c r="Q755" s="22" t="n">
        <x:f>IF(T755="Ready",ROUND(N755+P755,2),"n.a.")</x:f>
        <x:v>0</x:v>
      </x:c>
      <x:c r="R755" s="22" t="n">
        <x:f>IF(T755="Ready",ROUND(Q755-M755,2),"n.a.")</x:f>
        <x:v>0</x:v>
      </x:c>
      <x:c r="S755" s="22" t="n">
        <x:f>IF(T755="Ready",MAX(0,ROUND(I755+M755-Q755,2)),"n.a.")</x:f>
        <x:v>0</x:v>
      </x:c>
      <x:c r="T755" s="22" t="str">
        <x:f>IF(AND(COUNT($I$752:$I$756)=5,COUNT(E755:F755)=2),IF(E755&gt;=F755,"Ready","Budget below minima"),"Check inputs")</x:f>
        <x:v>Ready</x:v>
      </x:c>
      <x:c r="U755" s="22" t="n">
        <x:f>IF(COUNT(I755,M755,N755)=3,MAX(0,ROUND(I755+M755-N755,2)),"n.a.")</x:f>
        <x:v>0</x:v>
      </x:c>
    </x:row>
    <x:row r="756" ht="22" customHeight="1">
      <x:c r="A756" s="2"/>
      <x:c r="B756" s="2"/>
      <x:c r="C756" s="27" t="n">
        <x:f>150</x:f>
        <x:v>150</x:v>
      </x:c>
      <x:c r="D756" s="28" t="n">
        <x:f>IF(ISNUMBER('Inputs'!$D$7),EDATE('Inputs'!$D$7,149),"n.a.")</x:f>
        <x:v>50861</x:v>
      </x:c>
      <x:c r="E756" s="26" t="n">
        <x:f>IF('Inputs'!$D$9&lt;&gt;"Ready","n.a.",IF(ISNUMBER('Inputs'!E168),IF('Inputs'!E168&gt;=0,'Inputs'!E168,"n.a."),IF('Inputs'!E168="",'Inputs'!$D$6,"n.a.")))</x:f>
        <x:v>500</x:v>
      </x:c>
      <x:c r="F756" s="22" t="n">
        <x:f>IF(COUNT($N$752:$N$756)=5,SUM($N$752:$N$756),"n.a.")</x:f>
        <x:v>0</x:v>
      </x:c>
      <x:c r="G756" s="22" t="n">
        <x:f>IF(COUNT(E756:F756)=2,MAX(0,E756-F756),"n.a.")</x:f>
        <x:v>500</x:v>
      </x:c>
      <x:c r="H756" s="26" t="str">
        <x:f>'Inputs'!C15</x:f>
        <x:v>Unused 5</x:v>
      </x:c>
      <x:c r="I756" s="26" t="n">
        <x:f>S751</x:f>
        <x:v>0</x:v>
      </x:c>
      <x:c r="J756" s="29" t="n">
        <x:f>IF('Inputs'!$D$9="Ready",'Inputs'!E15,"n.a.")</x:f>
        <x:v>0</x:v>
      </x:c>
      <x:c r="K756" s="26" t="n">
        <x:f>IF('Inputs'!$D$9="Ready",'Inputs'!F15,"n.a.")</x:f>
        <x:v>0</x:v>
      </x:c>
      <x:c r="L756" s="29" t="n">
        <x:f>IF('Inputs'!$D$9="Ready",'Inputs'!G15,"n.a.")</x:f>
        <x:v>0</x:v>
      </x:c>
      <x:c r="M756" s="22" t="n">
        <x:f>IF(COUNT(I756:L756)=4,ROUND(I756*J756/12,2),"n.a.")</x:f>
        <x:v>0</x:v>
      </x:c>
      <x:c r="N756" s="22" t="n">
        <x:f>IF(COUNT(I756:M756)=5,MIN(I756+M756,ROUND(MAX(K756,I756*L756+M756),2)),"n.a.")</x:f>
        <x:v>0</x:v>
      </x:c>
      <x:c r="O756" s="30" t="n">
        <x:f>IF(COUNT($I$752:$I$756)&lt;&gt;5,"n.a.",IF(I756=0,6,IF('Inputs'!$D$5=1,COUNTIFS($I$752:$I$756,"&gt;0",$I$752:$I$756,"&lt;"&amp;I756)+COUNTIFS($I$752:I756,I756),COUNTIFS($I$752:$I$756,"&gt;0",$J$752:$J$756,"&gt;"&amp;J756)+COUNTIFS($I$752:I756,"&gt;0",$J$752:J756,J756))))</x:f>
        <x:v>6</x:v>
      </x:c>
      <x:c r="P756" s="22" t="n">
        <x:f>IF(T756="Ready",MIN(U756,MAX(0,G756-SUMIFS($U$752:$U$756,$O$752:$O$756,"&lt;"&amp;O756))),"n.a.")</x:f>
        <x:v>0</x:v>
      </x:c>
      <x:c r="Q756" s="22" t="n">
        <x:f>IF(T756="Ready",ROUND(N756+P756,2),"n.a.")</x:f>
        <x:v>0</x:v>
      </x:c>
      <x:c r="R756" s="22" t="n">
        <x:f>IF(T756="Ready",ROUND(Q756-M756,2),"n.a.")</x:f>
        <x:v>0</x:v>
      </x:c>
      <x:c r="S756" s="22" t="n">
        <x:f>IF(T756="Ready",MAX(0,ROUND(I756+M756-Q756,2)),"n.a.")</x:f>
        <x:v>0</x:v>
      </x:c>
      <x:c r="T756" s="22" t="str">
        <x:f>IF(AND(COUNT($I$752:$I$756)=5,COUNT(E756:F756)=2),IF(E756&gt;=F756,"Ready","Budget below minima"),"Check inputs")</x:f>
        <x:v>Ready</x:v>
      </x:c>
      <x:c r="U756" s="22" t="n">
        <x:f>IF(COUNT(I756,M756,N756)=3,MAX(0,ROUND(I756+M756-N756,2)),"n.a.")</x:f>
        <x:v>0</x:v>
      </x:c>
    </x:row>
    <x:row r="757" ht="22" customHeight="1">
      <x:c r="A757" s="2"/>
      <x:c r="B757" s="2"/>
      <x:c r="C757" s="27" t="n">
        <x:f>151</x:f>
        <x:v>151</x:v>
      </x:c>
      <x:c r="D757" s="28" t="n">
        <x:f>IF(ISNUMBER('Inputs'!$D$7),EDATE('Inputs'!$D$7,150),"n.a.")</x:f>
        <x:v>50891</x:v>
      </x:c>
      <x:c r="E757" s="26" t="n">
        <x:f>IF('Inputs'!$D$9&lt;&gt;"Ready","n.a.",IF(ISNUMBER('Inputs'!E169),IF('Inputs'!E169&gt;=0,'Inputs'!E169,"n.a."),IF('Inputs'!E169="",'Inputs'!$D$6,"n.a.")))</x:f>
        <x:v>500</x:v>
      </x:c>
      <x:c r="F757" s="22" t="n">
        <x:f>IF(COUNT($N$757:$N$761)=5,SUM($N$757:$N$761),"n.a.")</x:f>
        <x:v>0</x:v>
      </x:c>
      <x:c r="G757" s="22" t="n">
        <x:f>IF(COUNT(E757:F757)=2,MAX(0,E757-F757),"n.a.")</x:f>
        <x:v>500</x:v>
      </x:c>
      <x:c r="H757" s="26" t="str">
        <x:f>'Inputs'!C11</x:f>
        <x:v>Card A</x:v>
      </x:c>
      <x:c r="I757" s="26" t="n">
        <x:f>S752</x:f>
        <x:v>0</x:v>
      </x:c>
      <x:c r="J757" s="29" t="n">
        <x:f>IF('Inputs'!$D$9="Ready",'Inputs'!E11,"n.a.")</x:f>
        <x:v>0.24</x:v>
      </x:c>
      <x:c r="K757" s="26" t="n">
        <x:f>IF('Inputs'!$D$9="Ready",'Inputs'!F11,"n.a.")</x:f>
        <x:v>35</x:v>
      </x:c>
      <x:c r="L757" s="29" t="n">
        <x:f>IF('Inputs'!$D$9="Ready",'Inputs'!G11,"n.a.")</x:f>
        <x:v>0.02</x:v>
      </x:c>
      <x:c r="M757" s="22" t="n">
        <x:f>IF(COUNT(I757:L757)=4,ROUND(I757*J757/12,2),"n.a.")</x:f>
        <x:v>0</x:v>
      </x:c>
      <x:c r="N757" s="22" t="n">
        <x:f>IF(COUNT(I757:M757)=5,MIN(I757+M757,ROUND(MAX(K757,I757*L757+M757),2)),"n.a.")</x:f>
        <x:v>0</x:v>
      </x:c>
      <x:c r="O757" s="30" t="n">
        <x:f>IF(COUNT($I$757:$I$761)&lt;&gt;5,"n.a.",IF(I757=0,6,IF('Inputs'!$D$5=1,COUNTIFS($I$757:$I$761,"&gt;0",$I$757:$I$761,"&lt;"&amp;I757)+COUNTIFS($I$757:I757,I757),COUNTIFS($I$757:$I$761,"&gt;0",$J$757:$J$761,"&gt;"&amp;J757)+COUNTIFS($I$757:I757,"&gt;0",$J$757:J757,J757))))</x:f>
        <x:v>6</x:v>
      </x:c>
      <x:c r="P757" s="22" t="n">
        <x:f>IF(T757="Ready",MIN(U757,MAX(0,G757-SUMIFS($U$757:$U$761,$O$757:$O$761,"&lt;"&amp;O757))),"n.a.")</x:f>
        <x:v>0</x:v>
      </x:c>
      <x:c r="Q757" s="22" t="n">
        <x:f>IF(T757="Ready",ROUND(N757+P757,2),"n.a.")</x:f>
        <x:v>0</x:v>
      </x:c>
      <x:c r="R757" s="22" t="n">
        <x:f>IF(T757="Ready",ROUND(Q757-M757,2),"n.a.")</x:f>
        <x:v>0</x:v>
      </x:c>
      <x:c r="S757" s="22" t="n">
        <x:f>IF(T757="Ready",MAX(0,ROUND(I757+M757-Q757,2)),"n.a.")</x:f>
        <x:v>0</x:v>
      </x:c>
      <x:c r="T757" s="22" t="str">
        <x:f>IF(AND(COUNT($I$757:$I$761)=5,COUNT(E757:F757)=2),IF(E757&gt;=F757,"Ready","Budget below minima"),"Check inputs")</x:f>
        <x:v>Ready</x:v>
      </x:c>
      <x:c r="U757" s="22" t="n">
        <x:f>IF(COUNT(I757,M757,N757)=3,MAX(0,ROUND(I757+M757-N757,2)),"n.a.")</x:f>
        <x:v>0</x:v>
      </x:c>
    </x:row>
    <x:row r="758" ht="22" customHeight="1">
      <x:c r="A758" s="2"/>
      <x:c r="B758" s="2"/>
      <x:c r="C758" s="27" t="n">
        <x:f>151</x:f>
        <x:v>151</x:v>
      </x:c>
      <x:c r="D758" s="28" t="n">
        <x:f>IF(ISNUMBER('Inputs'!$D$7),EDATE('Inputs'!$D$7,150),"n.a.")</x:f>
        <x:v>50891</x:v>
      </x:c>
      <x:c r="E758" s="26" t="n">
        <x:f>IF('Inputs'!$D$9&lt;&gt;"Ready","n.a.",IF(ISNUMBER('Inputs'!E169),IF('Inputs'!E169&gt;=0,'Inputs'!E169,"n.a."),IF('Inputs'!E169="",'Inputs'!$D$6,"n.a.")))</x:f>
        <x:v>500</x:v>
      </x:c>
      <x:c r="F758" s="22" t="n">
        <x:f>IF(COUNT($N$757:$N$761)=5,SUM($N$757:$N$761),"n.a.")</x:f>
        <x:v>0</x:v>
      </x:c>
      <x:c r="G758" s="22" t="n">
        <x:f>IF(COUNT(E758:F758)=2,MAX(0,E758-F758),"n.a.")</x:f>
        <x:v>500</x:v>
      </x:c>
      <x:c r="H758" s="26" t="str">
        <x:f>'Inputs'!C12</x:f>
        <x:v>Card B</x:v>
      </x:c>
      <x:c r="I758" s="26" t="n">
        <x:f>S753</x:f>
        <x:v>0</x:v>
      </x:c>
      <x:c r="J758" s="29" t="n">
        <x:f>IF('Inputs'!$D$9="Ready",'Inputs'!E12,"n.a.")</x:f>
        <x:v>0.18</x:v>
      </x:c>
      <x:c r="K758" s="26" t="n">
        <x:f>IF('Inputs'!$D$9="Ready",'Inputs'!F12,"n.a.")</x:f>
        <x:v>60</x:v>
      </x:c>
      <x:c r="L758" s="29" t="n">
        <x:f>IF('Inputs'!$D$9="Ready",'Inputs'!G12,"n.a.")</x:f>
        <x:v>0.02</x:v>
      </x:c>
      <x:c r="M758" s="22" t="n">
        <x:f>IF(COUNT(I758:L758)=4,ROUND(I758*J758/12,2),"n.a.")</x:f>
        <x:v>0</x:v>
      </x:c>
      <x:c r="N758" s="22" t="n">
        <x:f>IF(COUNT(I758:M758)=5,MIN(I758+M758,ROUND(MAX(K758,I758*L758+M758),2)),"n.a.")</x:f>
        <x:v>0</x:v>
      </x:c>
      <x:c r="O758" s="30" t="n">
        <x:f>IF(COUNT($I$757:$I$761)&lt;&gt;5,"n.a.",IF(I758=0,6,IF('Inputs'!$D$5=1,COUNTIFS($I$757:$I$761,"&gt;0",$I$757:$I$761,"&lt;"&amp;I758)+COUNTIFS($I$757:I758,I758),COUNTIFS($I$757:$I$761,"&gt;0",$J$757:$J$761,"&gt;"&amp;J758)+COUNTIFS($I$757:I758,"&gt;0",$J$757:J758,J758))))</x:f>
        <x:v>6</x:v>
      </x:c>
      <x:c r="P758" s="22" t="n">
        <x:f>IF(T758="Ready",MIN(U758,MAX(0,G758-SUMIFS($U$757:$U$761,$O$757:$O$761,"&lt;"&amp;O758))),"n.a.")</x:f>
        <x:v>0</x:v>
      </x:c>
      <x:c r="Q758" s="22" t="n">
        <x:f>IF(T758="Ready",ROUND(N758+P758,2),"n.a.")</x:f>
        <x:v>0</x:v>
      </x:c>
      <x:c r="R758" s="22" t="n">
        <x:f>IF(T758="Ready",ROUND(Q758-M758,2),"n.a.")</x:f>
        <x:v>0</x:v>
      </x:c>
      <x:c r="S758" s="22" t="n">
        <x:f>IF(T758="Ready",MAX(0,ROUND(I758+M758-Q758,2)),"n.a.")</x:f>
        <x:v>0</x:v>
      </x:c>
      <x:c r="T758" s="22" t="str">
        <x:f>IF(AND(COUNT($I$757:$I$761)=5,COUNT(E758:F758)=2),IF(E758&gt;=F758,"Ready","Budget below minima"),"Check inputs")</x:f>
        <x:v>Ready</x:v>
      </x:c>
      <x:c r="U758" s="22" t="n">
        <x:f>IF(COUNT(I758,M758,N758)=3,MAX(0,ROUND(I758+M758-N758,2)),"n.a.")</x:f>
        <x:v>0</x:v>
      </x:c>
    </x:row>
    <x:row r="759" ht="22" customHeight="1">
      <x:c r="A759" s="2"/>
      <x:c r="B759" s="2"/>
      <x:c r="C759" s="27" t="n">
        <x:f>151</x:f>
        <x:v>151</x:v>
      </x:c>
      <x:c r="D759" s="28" t="n">
        <x:f>IF(ISNUMBER('Inputs'!$D$7),EDATE('Inputs'!$D$7,150),"n.a.")</x:f>
        <x:v>50891</x:v>
      </x:c>
      <x:c r="E759" s="26" t="n">
        <x:f>IF('Inputs'!$D$9&lt;&gt;"Ready","n.a.",IF(ISNUMBER('Inputs'!E169),IF('Inputs'!E169&gt;=0,'Inputs'!E169,"n.a."),IF('Inputs'!E169="",'Inputs'!$D$6,"n.a.")))</x:f>
        <x:v>500</x:v>
      </x:c>
      <x:c r="F759" s="22" t="n">
        <x:f>IF(COUNT($N$757:$N$761)=5,SUM($N$757:$N$761),"n.a.")</x:f>
        <x:v>0</x:v>
      </x:c>
      <x:c r="G759" s="22" t="n">
        <x:f>IF(COUNT(E759:F759)=2,MAX(0,E759-F759),"n.a.")</x:f>
        <x:v>500</x:v>
      </x:c>
      <x:c r="H759" s="26" t="str">
        <x:f>'Inputs'!C13</x:f>
        <x:v>Loan C</x:v>
      </x:c>
      <x:c r="I759" s="26" t="n">
        <x:f>S754</x:f>
        <x:v>0</x:v>
      </x:c>
      <x:c r="J759" s="29" t="n">
        <x:f>IF('Inputs'!$D$9="Ready",'Inputs'!E13,"n.a.")</x:f>
        <x:v>0.08</x:v>
      </x:c>
      <x:c r="K759" s="26" t="n">
        <x:f>IF('Inputs'!$D$9="Ready",'Inputs'!F13,"n.a.")</x:f>
        <x:v>150</x:v>
      </x:c>
      <x:c r="L759" s="29" t="n">
        <x:f>IF('Inputs'!$D$9="Ready",'Inputs'!G13,"n.a.")</x:f>
        <x:v>0</x:v>
      </x:c>
      <x:c r="M759" s="22" t="n">
        <x:f>IF(COUNT(I759:L759)=4,ROUND(I759*J759/12,2),"n.a.")</x:f>
        <x:v>0</x:v>
      </x:c>
      <x:c r="N759" s="22" t="n">
        <x:f>IF(COUNT(I759:M759)=5,MIN(I759+M759,ROUND(MAX(K759,I759*L759+M759),2)),"n.a.")</x:f>
        <x:v>0</x:v>
      </x:c>
      <x:c r="O759" s="30" t="n">
        <x:f>IF(COUNT($I$757:$I$761)&lt;&gt;5,"n.a.",IF(I759=0,6,IF('Inputs'!$D$5=1,COUNTIFS($I$757:$I$761,"&gt;0",$I$757:$I$761,"&lt;"&amp;I759)+COUNTIFS($I$757:I759,I759),COUNTIFS($I$757:$I$761,"&gt;0",$J$757:$J$761,"&gt;"&amp;J759)+COUNTIFS($I$757:I759,"&gt;0",$J$757:J759,J759))))</x:f>
        <x:v>6</x:v>
      </x:c>
      <x:c r="P759" s="22" t="n">
        <x:f>IF(T759="Ready",MIN(U759,MAX(0,G759-SUMIFS($U$757:$U$761,$O$757:$O$761,"&lt;"&amp;O759))),"n.a.")</x:f>
        <x:v>0</x:v>
      </x:c>
      <x:c r="Q759" s="22" t="n">
        <x:f>IF(T759="Ready",ROUND(N759+P759,2),"n.a.")</x:f>
        <x:v>0</x:v>
      </x:c>
      <x:c r="R759" s="22" t="n">
        <x:f>IF(T759="Ready",ROUND(Q759-M759,2),"n.a.")</x:f>
        <x:v>0</x:v>
      </x:c>
      <x:c r="S759" s="22" t="n">
        <x:f>IF(T759="Ready",MAX(0,ROUND(I759+M759-Q759,2)),"n.a.")</x:f>
        <x:v>0</x:v>
      </x:c>
      <x:c r="T759" s="22" t="str">
        <x:f>IF(AND(COUNT($I$757:$I$761)=5,COUNT(E759:F759)=2),IF(E759&gt;=F759,"Ready","Budget below minima"),"Check inputs")</x:f>
        <x:v>Ready</x:v>
      </x:c>
      <x:c r="U759" s="22" t="n">
        <x:f>IF(COUNT(I759,M759,N759)=3,MAX(0,ROUND(I759+M759-N759,2)),"n.a.")</x:f>
        <x:v>0</x:v>
      </x:c>
    </x:row>
    <x:row r="760" ht="22" customHeight="1">
      <x:c r="A760" s="2"/>
      <x:c r="B760" s="2"/>
      <x:c r="C760" s="27" t="n">
        <x:f>151</x:f>
        <x:v>151</x:v>
      </x:c>
      <x:c r="D760" s="28" t="n">
        <x:f>IF(ISNUMBER('Inputs'!$D$7),EDATE('Inputs'!$D$7,150),"n.a.")</x:f>
        <x:v>50891</x:v>
      </x:c>
      <x:c r="E760" s="26" t="n">
        <x:f>IF('Inputs'!$D$9&lt;&gt;"Ready","n.a.",IF(ISNUMBER('Inputs'!E169),IF('Inputs'!E169&gt;=0,'Inputs'!E169,"n.a."),IF('Inputs'!E169="",'Inputs'!$D$6,"n.a.")))</x:f>
        <x:v>500</x:v>
      </x:c>
      <x:c r="F760" s="22" t="n">
        <x:f>IF(COUNT($N$757:$N$761)=5,SUM($N$757:$N$761),"n.a.")</x:f>
        <x:v>0</x:v>
      </x:c>
      <x:c r="G760" s="22" t="n">
        <x:f>IF(COUNT(E760:F760)=2,MAX(0,E760-F760),"n.a.")</x:f>
        <x:v>500</x:v>
      </x:c>
      <x:c r="H760" s="26" t="str">
        <x:f>'Inputs'!C14</x:f>
        <x:v>Unused 4</x:v>
      </x:c>
      <x:c r="I760" s="26" t="n">
        <x:f>S755</x:f>
        <x:v>0</x:v>
      </x:c>
      <x:c r="J760" s="29" t="n">
        <x:f>IF('Inputs'!$D$9="Ready",'Inputs'!E14,"n.a.")</x:f>
        <x:v>0</x:v>
      </x:c>
      <x:c r="K760" s="26" t="n">
        <x:f>IF('Inputs'!$D$9="Ready",'Inputs'!F14,"n.a.")</x:f>
        <x:v>0</x:v>
      </x:c>
      <x:c r="L760" s="29" t="n">
        <x:f>IF('Inputs'!$D$9="Ready",'Inputs'!G14,"n.a.")</x:f>
        <x:v>0</x:v>
      </x:c>
      <x:c r="M760" s="22" t="n">
        <x:f>IF(COUNT(I760:L760)=4,ROUND(I760*J760/12,2),"n.a.")</x:f>
        <x:v>0</x:v>
      </x:c>
      <x:c r="N760" s="22" t="n">
        <x:f>IF(COUNT(I760:M760)=5,MIN(I760+M760,ROUND(MAX(K760,I760*L760+M760),2)),"n.a.")</x:f>
        <x:v>0</x:v>
      </x:c>
      <x:c r="O760" s="30" t="n">
        <x:f>IF(COUNT($I$757:$I$761)&lt;&gt;5,"n.a.",IF(I760=0,6,IF('Inputs'!$D$5=1,COUNTIFS($I$757:$I$761,"&gt;0",$I$757:$I$761,"&lt;"&amp;I760)+COUNTIFS($I$757:I760,I760),COUNTIFS($I$757:$I$761,"&gt;0",$J$757:$J$761,"&gt;"&amp;J760)+COUNTIFS($I$757:I760,"&gt;0",$J$757:J760,J760))))</x:f>
        <x:v>6</x:v>
      </x:c>
      <x:c r="P760" s="22" t="n">
        <x:f>IF(T760="Ready",MIN(U760,MAX(0,G760-SUMIFS($U$757:$U$761,$O$757:$O$761,"&lt;"&amp;O760))),"n.a.")</x:f>
        <x:v>0</x:v>
      </x:c>
      <x:c r="Q760" s="22" t="n">
        <x:f>IF(T760="Ready",ROUND(N760+P760,2),"n.a.")</x:f>
        <x:v>0</x:v>
      </x:c>
      <x:c r="R760" s="22" t="n">
        <x:f>IF(T760="Ready",ROUND(Q760-M760,2),"n.a.")</x:f>
        <x:v>0</x:v>
      </x:c>
      <x:c r="S760" s="22" t="n">
        <x:f>IF(T760="Ready",MAX(0,ROUND(I760+M760-Q760,2)),"n.a.")</x:f>
        <x:v>0</x:v>
      </x:c>
      <x:c r="T760" s="22" t="str">
        <x:f>IF(AND(COUNT($I$757:$I$761)=5,COUNT(E760:F760)=2),IF(E760&gt;=F760,"Ready","Budget below minima"),"Check inputs")</x:f>
        <x:v>Ready</x:v>
      </x:c>
      <x:c r="U760" s="22" t="n">
        <x:f>IF(COUNT(I760,M760,N760)=3,MAX(0,ROUND(I760+M760-N760,2)),"n.a.")</x:f>
        <x:v>0</x:v>
      </x:c>
    </x:row>
    <x:row r="761" ht="22" customHeight="1">
      <x:c r="A761" s="2"/>
      <x:c r="B761" s="2"/>
      <x:c r="C761" s="27" t="n">
        <x:f>151</x:f>
        <x:v>151</x:v>
      </x:c>
      <x:c r="D761" s="28" t="n">
        <x:f>IF(ISNUMBER('Inputs'!$D$7),EDATE('Inputs'!$D$7,150),"n.a.")</x:f>
        <x:v>50891</x:v>
      </x:c>
      <x:c r="E761" s="26" t="n">
        <x:f>IF('Inputs'!$D$9&lt;&gt;"Ready","n.a.",IF(ISNUMBER('Inputs'!E169),IF('Inputs'!E169&gt;=0,'Inputs'!E169,"n.a."),IF('Inputs'!E169="",'Inputs'!$D$6,"n.a.")))</x:f>
        <x:v>500</x:v>
      </x:c>
      <x:c r="F761" s="22" t="n">
        <x:f>IF(COUNT($N$757:$N$761)=5,SUM($N$757:$N$761),"n.a.")</x:f>
        <x:v>0</x:v>
      </x:c>
      <x:c r="G761" s="22" t="n">
        <x:f>IF(COUNT(E761:F761)=2,MAX(0,E761-F761),"n.a.")</x:f>
        <x:v>500</x:v>
      </x:c>
      <x:c r="H761" s="26" t="str">
        <x:f>'Inputs'!C15</x:f>
        <x:v>Unused 5</x:v>
      </x:c>
      <x:c r="I761" s="26" t="n">
        <x:f>S756</x:f>
        <x:v>0</x:v>
      </x:c>
      <x:c r="J761" s="29" t="n">
        <x:f>IF('Inputs'!$D$9="Ready",'Inputs'!E15,"n.a.")</x:f>
        <x:v>0</x:v>
      </x:c>
      <x:c r="K761" s="26" t="n">
        <x:f>IF('Inputs'!$D$9="Ready",'Inputs'!F15,"n.a.")</x:f>
        <x:v>0</x:v>
      </x:c>
      <x:c r="L761" s="29" t="n">
        <x:f>IF('Inputs'!$D$9="Ready",'Inputs'!G15,"n.a.")</x:f>
        <x:v>0</x:v>
      </x:c>
      <x:c r="M761" s="22" t="n">
        <x:f>IF(COUNT(I761:L761)=4,ROUND(I761*J761/12,2),"n.a.")</x:f>
        <x:v>0</x:v>
      </x:c>
      <x:c r="N761" s="22" t="n">
        <x:f>IF(COUNT(I761:M761)=5,MIN(I761+M761,ROUND(MAX(K761,I761*L761+M761),2)),"n.a.")</x:f>
        <x:v>0</x:v>
      </x:c>
      <x:c r="O761" s="30" t="n">
        <x:f>IF(COUNT($I$757:$I$761)&lt;&gt;5,"n.a.",IF(I761=0,6,IF('Inputs'!$D$5=1,COUNTIFS($I$757:$I$761,"&gt;0",$I$757:$I$761,"&lt;"&amp;I761)+COUNTIFS($I$757:I761,I761),COUNTIFS($I$757:$I$761,"&gt;0",$J$757:$J$761,"&gt;"&amp;J761)+COUNTIFS($I$757:I761,"&gt;0",$J$757:J761,J761))))</x:f>
        <x:v>6</x:v>
      </x:c>
      <x:c r="P761" s="22" t="n">
        <x:f>IF(T761="Ready",MIN(U761,MAX(0,G761-SUMIFS($U$757:$U$761,$O$757:$O$761,"&lt;"&amp;O761))),"n.a.")</x:f>
        <x:v>0</x:v>
      </x:c>
      <x:c r="Q761" s="22" t="n">
        <x:f>IF(T761="Ready",ROUND(N761+P761,2),"n.a.")</x:f>
        <x:v>0</x:v>
      </x:c>
      <x:c r="R761" s="22" t="n">
        <x:f>IF(T761="Ready",ROUND(Q761-M761,2),"n.a.")</x:f>
        <x:v>0</x:v>
      </x:c>
      <x:c r="S761" s="22" t="n">
        <x:f>IF(T761="Ready",MAX(0,ROUND(I761+M761-Q761,2)),"n.a.")</x:f>
        <x:v>0</x:v>
      </x:c>
      <x:c r="T761" s="22" t="str">
        <x:f>IF(AND(COUNT($I$757:$I$761)=5,COUNT(E761:F761)=2),IF(E761&gt;=F761,"Ready","Budget below minima"),"Check inputs")</x:f>
        <x:v>Ready</x:v>
      </x:c>
      <x:c r="U761" s="22" t="n">
        <x:f>IF(COUNT(I761,M761,N761)=3,MAX(0,ROUND(I761+M761-N761,2)),"n.a.")</x:f>
        <x:v>0</x:v>
      </x:c>
    </x:row>
    <x:row r="762" ht="22" customHeight="1">
      <x:c r="A762" s="2"/>
      <x:c r="B762" s="2"/>
      <x:c r="C762" s="27" t="n">
        <x:f>152</x:f>
        <x:v>152</x:v>
      </x:c>
      <x:c r="D762" s="28" t="n">
        <x:f>IF(ISNUMBER('Inputs'!$D$7),EDATE('Inputs'!$D$7,151),"n.a.")</x:f>
        <x:v>50922</x:v>
      </x:c>
      <x:c r="E762" s="26" t="n">
        <x:f>IF('Inputs'!$D$9&lt;&gt;"Ready","n.a.",IF(ISNUMBER('Inputs'!E170),IF('Inputs'!E170&gt;=0,'Inputs'!E170,"n.a."),IF('Inputs'!E170="",'Inputs'!$D$6,"n.a.")))</x:f>
        <x:v>500</x:v>
      </x:c>
      <x:c r="F762" s="22" t="n">
        <x:f>IF(COUNT($N$762:$N$766)=5,SUM($N$762:$N$766),"n.a.")</x:f>
        <x:v>0</x:v>
      </x:c>
      <x:c r="G762" s="22" t="n">
        <x:f>IF(COUNT(E762:F762)=2,MAX(0,E762-F762),"n.a.")</x:f>
        <x:v>500</x:v>
      </x:c>
      <x:c r="H762" s="26" t="str">
        <x:f>'Inputs'!C11</x:f>
        <x:v>Card A</x:v>
      </x:c>
      <x:c r="I762" s="26" t="n">
        <x:f>S757</x:f>
        <x:v>0</x:v>
      </x:c>
      <x:c r="J762" s="29" t="n">
        <x:f>IF('Inputs'!$D$9="Ready",'Inputs'!E11,"n.a.")</x:f>
        <x:v>0.24</x:v>
      </x:c>
      <x:c r="K762" s="26" t="n">
        <x:f>IF('Inputs'!$D$9="Ready",'Inputs'!F11,"n.a.")</x:f>
        <x:v>35</x:v>
      </x:c>
      <x:c r="L762" s="29" t="n">
        <x:f>IF('Inputs'!$D$9="Ready",'Inputs'!G11,"n.a.")</x:f>
        <x:v>0.02</x:v>
      </x:c>
      <x:c r="M762" s="22" t="n">
        <x:f>IF(COUNT(I762:L762)=4,ROUND(I762*J762/12,2),"n.a.")</x:f>
        <x:v>0</x:v>
      </x:c>
      <x:c r="N762" s="22" t="n">
        <x:f>IF(COUNT(I762:M762)=5,MIN(I762+M762,ROUND(MAX(K762,I762*L762+M762),2)),"n.a.")</x:f>
        <x:v>0</x:v>
      </x:c>
      <x:c r="O762" s="30" t="n">
        <x:f>IF(COUNT($I$762:$I$766)&lt;&gt;5,"n.a.",IF(I762=0,6,IF('Inputs'!$D$5=1,COUNTIFS($I$762:$I$766,"&gt;0",$I$762:$I$766,"&lt;"&amp;I762)+COUNTIFS($I$762:I762,I762),COUNTIFS($I$762:$I$766,"&gt;0",$J$762:$J$766,"&gt;"&amp;J762)+COUNTIFS($I$762:I762,"&gt;0",$J$762:J762,J762))))</x:f>
        <x:v>6</x:v>
      </x:c>
      <x:c r="P762" s="22" t="n">
        <x:f>IF(T762="Ready",MIN(U762,MAX(0,G762-SUMIFS($U$762:$U$766,$O$762:$O$766,"&lt;"&amp;O762))),"n.a.")</x:f>
        <x:v>0</x:v>
      </x:c>
      <x:c r="Q762" s="22" t="n">
        <x:f>IF(T762="Ready",ROUND(N762+P762,2),"n.a.")</x:f>
        <x:v>0</x:v>
      </x:c>
      <x:c r="R762" s="22" t="n">
        <x:f>IF(T762="Ready",ROUND(Q762-M762,2),"n.a.")</x:f>
        <x:v>0</x:v>
      </x:c>
      <x:c r="S762" s="22" t="n">
        <x:f>IF(T762="Ready",MAX(0,ROUND(I762+M762-Q762,2)),"n.a.")</x:f>
        <x:v>0</x:v>
      </x:c>
      <x:c r="T762" s="22" t="str">
        <x:f>IF(AND(COUNT($I$762:$I$766)=5,COUNT(E762:F762)=2),IF(E762&gt;=F762,"Ready","Budget below minima"),"Check inputs")</x:f>
        <x:v>Ready</x:v>
      </x:c>
      <x:c r="U762" s="22" t="n">
        <x:f>IF(COUNT(I762,M762,N762)=3,MAX(0,ROUND(I762+M762-N762,2)),"n.a.")</x:f>
        <x:v>0</x:v>
      </x:c>
    </x:row>
    <x:row r="763" ht="22" customHeight="1">
      <x:c r="A763" s="2"/>
      <x:c r="B763" s="2"/>
      <x:c r="C763" s="27" t="n">
        <x:f>152</x:f>
        <x:v>152</x:v>
      </x:c>
      <x:c r="D763" s="28" t="n">
        <x:f>IF(ISNUMBER('Inputs'!$D$7),EDATE('Inputs'!$D$7,151),"n.a.")</x:f>
        <x:v>50922</x:v>
      </x:c>
      <x:c r="E763" s="26" t="n">
        <x:f>IF('Inputs'!$D$9&lt;&gt;"Ready","n.a.",IF(ISNUMBER('Inputs'!E170),IF('Inputs'!E170&gt;=0,'Inputs'!E170,"n.a."),IF('Inputs'!E170="",'Inputs'!$D$6,"n.a.")))</x:f>
        <x:v>500</x:v>
      </x:c>
      <x:c r="F763" s="22" t="n">
        <x:f>IF(COUNT($N$762:$N$766)=5,SUM($N$762:$N$766),"n.a.")</x:f>
        <x:v>0</x:v>
      </x:c>
      <x:c r="G763" s="22" t="n">
        <x:f>IF(COUNT(E763:F763)=2,MAX(0,E763-F763),"n.a.")</x:f>
        <x:v>500</x:v>
      </x:c>
      <x:c r="H763" s="26" t="str">
        <x:f>'Inputs'!C12</x:f>
        <x:v>Card B</x:v>
      </x:c>
      <x:c r="I763" s="26" t="n">
        <x:f>S758</x:f>
        <x:v>0</x:v>
      </x:c>
      <x:c r="J763" s="29" t="n">
        <x:f>IF('Inputs'!$D$9="Ready",'Inputs'!E12,"n.a.")</x:f>
        <x:v>0.18</x:v>
      </x:c>
      <x:c r="K763" s="26" t="n">
        <x:f>IF('Inputs'!$D$9="Ready",'Inputs'!F12,"n.a.")</x:f>
        <x:v>60</x:v>
      </x:c>
      <x:c r="L763" s="29" t="n">
        <x:f>IF('Inputs'!$D$9="Ready",'Inputs'!G12,"n.a.")</x:f>
        <x:v>0.02</x:v>
      </x:c>
      <x:c r="M763" s="22" t="n">
        <x:f>IF(COUNT(I763:L763)=4,ROUND(I763*J763/12,2),"n.a.")</x:f>
        <x:v>0</x:v>
      </x:c>
      <x:c r="N763" s="22" t="n">
        <x:f>IF(COUNT(I763:M763)=5,MIN(I763+M763,ROUND(MAX(K763,I763*L763+M763),2)),"n.a.")</x:f>
        <x:v>0</x:v>
      </x:c>
      <x:c r="O763" s="30" t="n">
        <x:f>IF(COUNT($I$762:$I$766)&lt;&gt;5,"n.a.",IF(I763=0,6,IF('Inputs'!$D$5=1,COUNTIFS($I$762:$I$766,"&gt;0",$I$762:$I$766,"&lt;"&amp;I763)+COUNTIFS($I$762:I763,I763),COUNTIFS($I$762:$I$766,"&gt;0",$J$762:$J$766,"&gt;"&amp;J763)+COUNTIFS($I$762:I763,"&gt;0",$J$762:J763,J763))))</x:f>
        <x:v>6</x:v>
      </x:c>
      <x:c r="P763" s="22" t="n">
        <x:f>IF(T763="Ready",MIN(U763,MAX(0,G763-SUMIFS($U$762:$U$766,$O$762:$O$766,"&lt;"&amp;O763))),"n.a.")</x:f>
        <x:v>0</x:v>
      </x:c>
      <x:c r="Q763" s="22" t="n">
        <x:f>IF(T763="Ready",ROUND(N763+P763,2),"n.a.")</x:f>
        <x:v>0</x:v>
      </x:c>
      <x:c r="R763" s="22" t="n">
        <x:f>IF(T763="Ready",ROUND(Q763-M763,2),"n.a.")</x:f>
        <x:v>0</x:v>
      </x:c>
      <x:c r="S763" s="22" t="n">
        <x:f>IF(T763="Ready",MAX(0,ROUND(I763+M763-Q763,2)),"n.a.")</x:f>
        <x:v>0</x:v>
      </x:c>
      <x:c r="T763" s="22" t="str">
        <x:f>IF(AND(COUNT($I$762:$I$766)=5,COUNT(E763:F763)=2),IF(E763&gt;=F763,"Ready","Budget below minima"),"Check inputs")</x:f>
        <x:v>Ready</x:v>
      </x:c>
      <x:c r="U763" s="22" t="n">
        <x:f>IF(COUNT(I763,M763,N763)=3,MAX(0,ROUND(I763+M763-N763,2)),"n.a.")</x:f>
        <x:v>0</x:v>
      </x:c>
    </x:row>
    <x:row r="764" ht="22" customHeight="1">
      <x:c r="A764" s="2"/>
      <x:c r="B764" s="2"/>
      <x:c r="C764" s="27" t="n">
        <x:f>152</x:f>
        <x:v>152</x:v>
      </x:c>
      <x:c r="D764" s="28" t="n">
        <x:f>IF(ISNUMBER('Inputs'!$D$7),EDATE('Inputs'!$D$7,151),"n.a.")</x:f>
        <x:v>50922</x:v>
      </x:c>
      <x:c r="E764" s="26" t="n">
        <x:f>IF('Inputs'!$D$9&lt;&gt;"Ready","n.a.",IF(ISNUMBER('Inputs'!E170),IF('Inputs'!E170&gt;=0,'Inputs'!E170,"n.a."),IF('Inputs'!E170="",'Inputs'!$D$6,"n.a.")))</x:f>
        <x:v>500</x:v>
      </x:c>
      <x:c r="F764" s="22" t="n">
        <x:f>IF(COUNT($N$762:$N$766)=5,SUM($N$762:$N$766),"n.a.")</x:f>
        <x:v>0</x:v>
      </x:c>
      <x:c r="G764" s="22" t="n">
        <x:f>IF(COUNT(E764:F764)=2,MAX(0,E764-F764),"n.a.")</x:f>
        <x:v>500</x:v>
      </x:c>
      <x:c r="H764" s="26" t="str">
        <x:f>'Inputs'!C13</x:f>
        <x:v>Loan C</x:v>
      </x:c>
      <x:c r="I764" s="26" t="n">
        <x:f>S759</x:f>
        <x:v>0</x:v>
      </x:c>
      <x:c r="J764" s="29" t="n">
        <x:f>IF('Inputs'!$D$9="Ready",'Inputs'!E13,"n.a.")</x:f>
        <x:v>0.08</x:v>
      </x:c>
      <x:c r="K764" s="26" t="n">
        <x:f>IF('Inputs'!$D$9="Ready",'Inputs'!F13,"n.a.")</x:f>
        <x:v>150</x:v>
      </x:c>
      <x:c r="L764" s="29" t="n">
        <x:f>IF('Inputs'!$D$9="Ready",'Inputs'!G13,"n.a.")</x:f>
        <x:v>0</x:v>
      </x:c>
      <x:c r="M764" s="22" t="n">
        <x:f>IF(COUNT(I764:L764)=4,ROUND(I764*J764/12,2),"n.a.")</x:f>
        <x:v>0</x:v>
      </x:c>
      <x:c r="N764" s="22" t="n">
        <x:f>IF(COUNT(I764:M764)=5,MIN(I764+M764,ROUND(MAX(K764,I764*L764+M764),2)),"n.a.")</x:f>
        <x:v>0</x:v>
      </x:c>
      <x:c r="O764" s="30" t="n">
        <x:f>IF(COUNT($I$762:$I$766)&lt;&gt;5,"n.a.",IF(I764=0,6,IF('Inputs'!$D$5=1,COUNTIFS($I$762:$I$766,"&gt;0",$I$762:$I$766,"&lt;"&amp;I764)+COUNTIFS($I$762:I764,I764),COUNTIFS($I$762:$I$766,"&gt;0",$J$762:$J$766,"&gt;"&amp;J764)+COUNTIFS($I$762:I764,"&gt;0",$J$762:J764,J764))))</x:f>
        <x:v>6</x:v>
      </x:c>
      <x:c r="P764" s="22" t="n">
        <x:f>IF(T764="Ready",MIN(U764,MAX(0,G764-SUMIFS($U$762:$U$766,$O$762:$O$766,"&lt;"&amp;O764))),"n.a.")</x:f>
        <x:v>0</x:v>
      </x:c>
      <x:c r="Q764" s="22" t="n">
        <x:f>IF(T764="Ready",ROUND(N764+P764,2),"n.a.")</x:f>
        <x:v>0</x:v>
      </x:c>
      <x:c r="R764" s="22" t="n">
        <x:f>IF(T764="Ready",ROUND(Q764-M764,2),"n.a.")</x:f>
        <x:v>0</x:v>
      </x:c>
      <x:c r="S764" s="22" t="n">
        <x:f>IF(T764="Ready",MAX(0,ROUND(I764+M764-Q764,2)),"n.a.")</x:f>
        <x:v>0</x:v>
      </x:c>
      <x:c r="T764" s="22" t="str">
        <x:f>IF(AND(COUNT($I$762:$I$766)=5,COUNT(E764:F764)=2),IF(E764&gt;=F764,"Ready","Budget below minima"),"Check inputs")</x:f>
        <x:v>Ready</x:v>
      </x:c>
      <x:c r="U764" s="22" t="n">
        <x:f>IF(COUNT(I764,M764,N764)=3,MAX(0,ROUND(I764+M764-N764,2)),"n.a.")</x:f>
        <x:v>0</x:v>
      </x:c>
    </x:row>
    <x:row r="765" ht="22" customHeight="1">
      <x:c r="A765" s="2"/>
      <x:c r="B765" s="2"/>
      <x:c r="C765" s="27" t="n">
        <x:f>152</x:f>
        <x:v>152</x:v>
      </x:c>
      <x:c r="D765" s="28" t="n">
        <x:f>IF(ISNUMBER('Inputs'!$D$7),EDATE('Inputs'!$D$7,151),"n.a.")</x:f>
        <x:v>50922</x:v>
      </x:c>
      <x:c r="E765" s="26" t="n">
        <x:f>IF('Inputs'!$D$9&lt;&gt;"Ready","n.a.",IF(ISNUMBER('Inputs'!E170),IF('Inputs'!E170&gt;=0,'Inputs'!E170,"n.a."),IF('Inputs'!E170="",'Inputs'!$D$6,"n.a.")))</x:f>
        <x:v>500</x:v>
      </x:c>
      <x:c r="F765" s="22" t="n">
        <x:f>IF(COUNT($N$762:$N$766)=5,SUM($N$762:$N$766),"n.a.")</x:f>
        <x:v>0</x:v>
      </x:c>
      <x:c r="G765" s="22" t="n">
        <x:f>IF(COUNT(E765:F765)=2,MAX(0,E765-F765),"n.a.")</x:f>
        <x:v>500</x:v>
      </x:c>
      <x:c r="H765" s="26" t="str">
        <x:f>'Inputs'!C14</x:f>
        <x:v>Unused 4</x:v>
      </x:c>
      <x:c r="I765" s="26" t="n">
        <x:f>S760</x:f>
        <x:v>0</x:v>
      </x:c>
      <x:c r="J765" s="29" t="n">
        <x:f>IF('Inputs'!$D$9="Ready",'Inputs'!E14,"n.a.")</x:f>
        <x:v>0</x:v>
      </x:c>
      <x:c r="K765" s="26" t="n">
        <x:f>IF('Inputs'!$D$9="Ready",'Inputs'!F14,"n.a.")</x:f>
        <x:v>0</x:v>
      </x:c>
      <x:c r="L765" s="29" t="n">
        <x:f>IF('Inputs'!$D$9="Ready",'Inputs'!G14,"n.a.")</x:f>
        <x:v>0</x:v>
      </x:c>
      <x:c r="M765" s="22" t="n">
        <x:f>IF(COUNT(I765:L765)=4,ROUND(I765*J765/12,2),"n.a.")</x:f>
        <x:v>0</x:v>
      </x:c>
      <x:c r="N765" s="22" t="n">
        <x:f>IF(COUNT(I765:M765)=5,MIN(I765+M765,ROUND(MAX(K765,I765*L765+M765),2)),"n.a.")</x:f>
        <x:v>0</x:v>
      </x:c>
      <x:c r="O765" s="30" t="n">
        <x:f>IF(COUNT($I$762:$I$766)&lt;&gt;5,"n.a.",IF(I765=0,6,IF('Inputs'!$D$5=1,COUNTIFS($I$762:$I$766,"&gt;0",$I$762:$I$766,"&lt;"&amp;I765)+COUNTIFS($I$762:I765,I765),COUNTIFS($I$762:$I$766,"&gt;0",$J$762:$J$766,"&gt;"&amp;J765)+COUNTIFS($I$762:I765,"&gt;0",$J$762:J765,J765))))</x:f>
        <x:v>6</x:v>
      </x:c>
      <x:c r="P765" s="22" t="n">
        <x:f>IF(T765="Ready",MIN(U765,MAX(0,G765-SUMIFS($U$762:$U$766,$O$762:$O$766,"&lt;"&amp;O765))),"n.a.")</x:f>
        <x:v>0</x:v>
      </x:c>
      <x:c r="Q765" s="22" t="n">
        <x:f>IF(T765="Ready",ROUND(N765+P765,2),"n.a.")</x:f>
        <x:v>0</x:v>
      </x:c>
      <x:c r="R765" s="22" t="n">
        <x:f>IF(T765="Ready",ROUND(Q765-M765,2),"n.a.")</x:f>
        <x:v>0</x:v>
      </x:c>
      <x:c r="S765" s="22" t="n">
        <x:f>IF(T765="Ready",MAX(0,ROUND(I765+M765-Q765,2)),"n.a.")</x:f>
        <x:v>0</x:v>
      </x:c>
      <x:c r="T765" s="22" t="str">
        <x:f>IF(AND(COUNT($I$762:$I$766)=5,COUNT(E765:F765)=2),IF(E765&gt;=F765,"Ready","Budget below minima"),"Check inputs")</x:f>
        <x:v>Ready</x:v>
      </x:c>
      <x:c r="U765" s="22" t="n">
        <x:f>IF(COUNT(I765,M765,N765)=3,MAX(0,ROUND(I765+M765-N765,2)),"n.a.")</x:f>
        <x:v>0</x:v>
      </x:c>
    </x:row>
    <x:row r="766" ht="22" customHeight="1">
      <x:c r="A766" s="2"/>
      <x:c r="B766" s="2"/>
      <x:c r="C766" s="27" t="n">
        <x:f>152</x:f>
        <x:v>152</x:v>
      </x:c>
      <x:c r="D766" s="28" t="n">
        <x:f>IF(ISNUMBER('Inputs'!$D$7),EDATE('Inputs'!$D$7,151),"n.a.")</x:f>
        <x:v>50922</x:v>
      </x:c>
      <x:c r="E766" s="26" t="n">
        <x:f>IF('Inputs'!$D$9&lt;&gt;"Ready","n.a.",IF(ISNUMBER('Inputs'!E170),IF('Inputs'!E170&gt;=0,'Inputs'!E170,"n.a."),IF('Inputs'!E170="",'Inputs'!$D$6,"n.a.")))</x:f>
        <x:v>500</x:v>
      </x:c>
      <x:c r="F766" s="22" t="n">
        <x:f>IF(COUNT($N$762:$N$766)=5,SUM($N$762:$N$766),"n.a.")</x:f>
        <x:v>0</x:v>
      </x:c>
      <x:c r="G766" s="22" t="n">
        <x:f>IF(COUNT(E766:F766)=2,MAX(0,E766-F766),"n.a.")</x:f>
        <x:v>500</x:v>
      </x:c>
      <x:c r="H766" s="26" t="str">
        <x:f>'Inputs'!C15</x:f>
        <x:v>Unused 5</x:v>
      </x:c>
      <x:c r="I766" s="26" t="n">
        <x:f>S761</x:f>
        <x:v>0</x:v>
      </x:c>
      <x:c r="J766" s="29" t="n">
        <x:f>IF('Inputs'!$D$9="Ready",'Inputs'!E15,"n.a.")</x:f>
        <x:v>0</x:v>
      </x:c>
      <x:c r="K766" s="26" t="n">
        <x:f>IF('Inputs'!$D$9="Ready",'Inputs'!F15,"n.a.")</x:f>
        <x:v>0</x:v>
      </x:c>
      <x:c r="L766" s="29" t="n">
        <x:f>IF('Inputs'!$D$9="Ready",'Inputs'!G15,"n.a.")</x:f>
        <x:v>0</x:v>
      </x:c>
      <x:c r="M766" s="22" t="n">
        <x:f>IF(COUNT(I766:L766)=4,ROUND(I766*J766/12,2),"n.a.")</x:f>
        <x:v>0</x:v>
      </x:c>
      <x:c r="N766" s="22" t="n">
        <x:f>IF(COUNT(I766:M766)=5,MIN(I766+M766,ROUND(MAX(K766,I766*L766+M766),2)),"n.a.")</x:f>
        <x:v>0</x:v>
      </x:c>
      <x:c r="O766" s="30" t="n">
        <x:f>IF(COUNT($I$762:$I$766)&lt;&gt;5,"n.a.",IF(I766=0,6,IF('Inputs'!$D$5=1,COUNTIFS($I$762:$I$766,"&gt;0",$I$762:$I$766,"&lt;"&amp;I766)+COUNTIFS($I$762:I766,I766),COUNTIFS($I$762:$I$766,"&gt;0",$J$762:$J$766,"&gt;"&amp;J766)+COUNTIFS($I$762:I766,"&gt;0",$J$762:J766,J766))))</x:f>
        <x:v>6</x:v>
      </x:c>
      <x:c r="P766" s="22" t="n">
        <x:f>IF(T766="Ready",MIN(U766,MAX(0,G766-SUMIFS($U$762:$U$766,$O$762:$O$766,"&lt;"&amp;O766))),"n.a.")</x:f>
        <x:v>0</x:v>
      </x:c>
      <x:c r="Q766" s="22" t="n">
        <x:f>IF(T766="Ready",ROUND(N766+P766,2),"n.a.")</x:f>
        <x:v>0</x:v>
      </x:c>
      <x:c r="R766" s="22" t="n">
        <x:f>IF(T766="Ready",ROUND(Q766-M766,2),"n.a.")</x:f>
        <x:v>0</x:v>
      </x:c>
      <x:c r="S766" s="22" t="n">
        <x:f>IF(T766="Ready",MAX(0,ROUND(I766+M766-Q766,2)),"n.a.")</x:f>
        <x:v>0</x:v>
      </x:c>
      <x:c r="T766" s="22" t="str">
        <x:f>IF(AND(COUNT($I$762:$I$766)=5,COUNT(E766:F766)=2),IF(E766&gt;=F766,"Ready","Budget below minima"),"Check inputs")</x:f>
        <x:v>Ready</x:v>
      </x:c>
      <x:c r="U766" s="22" t="n">
        <x:f>IF(COUNT(I766,M766,N766)=3,MAX(0,ROUND(I766+M766-N766,2)),"n.a.")</x:f>
        <x:v>0</x:v>
      </x:c>
    </x:row>
    <x:row r="767" ht="22" customHeight="1">
      <x:c r="A767" s="2"/>
      <x:c r="B767" s="2"/>
      <x:c r="C767" s="27" t="n">
        <x:f>153</x:f>
        <x:v>153</x:v>
      </x:c>
      <x:c r="D767" s="28" t="n">
        <x:f>IF(ISNUMBER('Inputs'!$D$7),EDATE('Inputs'!$D$7,152),"n.a.")</x:f>
        <x:v>50952</x:v>
      </x:c>
      <x:c r="E767" s="26" t="n">
        <x:f>IF('Inputs'!$D$9&lt;&gt;"Ready","n.a.",IF(ISNUMBER('Inputs'!E171),IF('Inputs'!E171&gt;=0,'Inputs'!E171,"n.a."),IF('Inputs'!E171="",'Inputs'!$D$6,"n.a.")))</x:f>
        <x:v>500</x:v>
      </x:c>
      <x:c r="F767" s="22" t="n">
        <x:f>IF(COUNT($N$767:$N$771)=5,SUM($N$767:$N$771),"n.a.")</x:f>
        <x:v>0</x:v>
      </x:c>
      <x:c r="G767" s="22" t="n">
        <x:f>IF(COUNT(E767:F767)=2,MAX(0,E767-F767),"n.a.")</x:f>
        <x:v>500</x:v>
      </x:c>
      <x:c r="H767" s="26" t="str">
        <x:f>'Inputs'!C11</x:f>
        <x:v>Card A</x:v>
      </x:c>
      <x:c r="I767" s="26" t="n">
        <x:f>S762</x:f>
        <x:v>0</x:v>
      </x:c>
      <x:c r="J767" s="29" t="n">
        <x:f>IF('Inputs'!$D$9="Ready",'Inputs'!E11,"n.a.")</x:f>
        <x:v>0.24</x:v>
      </x:c>
      <x:c r="K767" s="26" t="n">
        <x:f>IF('Inputs'!$D$9="Ready",'Inputs'!F11,"n.a.")</x:f>
        <x:v>35</x:v>
      </x:c>
      <x:c r="L767" s="29" t="n">
        <x:f>IF('Inputs'!$D$9="Ready",'Inputs'!G11,"n.a.")</x:f>
        <x:v>0.02</x:v>
      </x:c>
      <x:c r="M767" s="22" t="n">
        <x:f>IF(COUNT(I767:L767)=4,ROUND(I767*J767/12,2),"n.a.")</x:f>
        <x:v>0</x:v>
      </x:c>
      <x:c r="N767" s="22" t="n">
        <x:f>IF(COUNT(I767:M767)=5,MIN(I767+M767,ROUND(MAX(K767,I767*L767+M767),2)),"n.a.")</x:f>
        <x:v>0</x:v>
      </x:c>
      <x:c r="O767" s="30" t="n">
        <x:f>IF(COUNT($I$767:$I$771)&lt;&gt;5,"n.a.",IF(I767=0,6,IF('Inputs'!$D$5=1,COUNTIFS($I$767:$I$771,"&gt;0",$I$767:$I$771,"&lt;"&amp;I767)+COUNTIFS($I$767:I767,I767),COUNTIFS($I$767:$I$771,"&gt;0",$J$767:$J$771,"&gt;"&amp;J767)+COUNTIFS($I$767:I767,"&gt;0",$J$767:J767,J767))))</x:f>
        <x:v>6</x:v>
      </x:c>
      <x:c r="P767" s="22" t="n">
        <x:f>IF(T767="Ready",MIN(U767,MAX(0,G767-SUMIFS($U$767:$U$771,$O$767:$O$771,"&lt;"&amp;O767))),"n.a.")</x:f>
        <x:v>0</x:v>
      </x:c>
      <x:c r="Q767" s="22" t="n">
        <x:f>IF(T767="Ready",ROUND(N767+P767,2),"n.a.")</x:f>
        <x:v>0</x:v>
      </x:c>
      <x:c r="R767" s="22" t="n">
        <x:f>IF(T767="Ready",ROUND(Q767-M767,2),"n.a.")</x:f>
        <x:v>0</x:v>
      </x:c>
      <x:c r="S767" s="22" t="n">
        <x:f>IF(T767="Ready",MAX(0,ROUND(I767+M767-Q767,2)),"n.a.")</x:f>
        <x:v>0</x:v>
      </x:c>
      <x:c r="T767" s="22" t="str">
        <x:f>IF(AND(COUNT($I$767:$I$771)=5,COUNT(E767:F767)=2),IF(E767&gt;=F767,"Ready","Budget below minima"),"Check inputs")</x:f>
        <x:v>Ready</x:v>
      </x:c>
      <x:c r="U767" s="22" t="n">
        <x:f>IF(COUNT(I767,M767,N767)=3,MAX(0,ROUND(I767+M767-N767,2)),"n.a.")</x:f>
        <x:v>0</x:v>
      </x:c>
    </x:row>
    <x:row r="768" ht="22" customHeight="1">
      <x:c r="A768" s="2"/>
      <x:c r="B768" s="2"/>
      <x:c r="C768" s="27" t="n">
        <x:f>153</x:f>
        <x:v>153</x:v>
      </x:c>
      <x:c r="D768" s="28" t="n">
        <x:f>IF(ISNUMBER('Inputs'!$D$7),EDATE('Inputs'!$D$7,152),"n.a.")</x:f>
        <x:v>50952</x:v>
      </x:c>
      <x:c r="E768" s="26" t="n">
        <x:f>IF('Inputs'!$D$9&lt;&gt;"Ready","n.a.",IF(ISNUMBER('Inputs'!E171),IF('Inputs'!E171&gt;=0,'Inputs'!E171,"n.a."),IF('Inputs'!E171="",'Inputs'!$D$6,"n.a.")))</x:f>
        <x:v>500</x:v>
      </x:c>
      <x:c r="F768" s="22" t="n">
        <x:f>IF(COUNT($N$767:$N$771)=5,SUM($N$767:$N$771),"n.a.")</x:f>
        <x:v>0</x:v>
      </x:c>
      <x:c r="G768" s="22" t="n">
        <x:f>IF(COUNT(E768:F768)=2,MAX(0,E768-F768),"n.a.")</x:f>
        <x:v>500</x:v>
      </x:c>
      <x:c r="H768" s="26" t="str">
        <x:f>'Inputs'!C12</x:f>
        <x:v>Card B</x:v>
      </x:c>
      <x:c r="I768" s="26" t="n">
        <x:f>S763</x:f>
        <x:v>0</x:v>
      </x:c>
      <x:c r="J768" s="29" t="n">
        <x:f>IF('Inputs'!$D$9="Ready",'Inputs'!E12,"n.a.")</x:f>
        <x:v>0.18</x:v>
      </x:c>
      <x:c r="K768" s="26" t="n">
        <x:f>IF('Inputs'!$D$9="Ready",'Inputs'!F12,"n.a.")</x:f>
        <x:v>60</x:v>
      </x:c>
      <x:c r="L768" s="29" t="n">
        <x:f>IF('Inputs'!$D$9="Ready",'Inputs'!G12,"n.a.")</x:f>
        <x:v>0.02</x:v>
      </x:c>
      <x:c r="M768" s="22" t="n">
        <x:f>IF(COUNT(I768:L768)=4,ROUND(I768*J768/12,2),"n.a.")</x:f>
        <x:v>0</x:v>
      </x:c>
      <x:c r="N768" s="22" t="n">
        <x:f>IF(COUNT(I768:M768)=5,MIN(I768+M768,ROUND(MAX(K768,I768*L768+M768),2)),"n.a.")</x:f>
        <x:v>0</x:v>
      </x:c>
      <x:c r="O768" s="30" t="n">
        <x:f>IF(COUNT($I$767:$I$771)&lt;&gt;5,"n.a.",IF(I768=0,6,IF('Inputs'!$D$5=1,COUNTIFS($I$767:$I$771,"&gt;0",$I$767:$I$771,"&lt;"&amp;I768)+COUNTIFS($I$767:I768,I768),COUNTIFS($I$767:$I$771,"&gt;0",$J$767:$J$771,"&gt;"&amp;J768)+COUNTIFS($I$767:I768,"&gt;0",$J$767:J768,J768))))</x:f>
        <x:v>6</x:v>
      </x:c>
      <x:c r="P768" s="22" t="n">
        <x:f>IF(T768="Ready",MIN(U768,MAX(0,G768-SUMIFS($U$767:$U$771,$O$767:$O$771,"&lt;"&amp;O768))),"n.a.")</x:f>
        <x:v>0</x:v>
      </x:c>
      <x:c r="Q768" s="22" t="n">
        <x:f>IF(T768="Ready",ROUND(N768+P768,2),"n.a.")</x:f>
        <x:v>0</x:v>
      </x:c>
      <x:c r="R768" s="22" t="n">
        <x:f>IF(T768="Ready",ROUND(Q768-M768,2),"n.a.")</x:f>
        <x:v>0</x:v>
      </x:c>
      <x:c r="S768" s="22" t="n">
        <x:f>IF(T768="Ready",MAX(0,ROUND(I768+M768-Q768,2)),"n.a.")</x:f>
        <x:v>0</x:v>
      </x:c>
      <x:c r="T768" s="22" t="str">
        <x:f>IF(AND(COUNT($I$767:$I$771)=5,COUNT(E768:F768)=2),IF(E768&gt;=F768,"Ready","Budget below minima"),"Check inputs")</x:f>
        <x:v>Ready</x:v>
      </x:c>
      <x:c r="U768" s="22" t="n">
        <x:f>IF(COUNT(I768,M768,N768)=3,MAX(0,ROUND(I768+M768-N768,2)),"n.a.")</x:f>
        <x:v>0</x:v>
      </x:c>
    </x:row>
    <x:row r="769" ht="22" customHeight="1">
      <x:c r="A769" s="2"/>
      <x:c r="B769" s="2"/>
      <x:c r="C769" s="27" t="n">
        <x:f>153</x:f>
        <x:v>153</x:v>
      </x:c>
      <x:c r="D769" s="28" t="n">
        <x:f>IF(ISNUMBER('Inputs'!$D$7),EDATE('Inputs'!$D$7,152),"n.a.")</x:f>
        <x:v>50952</x:v>
      </x:c>
      <x:c r="E769" s="26" t="n">
        <x:f>IF('Inputs'!$D$9&lt;&gt;"Ready","n.a.",IF(ISNUMBER('Inputs'!E171),IF('Inputs'!E171&gt;=0,'Inputs'!E171,"n.a."),IF('Inputs'!E171="",'Inputs'!$D$6,"n.a.")))</x:f>
        <x:v>500</x:v>
      </x:c>
      <x:c r="F769" s="22" t="n">
        <x:f>IF(COUNT($N$767:$N$771)=5,SUM($N$767:$N$771),"n.a.")</x:f>
        <x:v>0</x:v>
      </x:c>
      <x:c r="G769" s="22" t="n">
        <x:f>IF(COUNT(E769:F769)=2,MAX(0,E769-F769),"n.a.")</x:f>
        <x:v>500</x:v>
      </x:c>
      <x:c r="H769" s="26" t="str">
        <x:f>'Inputs'!C13</x:f>
        <x:v>Loan C</x:v>
      </x:c>
      <x:c r="I769" s="26" t="n">
        <x:f>S764</x:f>
        <x:v>0</x:v>
      </x:c>
      <x:c r="J769" s="29" t="n">
        <x:f>IF('Inputs'!$D$9="Ready",'Inputs'!E13,"n.a.")</x:f>
        <x:v>0.08</x:v>
      </x:c>
      <x:c r="K769" s="26" t="n">
        <x:f>IF('Inputs'!$D$9="Ready",'Inputs'!F13,"n.a.")</x:f>
        <x:v>150</x:v>
      </x:c>
      <x:c r="L769" s="29" t="n">
        <x:f>IF('Inputs'!$D$9="Ready",'Inputs'!G13,"n.a.")</x:f>
        <x:v>0</x:v>
      </x:c>
      <x:c r="M769" s="22" t="n">
        <x:f>IF(COUNT(I769:L769)=4,ROUND(I769*J769/12,2),"n.a.")</x:f>
        <x:v>0</x:v>
      </x:c>
      <x:c r="N769" s="22" t="n">
        <x:f>IF(COUNT(I769:M769)=5,MIN(I769+M769,ROUND(MAX(K769,I769*L769+M769),2)),"n.a.")</x:f>
        <x:v>0</x:v>
      </x:c>
      <x:c r="O769" s="30" t="n">
        <x:f>IF(COUNT($I$767:$I$771)&lt;&gt;5,"n.a.",IF(I769=0,6,IF('Inputs'!$D$5=1,COUNTIFS($I$767:$I$771,"&gt;0",$I$767:$I$771,"&lt;"&amp;I769)+COUNTIFS($I$767:I769,I769),COUNTIFS($I$767:$I$771,"&gt;0",$J$767:$J$771,"&gt;"&amp;J769)+COUNTIFS($I$767:I769,"&gt;0",$J$767:J769,J769))))</x:f>
        <x:v>6</x:v>
      </x:c>
      <x:c r="P769" s="22" t="n">
        <x:f>IF(T769="Ready",MIN(U769,MAX(0,G769-SUMIFS($U$767:$U$771,$O$767:$O$771,"&lt;"&amp;O769))),"n.a.")</x:f>
        <x:v>0</x:v>
      </x:c>
      <x:c r="Q769" s="22" t="n">
        <x:f>IF(T769="Ready",ROUND(N769+P769,2),"n.a.")</x:f>
        <x:v>0</x:v>
      </x:c>
      <x:c r="R769" s="22" t="n">
        <x:f>IF(T769="Ready",ROUND(Q769-M769,2),"n.a.")</x:f>
        <x:v>0</x:v>
      </x:c>
      <x:c r="S769" s="22" t="n">
        <x:f>IF(T769="Ready",MAX(0,ROUND(I769+M769-Q769,2)),"n.a.")</x:f>
        <x:v>0</x:v>
      </x:c>
      <x:c r="T769" s="22" t="str">
        <x:f>IF(AND(COUNT($I$767:$I$771)=5,COUNT(E769:F769)=2),IF(E769&gt;=F769,"Ready","Budget below minima"),"Check inputs")</x:f>
        <x:v>Ready</x:v>
      </x:c>
      <x:c r="U769" s="22" t="n">
        <x:f>IF(COUNT(I769,M769,N769)=3,MAX(0,ROUND(I769+M769-N769,2)),"n.a.")</x:f>
        <x:v>0</x:v>
      </x:c>
    </x:row>
    <x:row r="770" ht="22" customHeight="1">
      <x:c r="A770" s="2"/>
      <x:c r="B770" s="2"/>
      <x:c r="C770" s="27" t="n">
        <x:f>153</x:f>
        <x:v>153</x:v>
      </x:c>
      <x:c r="D770" s="28" t="n">
        <x:f>IF(ISNUMBER('Inputs'!$D$7),EDATE('Inputs'!$D$7,152),"n.a.")</x:f>
        <x:v>50952</x:v>
      </x:c>
      <x:c r="E770" s="26" t="n">
        <x:f>IF('Inputs'!$D$9&lt;&gt;"Ready","n.a.",IF(ISNUMBER('Inputs'!E171),IF('Inputs'!E171&gt;=0,'Inputs'!E171,"n.a."),IF('Inputs'!E171="",'Inputs'!$D$6,"n.a.")))</x:f>
        <x:v>500</x:v>
      </x:c>
      <x:c r="F770" s="22" t="n">
        <x:f>IF(COUNT($N$767:$N$771)=5,SUM($N$767:$N$771),"n.a.")</x:f>
        <x:v>0</x:v>
      </x:c>
      <x:c r="G770" s="22" t="n">
        <x:f>IF(COUNT(E770:F770)=2,MAX(0,E770-F770),"n.a.")</x:f>
        <x:v>500</x:v>
      </x:c>
      <x:c r="H770" s="26" t="str">
        <x:f>'Inputs'!C14</x:f>
        <x:v>Unused 4</x:v>
      </x:c>
      <x:c r="I770" s="26" t="n">
        <x:f>S765</x:f>
        <x:v>0</x:v>
      </x:c>
      <x:c r="J770" s="29" t="n">
        <x:f>IF('Inputs'!$D$9="Ready",'Inputs'!E14,"n.a.")</x:f>
        <x:v>0</x:v>
      </x:c>
      <x:c r="K770" s="26" t="n">
        <x:f>IF('Inputs'!$D$9="Ready",'Inputs'!F14,"n.a.")</x:f>
        <x:v>0</x:v>
      </x:c>
      <x:c r="L770" s="29" t="n">
        <x:f>IF('Inputs'!$D$9="Ready",'Inputs'!G14,"n.a.")</x:f>
        <x:v>0</x:v>
      </x:c>
      <x:c r="M770" s="22" t="n">
        <x:f>IF(COUNT(I770:L770)=4,ROUND(I770*J770/12,2),"n.a.")</x:f>
        <x:v>0</x:v>
      </x:c>
      <x:c r="N770" s="22" t="n">
        <x:f>IF(COUNT(I770:M770)=5,MIN(I770+M770,ROUND(MAX(K770,I770*L770+M770),2)),"n.a.")</x:f>
        <x:v>0</x:v>
      </x:c>
      <x:c r="O770" s="30" t="n">
        <x:f>IF(COUNT($I$767:$I$771)&lt;&gt;5,"n.a.",IF(I770=0,6,IF('Inputs'!$D$5=1,COUNTIFS($I$767:$I$771,"&gt;0",$I$767:$I$771,"&lt;"&amp;I770)+COUNTIFS($I$767:I770,I770),COUNTIFS($I$767:$I$771,"&gt;0",$J$767:$J$771,"&gt;"&amp;J770)+COUNTIFS($I$767:I770,"&gt;0",$J$767:J770,J770))))</x:f>
        <x:v>6</x:v>
      </x:c>
      <x:c r="P770" s="22" t="n">
        <x:f>IF(T770="Ready",MIN(U770,MAX(0,G770-SUMIFS($U$767:$U$771,$O$767:$O$771,"&lt;"&amp;O770))),"n.a.")</x:f>
        <x:v>0</x:v>
      </x:c>
      <x:c r="Q770" s="22" t="n">
        <x:f>IF(T770="Ready",ROUND(N770+P770,2),"n.a.")</x:f>
        <x:v>0</x:v>
      </x:c>
      <x:c r="R770" s="22" t="n">
        <x:f>IF(T770="Ready",ROUND(Q770-M770,2),"n.a.")</x:f>
        <x:v>0</x:v>
      </x:c>
      <x:c r="S770" s="22" t="n">
        <x:f>IF(T770="Ready",MAX(0,ROUND(I770+M770-Q770,2)),"n.a.")</x:f>
        <x:v>0</x:v>
      </x:c>
      <x:c r="T770" s="22" t="str">
        <x:f>IF(AND(COUNT($I$767:$I$771)=5,COUNT(E770:F770)=2),IF(E770&gt;=F770,"Ready","Budget below minima"),"Check inputs")</x:f>
        <x:v>Ready</x:v>
      </x:c>
      <x:c r="U770" s="22" t="n">
        <x:f>IF(COUNT(I770,M770,N770)=3,MAX(0,ROUND(I770+M770-N770,2)),"n.a.")</x:f>
        <x:v>0</x:v>
      </x:c>
    </x:row>
    <x:row r="771" ht="22" customHeight="1">
      <x:c r="A771" s="2"/>
      <x:c r="B771" s="2"/>
      <x:c r="C771" s="27" t="n">
        <x:f>153</x:f>
        <x:v>153</x:v>
      </x:c>
      <x:c r="D771" s="28" t="n">
        <x:f>IF(ISNUMBER('Inputs'!$D$7),EDATE('Inputs'!$D$7,152),"n.a.")</x:f>
        <x:v>50952</x:v>
      </x:c>
      <x:c r="E771" s="26" t="n">
        <x:f>IF('Inputs'!$D$9&lt;&gt;"Ready","n.a.",IF(ISNUMBER('Inputs'!E171),IF('Inputs'!E171&gt;=0,'Inputs'!E171,"n.a."),IF('Inputs'!E171="",'Inputs'!$D$6,"n.a.")))</x:f>
        <x:v>500</x:v>
      </x:c>
      <x:c r="F771" s="22" t="n">
        <x:f>IF(COUNT($N$767:$N$771)=5,SUM($N$767:$N$771),"n.a.")</x:f>
        <x:v>0</x:v>
      </x:c>
      <x:c r="G771" s="22" t="n">
        <x:f>IF(COUNT(E771:F771)=2,MAX(0,E771-F771),"n.a.")</x:f>
        <x:v>500</x:v>
      </x:c>
      <x:c r="H771" s="26" t="str">
        <x:f>'Inputs'!C15</x:f>
        <x:v>Unused 5</x:v>
      </x:c>
      <x:c r="I771" s="26" t="n">
        <x:f>S766</x:f>
        <x:v>0</x:v>
      </x:c>
      <x:c r="J771" s="29" t="n">
        <x:f>IF('Inputs'!$D$9="Ready",'Inputs'!E15,"n.a.")</x:f>
        <x:v>0</x:v>
      </x:c>
      <x:c r="K771" s="26" t="n">
        <x:f>IF('Inputs'!$D$9="Ready",'Inputs'!F15,"n.a.")</x:f>
        <x:v>0</x:v>
      </x:c>
      <x:c r="L771" s="29" t="n">
        <x:f>IF('Inputs'!$D$9="Ready",'Inputs'!G15,"n.a.")</x:f>
        <x:v>0</x:v>
      </x:c>
      <x:c r="M771" s="22" t="n">
        <x:f>IF(COUNT(I771:L771)=4,ROUND(I771*J771/12,2),"n.a.")</x:f>
        <x:v>0</x:v>
      </x:c>
      <x:c r="N771" s="22" t="n">
        <x:f>IF(COUNT(I771:M771)=5,MIN(I771+M771,ROUND(MAX(K771,I771*L771+M771),2)),"n.a.")</x:f>
        <x:v>0</x:v>
      </x:c>
      <x:c r="O771" s="30" t="n">
        <x:f>IF(COUNT($I$767:$I$771)&lt;&gt;5,"n.a.",IF(I771=0,6,IF('Inputs'!$D$5=1,COUNTIFS($I$767:$I$771,"&gt;0",$I$767:$I$771,"&lt;"&amp;I771)+COUNTIFS($I$767:I771,I771),COUNTIFS($I$767:$I$771,"&gt;0",$J$767:$J$771,"&gt;"&amp;J771)+COUNTIFS($I$767:I771,"&gt;0",$J$767:J771,J771))))</x:f>
        <x:v>6</x:v>
      </x:c>
      <x:c r="P771" s="22" t="n">
        <x:f>IF(T771="Ready",MIN(U771,MAX(0,G771-SUMIFS($U$767:$U$771,$O$767:$O$771,"&lt;"&amp;O771))),"n.a.")</x:f>
        <x:v>0</x:v>
      </x:c>
      <x:c r="Q771" s="22" t="n">
        <x:f>IF(T771="Ready",ROUND(N771+P771,2),"n.a.")</x:f>
        <x:v>0</x:v>
      </x:c>
      <x:c r="R771" s="22" t="n">
        <x:f>IF(T771="Ready",ROUND(Q771-M771,2),"n.a.")</x:f>
        <x:v>0</x:v>
      </x:c>
      <x:c r="S771" s="22" t="n">
        <x:f>IF(T771="Ready",MAX(0,ROUND(I771+M771-Q771,2)),"n.a.")</x:f>
        <x:v>0</x:v>
      </x:c>
      <x:c r="T771" s="22" t="str">
        <x:f>IF(AND(COUNT($I$767:$I$771)=5,COUNT(E771:F771)=2),IF(E771&gt;=F771,"Ready","Budget below minima"),"Check inputs")</x:f>
        <x:v>Ready</x:v>
      </x:c>
      <x:c r="U771" s="22" t="n">
        <x:f>IF(COUNT(I771,M771,N771)=3,MAX(0,ROUND(I771+M771-N771,2)),"n.a.")</x:f>
        <x:v>0</x:v>
      </x:c>
    </x:row>
    <x:row r="772" ht="22" customHeight="1">
      <x:c r="A772" s="2"/>
      <x:c r="B772" s="2"/>
      <x:c r="C772" s="27" t="n">
        <x:f>154</x:f>
        <x:v>154</x:v>
      </x:c>
      <x:c r="D772" s="28" t="n">
        <x:f>IF(ISNUMBER('Inputs'!$D$7),EDATE('Inputs'!$D$7,153),"n.a.")</x:f>
        <x:v>50983</x:v>
      </x:c>
      <x:c r="E772" s="26" t="n">
        <x:f>IF('Inputs'!$D$9&lt;&gt;"Ready","n.a.",IF(ISNUMBER('Inputs'!E172),IF('Inputs'!E172&gt;=0,'Inputs'!E172,"n.a."),IF('Inputs'!E172="",'Inputs'!$D$6,"n.a.")))</x:f>
        <x:v>500</x:v>
      </x:c>
      <x:c r="F772" s="22" t="n">
        <x:f>IF(COUNT($N$772:$N$776)=5,SUM($N$772:$N$776),"n.a.")</x:f>
        <x:v>0</x:v>
      </x:c>
      <x:c r="G772" s="22" t="n">
        <x:f>IF(COUNT(E772:F772)=2,MAX(0,E772-F772),"n.a.")</x:f>
        <x:v>500</x:v>
      </x:c>
      <x:c r="H772" s="26" t="str">
        <x:f>'Inputs'!C11</x:f>
        <x:v>Card A</x:v>
      </x:c>
      <x:c r="I772" s="26" t="n">
        <x:f>S767</x:f>
        <x:v>0</x:v>
      </x:c>
      <x:c r="J772" s="29" t="n">
        <x:f>IF('Inputs'!$D$9="Ready",'Inputs'!E11,"n.a.")</x:f>
        <x:v>0.24</x:v>
      </x:c>
      <x:c r="K772" s="26" t="n">
        <x:f>IF('Inputs'!$D$9="Ready",'Inputs'!F11,"n.a.")</x:f>
        <x:v>35</x:v>
      </x:c>
      <x:c r="L772" s="29" t="n">
        <x:f>IF('Inputs'!$D$9="Ready",'Inputs'!G11,"n.a.")</x:f>
        <x:v>0.02</x:v>
      </x:c>
      <x:c r="M772" s="22" t="n">
        <x:f>IF(COUNT(I772:L772)=4,ROUND(I772*J772/12,2),"n.a.")</x:f>
        <x:v>0</x:v>
      </x:c>
      <x:c r="N772" s="22" t="n">
        <x:f>IF(COUNT(I772:M772)=5,MIN(I772+M772,ROUND(MAX(K772,I772*L772+M772),2)),"n.a.")</x:f>
        <x:v>0</x:v>
      </x:c>
      <x:c r="O772" s="30" t="n">
        <x:f>IF(COUNT($I$772:$I$776)&lt;&gt;5,"n.a.",IF(I772=0,6,IF('Inputs'!$D$5=1,COUNTIFS($I$772:$I$776,"&gt;0",$I$772:$I$776,"&lt;"&amp;I772)+COUNTIFS($I$772:I772,I772),COUNTIFS($I$772:$I$776,"&gt;0",$J$772:$J$776,"&gt;"&amp;J772)+COUNTIFS($I$772:I772,"&gt;0",$J$772:J772,J772))))</x:f>
        <x:v>6</x:v>
      </x:c>
      <x:c r="P772" s="22" t="n">
        <x:f>IF(T772="Ready",MIN(U772,MAX(0,G772-SUMIFS($U$772:$U$776,$O$772:$O$776,"&lt;"&amp;O772))),"n.a.")</x:f>
        <x:v>0</x:v>
      </x:c>
      <x:c r="Q772" s="22" t="n">
        <x:f>IF(T772="Ready",ROUND(N772+P772,2),"n.a.")</x:f>
        <x:v>0</x:v>
      </x:c>
      <x:c r="R772" s="22" t="n">
        <x:f>IF(T772="Ready",ROUND(Q772-M772,2),"n.a.")</x:f>
        <x:v>0</x:v>
      </x:c>
      <x:c r="S772" s="22" t="n">
        <x:f>IF(T772="Ready",MAX(0,ROUND(I772+M772-Q772,2)),"n.a.")</x:f>
        <x:v>0</x:v>
      </x:c>
      <x:c r="T772" s="22" t="str">
        <x:f>IF(AND(COUNT($I$772:$I$776)=5,COUNT(E772:F772)=2),IF(E772&gt;=F772,"Ready","Budget below minima"),"Check inputs")</x:f>
        <x:v>Ready</x:v>
      </x:c>
      <x:c r="U772" s="22" t="n">
        <x:f>IF(COUNT(I772,M772,N772)=3,MAX(0,ROUND(I772+M772-N772,2)),"n.a.")</x:f>
        <x:v>0</x:v>
      </x:c>
    </x:row>
    <x:row r="773" ht="22" customHeight="1">
      <x:c r="A773" s="2"/>
      <x:c r="B773" s="2"/>
      <x:c r="C773" s="27" t="n">
        <x:f>154</x:f>
        <x:v>154</x:v>
      </x:c>
      <x:c r="D773" s="28" t="n">
        <x:f>IF(ISNUMBER('Inputs'!$D$7),EDATE('Inputs'!$D$7,153),"n.a.")</x:f>
        <x:v>50983</x:v>
      </x:c>
      <x:c r="E773" s="26" t="n">
        <x:f>IF('Inputs'!$D$9&lt;&gt;"Ready","n.a.",IF(ISNUMBER('Inputs'!E172),IF('Inputs'!E172&gt;=0,'Inputs'!E172,"n.a."),IF('Inputs'!E172="",'Inputs'!$D$6,"n.a.")))</x:f>
        <x:v>500</x:v>
      </x:c>
      <x:c r="F773" s="22" t="n">
        <x:f>IF(COUNT($N$772:$N$776)=5,SUM($N$772:$N$776),"n.a.")</x:f>
        <x:v>0</x:v>
      </x:c>
      <x:c r="G773" s="22" t="n">
        <x:f>IF(COUNT(E773:F773)=2,MAX(0,E773-F773),"n.a.")</x:f>
        <x:v>500</x:v>
      </x:c>
      <x:c r="H773" s="26" t="str">
        <x:f>'Inputs'!C12</x:f>
        <x:v>Card B</x:v>
      </x:c>
      <x:c r="I773" s="26" t="n">
        <x:f>S768</x:f>
        <x:v>0</x:v>
      </x:c>
      <x:c r="J773" s="29" t="n">
        <x:f>IF('Inputs'!$D$9="Ready",'Inputs'!E12,"n.a.")</x:f>
        <x:v>0.18</x:v>
      </x:c>
      <x:c r="K773" s="26" t="n">
        <x:f>IF('Inputs'!$D$9="Ready",'Inputs'!F12,"n.a.")</x:f>
        <x:v>60</x:v>
      </x:c>
      <x:c r="L773" s="29" t="n">
        <x:f>IF('Inputs'!$D$9="Ready",'Inputs'!G12,"n.a.")</x:f>
        <x:v>0.02</x:v>
      </x:c>
      <x:c r="M773" s="22" t="n">
        <x:f>IF(COUNT(I773:L773)=4,ROUND(I773*J773/12,2),"n.a.")</x:f>
        <x:v>0</x:v>
      </x:c>
      <x:c r="N773" s="22" t="n">
        <x:f>IF(COUNT(I773:M773)=5,MIN(I773+M773,ROUND(MAX(K773,I773*L773+M773),2)),"n.a.")</x:f>
        <x:v>0</x:v>
      </x:c>
      <x:c r="O773" s="30" t="n">
        <x:f>IF(COUNT($I$772:$I$776)&lt;&gt;5,"n.a.",IF(I773=0,6,IF('Inputs'!$D$5=1,COUNTIFS($I$772:$I$776,"&gt;0",$I$772:$I$776,"&lt;"&amp;I773)+COUNTIFS($I$772:I773,I773),COUNTIFS($I$772:$I$776,"&gt;0",$J$772:$J$776,"&gt;"&amp;J773)+COUNTIFS($I$772:I773,"&gt;0",$J$772:J773,J773))))</x:f>
        <x:v>6</x:v>
      </x:c>
      <x:c r="P773" s="22" t="n">
        <x:f>IF(T773="Ready",MIN(U773,MAX(0,G773-SUMIFS($U$772:$U$776,$O$772:$O$776,"&lt;"&amp;O773))),"n.a.")</x:f>
        <x:v>0</x:v>
      </x:c>
      <x:c r="Q773" s="22" t="n">
        <x:f>IF(T773="Ready",ROUND(N773+P773,2),"n.a.")</x:f>
        <x:v>0</x:v>
      </x:c>
      <x:c r="R773" s="22" t="n">
        <x:f>IF(T773="Ready",ROUND(Q773-M773,2),"n.a.")</x:f>
        <x:v>0</x:v>
      </x:c>
      <x:c r="S773" s="22" t="n">
        <x:f>IF(T773="Ready",MAX(0,ROUND(I773+M773-Q773,2)),"n.a.")</x:f>
        <x:v>0</x:v>
      </x:c>
      <x:c r="T773" s="22" t="str">
        <x:f>IF(AND(COUNT($I$772:$I$776)=5,COUNT(E773:F773)=2),IF(E773&gt;=F773,"Ready","Budget below minima"),"Check inputs")</x:f>
        <x:v>Ready</x:v>
      </x:c>
      <x:c r="U773" s="22" t="n">
        <x:f>IF(COUNT(I773,M773,N773)=3,MAX(0,ROUND(I773+M773-N773,2)),"n.a.")</x:f>
        <x:v>0</x:v>
      </x:c>
    </x:row>
    <x:row r="774" ht="22" customHeight="1">
      <x:c r="A774" s="2"/>
      <x:c r="B774" s="2"/>
      <x:c r="C774" s="27" t="n">
        <x:f>154</x:f>
        <x:v>154</x:v>
      </x:c>
      <x:c r="D774" s="28" t="n">
        <x:f>IF(ISNUMBER('Inputs'!$D$7),EDATE('Inputs'!$D$7,153),"n.a.")</x:f>
        <x:v>50983</x:v>
      </x:c>
      <x:c r="E774" s="26" t="n">
        <x:f>IF('Inputs'!$D$9&lt;&gt;"Ready","n.a.",IF(ISNUMBER('Inputs'!E172),IF('Inputs'!E172&gt;=0,'Inputs'!E172,"n.a."),IF('Inputs'!E172="",'Inputs'!$D$6,"n.a.")))</x:f>
        <x:v>500</x:v>
      </x:c>
      <x:c r="F774" s="22" t="n">
        <x:f>IF(COUNT($N$772:$N$776)=5,SUM($N$772:$N$776),"n.a.")</x:f>
        <x:v>0</x:v>
      </x:c>
      <x:c r="G774" s="22" t="n">
        <x:f>IF(COUNT(E774:F774)=2,MAX(0,E774-F774),"n.a.")</x:f>
        <x:v>500</x:v>
      </x:c>
      <x:c r="H774" s="26" t="str">
        <x:f>'Inputs'!C13</x:f>
        <x:v>Loan C</x:v>
      </x:c>
      <x:c r="I774" s="26" t="n">
        <x:f>S769</x:f>
        <x:v>0</x:v>
      </x:c>
      <x:c r="J774" s="29" t="n">
        <x:f>IF('Inputs'!$D$9="Ready",'Inputs'!E13,"n.a.")</x:f>
        <x:v>0.08</x:v>
      </x:c>
      <x:c r="K774" s="26" t="n">
        <x:f>IF('Inputs'!$D$9="Ready",'Inputs'!F13,"n.a.")</x:f>
        <x:v>150</x:v>
      </x:c>
      <x:c r="L774" s="29" t="n">
        <x:f>IF('Inputs'!$D$9="Ready",'Inputs'!G13,"n.a.")</x:f>
        <x:v>0</x:v>
      </x:c>
      <x:c r="M774" s="22" t="n">
        <x:f>IF(COUNT(I774:L774)=4,ROUND(I774*J774/12,2),"n.a.")</x:f>
        <x:v>0</x:v>
      </x:c>
      <x:c r="N774" s="22" t="n">
        <x:f>IF(COUNT(I774:M774)=5,MIN(I774+M774,ROUND(MAX(K774,I774*L774+M774),2)),"n.a.")</x:f>
        <x:v>0</x:v>
      </x:c>
      <x:c r="O774" s="30" t="n">
        <x:f>IF(COUNT($I$772:$I$776)&lt;&gt;5,"n.a.",IF(I774=0,6,IF('Inputs'!$D$5=1,COUNTIFS($I$772:$I$776,"&gt;0",$I$772:$I$776,"&lt;"&amp;I774)+COUNTIFS($I$772:I774,I774),COUNTIFS($I$772:$I$776,"&gt;0",$J$772:$J$776,"&gt;"&amp;J774)+COUNTIFS($I$772:I774,"&gt;0",$J$772:J774,J774))))</x:f>
        <x:v>6</x:v>
      </x:c>
      <x:c r="P774" s="22" t="n">
        <x:f>IF(T774="Ready",MIN(U774,MAX(0,G774-SUMIFS($U$772:$U$776,$O$772:$O$776,"&lt;"&amp;O774))),"n.a.")</x:f>
        <x:v>0</x:v>
      </x:c>
      <x:c r="Q774" s="22" t="n">
        <x:f>IF(T774="Ready",ROUND(N774+P774,2),"n.a.")</x:f>
        <x:v>0</x:v>
      </x:c>
      <x:c r="R774" s="22" t="n">
        <x:f>IF(T774="Ready",ROUND(Q774-M774,2),"n.a.")</x:f>
        <x:v>0</x:v>
      </x:c>
      <x:c r="S774" s="22" t="n">
        <x:f>IF(T774="Ready",MAX(0,ROUND(I774+M774-Q774,2)),"n.a.")</x:f>
        <x:v>0</x:v>
      </x:c>
      <x:c r="T774" s="22" t="str">
        <x:f>IF(AND(COUNT($I$772:$I$776)=5,COUNT(E774:F774)=2),IF(E774&gt;=F774,"Ready","Budget below minima"),"Check inputs")</x:f>
        <x:v>Ready</x:v>
      </x:c>
      <x:c r="U774" s="22" t="n">
        <x:f>IF(COUNT(I774,M774,N774)=3,MAX(0,ROUND(I774+M774-N774,2)),"n.a.")</x:f>
        <x:v>0</x:v>
      </x:c>
    </x:row>
    <x:row r="775" ht="22" customHeight="1">
      <x:c r="A775" s="2"/>
      <x:c r="B775" s="2"/>
      <x:c r="C775" s="27" t="n">
        <x:f>154</x:f>
        <x:v>154</x:v>
      </x:c>
      <x:c r="D775" s="28" t="n">
        <x:f>IF(ISNUMBER('Inputs'!$D$7),EDATE('Inputs'!$D$7,153),"n.a.")</x:f>
        <x:v>50983</x:v>
      </x:c>
      <x:c r="E775" s="26" t="n">
        <x:f>IF('Inputs'!$D$9&lt;&gt;"Ready","n.a.",IF(ISNUMBER('Inputs'!E172),IF('Inputs'!E172&gt;=0,'Inputs'!E172,"n.a."),IF('Inputs'!E172="",'Inputs'!$D$6,"n.a.")))</x:f>
        <x:v>500</x:v>
      </x:c>
      <x:c r="F775" s="22" t="n">
        <x:f>IF(COUNT($N$772:$N$776)=5,SUM($N$772:$N$776),"n.a.")</x:f>
        <x:v>0</x:v>
      </x:c>
      <x:c r="G775" s="22" t="n">
        <x:f>IF(COUNT(E775:F775)=2,MAX(0,E775-F775),"n.a.")</x:f>
        <x:v>500</x:v>
      </x:c>
      <x:c r="H775" s="26" t="str">
        <x:f>'Inputs'!C14</x:f>
        <x:v>Unused 4</x:v>
      </x:c>
      <x:c r="I775" s="26" t="n">
        <x:f>S770</x:f>
        <x:v>0</x:v>
      </x:c>
      <x:c r="J775" s="29" t="n">
        <x:f>IF('Inputs'!$D$9="Ready",'Inputs'!E14,"n.a.")</x:f>
        <x:v>0</x:v>
      </x:c>
      <x:c r="K775" s="26" t="n">
        <x:f>IF('Inputs'!$D$9="Ready",'Inputs'!F14,"n.a.")</x:f>
        <x:v>0</x:v>
      </x:c>
      <x:c r="L775" s="29" t="n">
        <x:f>IF('Inputs'!$D$9="Ready",'Inputs'!G14,"n.a.")</x:f>
        <x:v>0</x:v>
      </x:c>
      <x:c r="M775" s="22" t="n">
        <x:f>IF(COUNT(I775:L775)=4,ROUND(I775*J775/12,2),"n.a.")</x:f>
        <x:v>0</x:v>
      </x:c>
      <x:c r="N775" s="22" t="n">
        <x:f>IF(COUNT(I775:M775)=5,MIN(I775+M775,ROUND(MAX(K775,I775*L775+M775),2)),"n.a.")</x:f>
        <x:v>0</x:v>
      </x:c>
      <x:c r="O775" s="30" t="n">
        <x:f>IF(COUNT($I$772:$I$776)&lt;&gt;5,"n.a.",IF(I775=0,6,IF('Inputs'!$D$5=1,COUNTIFS($I$772:$I$776,"&gt;0",$I$772:$I$776,"&lt;"&amp;I775)+COUNTIFS($I$772:I775,I775),COUNTIFS($I$772:$I$776,"&gt;0",$J$772:$J$776,"&gt;"&amp;J775)+COUNTIFS($I$772:I775,"&gt;0",$J$772:J775,J775))))</x:f>
        <x:v>6</x:v>
      </x:c>
      <x:c r="P775" s="22" t="n">
        <x:f>IF(T775="Ready",MIN(U775,MAX(0,G775-SUMIFS($U$772:$U$776,$O$772:$O$776,"&lt;"&amp;O775))),"n.a.")</x:f>
        <x:v>0</x:v>
      </x:c>
      <x:c r="Q775" s="22" t="n">
        <x:f>IF(T775="Ready",ROUND(N775+P775,2),"n.a.")</x:f>
        <x:v>0</x:v>
      </x:c>
      <x:c r="R775" s="22" t="n">
        <x:f>IF(T775="Ready",ROUND(Q775-M775,2),"n.a.")</x:f>
        <x:v>0</x:v>
      </x:c>
      <x:c r="S775" s="22" t="n">
        <x:f>IF(T775="Ready",MAX(0,ROUND(I775+M775-Q775,2)),"n.a.")</x:f>
        <x:v>0</x:v>
      </x:c>
      <x:c r="T775" s="22" t="str">
        <x:f>IF(AND(COUNT($I$772:$I$776)=5,COUNT(E775:F775)=2),IF(E775&gt;=F775,"Ready","Budget below minima"),"Check inputs")</x:f>
        <x:v>Ready</x:v>
      </x:c>
      <x:c r="U775" s="22" t="n">
        <x:f>IF(COUNT(I775,M775,N775)=3,MAX(0,ROUND(I775+M775-N775,2)),"n.a.")</x:f>
        <x:v>0</x:v>
      </x:c>
    </x:row>
    <x:row r="776" ht="22" customHeight="1">
      <x:c r="A776" s="2"/>
      <x:c r="B776" s="2"/>
      <x:c r="C776" s="27" t="n">
        <x:f>154</x:f>
        <x:v>154</x:v>
      </x:c>
      <x:c r="D776" s="28" t="n">
        <x:f>IF(ISNUMBER('Inputs'!$D$7),EDATE('Inputs'!$D$7,153),"n.a.")</x:f>
        <x:v>50983</x:v>
      </x:c>
      <x:c r="E776" s="26" t="n">
        <x:f>IF('Inputs'!$D$9&lt;&gt;"Ready","n.a.",IF(ISNUMBER('Inputs'!E172),IF('Inputs'!E172&gt;=0,'Inputs'!E172,"n.a."),IF('Inputs'!E172="",'Inputs'!$D$6,"n.a.")))</x:f>
        <x:v>500</x:v>
      </x:c>
      <x:c r="F776" s="22" t="n">
        <x:f>IF(COUNT($N$772:$N$776)=5,SUM($N$772:$N$776),"n.a.")</x:f>
        <x:v>0</x:v>
      </x:c>
      <x:c r="G776" s="22" t="n">
        <x:f>IF(COUNT(E776:F776)=2,MAX(0,E776-F776),"n.a.")</x:f>
        <x:v>500</x:v>
      </x:c>
      <x:c r="H776" s="26" t="str">
        <x:f>'Inputs'!C15</x:f>
        <x:v>Unused 5</x:v>
      </x:c>
      <x:c r="I776" s="26" t="n">
        <x:f>S771</x:f>
        <x:v>0</x:v>
      </x:c>
      <x:c r="J776" s="29" t="n">
        <x:f>IF('Inputs'!$D$9="Ready",'Inputs'!E15,"n.a.")</x:f>
        <x:v>0</x:v>
      </x:c>
      <x:c r="K776" s="26" t="n">
        <x:f>IF('Inputs'!$D$9="Ready",'Inputs'!F15,"n.a.")</x:f>
        <x:v>0</x:v>
      </x:c>
      <x:c r="L776" s="29" t="n">
        <x:f>IF('Inputs'!$D$9="Ready",'Inputs'!G15,"n.a.")</x:f>
        <x:v>0</x:v>
      </x:c>
      <x:c r="M776" s="22" t="n">
        <x:f>IF(COUNT(I776:L776)=4,ROUND(I776*J776/12,2),"n.a.")</x:f>
        <x:v>0</x:v>
      </x:c>
      <x:c r="N776" s="22" t="n">
        <x:f>IF(COUNT(I776:M776)=5,MIN(I776+M776,ROUND(MAX(K776,I776*L776+M776),2)),"n.a.")</x:f>
        <x:v>0</x:v>
      </x:c>
      <x:c r="O776" s="30" t="n">
        <x:f>IF(COUNT($I$772:$I$776)&lt;&gt;5,"n.a.",IF(I776=0,6,IF('Inputs'!$D$5=1,COUNTIFS($I$772:$I$776,"&gt;0",$I$772:$I$776,"&lt;"&amp;I776)+COUNTIFS($I$772:I776,I776),COUNTIFS($I$772:$I$776,"&gt;0",$J$772:$J$776,"&gt;"&amp;J776)+COUNTIFS($I$772:I776,"&gt;0",$J$772:J776,J776))))</x:f>
        <x:v>6</x:v>
      </x:c>
      <x:c r="P776" s="22" t="n">
        <x:f>IF(T776="Ready",MIN(U776,MAX(0,G776-SUMIFS($U$772:$U$776,$O$772:$O$776,"&lt;"&amp;O776))),"n.a.")</x:f>
        <x:v>0</x:v>
      </x:c>
      <x:c r="Q776" s="22" t="n">
        <x:f>IF(T776="Ready",ROUND(N776+P776,2),"n.a.")</x:f>
        <x:v>0</x:v>
      </x:c>
      <x:c r="R776" s="22" t="n">
        <x:f>IF(T776="Ready",ROUND(Q776-M776,2),"n.a.")</x:f>
        <x:v>0</x:v>
      </x:c>
      <x:c r="S776" s="22" t="n">
        <x:f>IF(T776="Ready",MAX(0,ROUND(I776+M776-Q776,2)),"n.a.")</x:f>
        <x:v>0</x:v>
      </x:c>
      <x:c r="T776" s="22" t="str">
        <x:f>IF(AND(COUNT($I$772:$I$776)=5,COUNT(E776:F776)=2),IF(E776&gt;=F776,"Ready","Budget below minima"),"Check inputs")</x:f>
        <x:v>Ready</x:v>
      </x:c>
      <x:c r="U776" s="22" t="n">
        <x:f>IF(COUNT(I776,M776,N776)=3,MAX(0,ROUND(I776+M776-N776,2)),"n.a.")</x:f>
        <x:v>0</x:v>
      </x:c>
    </x:row>
    <x:row r="777" ht="22" customHeight="1">
      <x:c r="A777" s="2"/>
      <x:c r="B777" s="2"/>
      <x:c r="C777" s="27" t="n">
        <x:f>155</x:f>
        <x:v>155</x:v>
      </x:c>
      <x:c r="D777" s="28" t="n">
        <x:f>IF(ISNUMBER('Inputs'!$D$7),EDATE('Inputs'!$D$7,154),"n.a.")</x:f>
        <x:v>51014</x:v>
      </x:c>
      <x:c r="E777" s="26" t="n">
        <x:f>IF('Inputs'!$D$9&lt;&gt;"Ready","n.a.",IF(ISNUMBER('Inputs'!E173),IF('Inputs'!E173&gt;=0,'Inputs'!E173,"n.a."),IF('Inputs'!E173="",'Inputs'!$D$6,"n.a.")))</x:f>
        <x:v>500</x:v>
      </x:c>
      <x:c r="F777" s="22" t="n">
        <x:f>IF(COUNT($N$777:$N$781)=5,SUM($N$777:$N$781),"n.a.")</x:f>
        <x:v>0</x:v>
      </x:c>
      <x:c r="G777" s="22" t="n">
        <x:f>IF(COUNT(E777:F777)=2,MAX(0,E777-F777),"n.a.")</x:f>
        <x:v>500</x:v>
      </x:c>
      <x:c r="H777" s="26" t="str">
        <x:f>'Inputs'!C11</x:f>
        <x:v>Card A</x:v>
      </x:c>
      <x:c r="I777" s="26" t="n">
        <x:f>S772</x:f>
        <x:v>0</x:v>
      </x:c>
      <x:c r="J777" s="29" t="n">
        <x:f>IF('Inputs'!$D$9="Ready",'Inputs'!E11,"n.a.")</x:f>
        <x:v>0.24</x:v>
      </x:c>
      <x:c r="K777" s="26" t="n">
        <x:f>IF('Inputs'!$D$9="Ready",'Inputs'!F11,"n.a.")</x:f>
        <x:v>35</x:v>
      </x:c>
      <x:c r="L777" s="29" t="n">
        <x:f>IF('Inputs'!$D$9="Ready",'Inputs'!G11,"n.a.")</x:f>
        <x:v>0.02</x:v>
      </x:c>
      <x:c r="M777" s="22" t="n">
        <x:f>IF(COUNT(I777:L777)=4,ROUND(I777*J777/12,2),"n.a.")</x:f>
        <x:v>0</x:v>
      </x:c>
      <x:c r="N777" s="22" t="n">
        <x:f>IF(COUNT(I777:M777)=5,MIN(I777+M777,ROUND(MAX(K777,I777*L777+M777),2)),"n.a.")</x:f>
        <x:v>0</x:v>
      </x:c>
      <x:c r="O777" s="30" t="n">
        <x:f>IF(COUNT($I$777:$I$781)&lt;&gt;5,"n.a.",IF(I777=0,6,IF('Inputs'!$D$5=1,COUNTIFS($I$777:$I$781,"&gt;0",$I$777:$I$781,"&lt;"&amp;I777)+COUNTIFS($I$777:I777,I777),COUNTIFS($I$777:$I$781,"&gt;0",$J$777:$J$781,"&gt;"&amp;J777)+COUNTIFS($I$777:I777,"&gt;0",$J$777:J777,J777))))</x:f>
        <x:v>6</x:v>
      </x:c>
      <x:c r="P777" s="22" t="n">
        <x:f>IF(T777="Ready",MIN(U777,MAX(0,G777-SUMIFS($U$777:$U$781,$O$777:$O$781,"&lt;"&amp;O777))),"n.a.")</x:f>
        <x:v>0</x:v>
      </x:c>
      <x:c r="Q777" s="22" t="n">
        <x:f>IF(T777="Ready",ROUND(N777+P777,2),"n.a.")</x:f>
        <x:v>0</x:v>
      </x:c>
      <x:c r="R777" s="22" t="n">
        <x:f>IF(T777="Ready",ROUND(Q777-M777,2),"n.a.")</x:f>
        <x:v>0</x:v>
      </x:c>
      <x:c r="S777" s="22" t="n">
        <x:f>IF(T777="Ready",MAX(0,ROUND(I777+M777-Q777,2)),"n.a.")</x:f>
        <x:v>0</x:v>
      </x:c>
      <x:c r="T777" s="22" t="str">
        <x:f>IF(AND(COUNT($I$777:$I$781)=5,COUNT(E777:F777)=2),IF(E777&gt;=F777,"Ready","Budget below minima"),"Check inputs")</x:f>
        <x:v>Ready</x:v>
      </x:c>
      <x:c r="U777" s="22" t="n">
        <x:f>IF(COUNT(I777,M777,N777)=3,MAX(0,ROUND(I777+M777-N777,2)),"n.a.")</x:f>
        <x:v>0</x:v>
      </x:c>
    </x:row>
    <x:row r="778" ht="22" customHeight="1">
      <x:c r="A778" s="2"/>
      <x:c r="B778" s="2"/>
      <x:c r="C778" s="27" t="n">
        <x:f>155</x:f>
        <x:v>155</x:v>
      </x:c>
      <x:c r="D778" s="28" t="n">
        <x:f>IF(ISNUMBER('Inputs'!$D$7),EDATE('Inputs'!$D$7,154),"n.a.")</x:f>
        <x:v>51014</x:v>
      </x:c>
      <x:c r="E778" s="26" t="n">
        <x:f>IF('Inputs'!$D$9&lt;&gt;"Ready","n.a.",IF(ISNUMBER('Inputs'!E173),IF('Inputs'!E173&gt;=0,'Inputs'!E173,"n.a."),IF('Inputs'!E173="",'Inputs'!$D$6,"n.a.")))</x:f>
        <x:v>500</x:v>
      </x:c>
      <x:c r="F778" s="22" t="n">
        <x:f>IF(COUNT($N$777:$N$781)=5,SUM($N$777:$N$781),"n.a.")</x:f>
        <x:v>0</x:v>
      </x:c>
      <x:c r="G778" s="22" t="n">
        <x:f>IF(COUNT(E778:F778)=2,MAX(0,E778-F778),"n.a.")</x:f>
        <x:v>500</x:v>
      </x:c>
      <x:c r="H778" s="26" t="str">
        <x:f>'Inputs'!C12</x:f>
        <x:v>Card B</x:v>
      </x:c>
      <x:c r="I778" s="26" t="n">
        <x:f>S773</x:f>
        <x:v>0</x:v>
      </x:c>
      <x:c r="J778" s="29" t="n">
        <x:f>IF('Inputs'!$D$9="Ready",'Inputs'!E12,"n.a.")</x:f>
        <x:v>0.18</x:v>
      </x:c>
      <x:c r="K778" s="26" t="n">
        <x:f>IF('Inputs'!$D$9="Ready",'Inputs'!F12,"n.a.")</x:f>
        <x:v>60</x:v>
      </x:c>
      <x:c r="L778" s="29" t="n">
        <x:f>IF('Inputs'!$D$9="Ready",'Inputs'!G12,"n.a.")</x:f>
        <x:v>0.02</x:v>
      </x:c>
      <x:c r="M778" s="22" t="n">
        <x:f>IF(COUNT(I778:L778)=4,ROUND(I778*J778/12,2),"n.a.")</x:f>
        <x:v>0</x:v>
      </x:c>
      <x:c r="N778" s="22" t="n">
        <x:f>IF(COUNT(I778:M778)=5,MIN(I778+M778,ROUND(MAX(K778,I778*L778+M778),2)),"n.a.")</x:f>
        <x:v>0</x:v>
      </x:c>
      <x:c r="O778" s="30" t="n">
        <x:f>IF(COUNT($I$777:$I$781)&lt;&gt;5,"n.a.",IF(I778=0,6,IF('Inputs'!$D$5=1,COUNTIFS($I$777:$I$781,"&gt;0",$I$777:$I$781,"&lt;"&amp;I778)+COUNTIFS($I$777:I778,I778),COUNTIFS($I$777:$I$781,"&gt;0",$J$777:$J$781,"&gt;"&amp;J778)+COUNTIFS($I$777:I778,"&gt;0",$J$777:J778,J778))))</x:f>
        <x:v>6</x:v>
      </x:c>
      <x:c r="P778" s="22" t="n">
        <x:f>IF(T778="Ready",MIN(U778,MAX(0,G778-SUMIFS($U$777:$U$781,$O$777:$O$781,"&lt;"&amp;O778))),"n.a.")</x:f>
        <x:v>0</x:v>
      </x:c>
      <x:c r="Q778" s="22" t="n">
        <x:f>IF(T778="Ready",ROUND(N778+P778,2),"n.a.")</x:f>
        <x:v>0</x:v>
      </x:c>
      <x:c r="R778" s="22" t="n">
        <x:f>IF(T778="Ready",ROUND(Q778-M778,2),"n.a.")</x:f>
        <x:v>0</x:v>
      </x:c>
      <x:c r="S778" s="22" t="n">
        <x:f>IF(T778="Ready",MAX(0,ROUND(I778+M778-Q778,2)),"n.a.")</x:f>
        <x:v>0</x:v>
      </x:c>
      <x:c r="T778" s="22" t="str">
        <x:f>IF(AND(COUNT($I$777:$I$781)=5,COUNT(E778:F778)=2),IF(E778&gt;=F778,"Ready","Budget below minima"),"Check inputs")</x:f>
        <x:v>Ready</x:v>
      </x:c>
      <x:c r="U778" s="22" t="n">
        <x:f>IF(COUNT(I778,M778,N778)=3,MAX(0,ROUND(I778+M778-N778,2)),"n.a.")</x:f>
        <x:v>0</x:v>
      </x:c>
    </x:row>
    <x:row r="779" ht="22" customHeight="1">
      <x:c r="A779" s="2"/>
      <x:c r="B779" s="2"/>
      <x:c r="C779" s="27" t="n">
        <x:f>155</x:f>
        <x:v>155</x:v>
      </x:c>
      <x:c r="D779" s="28" t="n">
        <x:f>IF(ISNUMBER('Inputs'!$D$7),EDATE('Inputs'!$D$7,154),"n.a.")</x:f>
        <x:v>51014</x:v>
      </x:c>
      <x:c r="E779" s="26" t="n">
        <x:f>IF('Inputs'!$D$9&lt;&gt;"Ready","n.a.",IF(ISNUMBER('Inputs'!E173),IF('Inputs'!E173&gt;=0,'Inputs'!E173,"n.a."),IF('Inputs'!E173="",'Inputs'!$D$6,"n.a.")))</x:f>
        <x:v>500</x:v>
      </x:c>
      <x:c r="F779" s="22" t="n">
        <x:f>IF(COUNT($N$777:$N$781)=5,SUM($N$777:$N$781),"n.a.")</x:f>
        <x:v>0</x:v>
      </x:c>
      <x:c r="G779" s="22" t="n">
        <x:f>IF(COUNT(E779:F779)=2,MAX(0,E779-F779),"n.a.")</x:f>
        <x:v>500</x:v>
      </x:c>
      <x:c r="H779" s="26" t="str">
        <x:f>'Inputs'!C13</x:f>
        <x:v>Loan C</x:v>
      </x:c>
      <x:c r="I779" s="26" t="n">
        <x:f>S774</x:f>
        <x:v>0</x:v>
      </x:c>
      <x:c r="J779" s="29" t="n">
        <x:f>IF('Inputs'!$D$9="Ready",'Inputs'!E13,"n.a.")</x:f>
        <x:v>0.08</x:v>
      </x:c>
      <x:c r="K779" s="26" t="n">
        <x:f>IF('Inputs'!$D$9="Ready",'Inputs'!F13,"n.a.")</x:f>
        <x:v>150</x:v>
      </x:c>
      <x:c r="L779" s="29" t="n">
        <x:f>IF('Inputs'!$D$9="Ready",'Inputs'!G13,"n.a.")</x:f>
        <x:v>0</x:v>
      </x:c>
      <x:c r="M779" s="22" t="n">
        <x:f>IF(COUNT(I779:L779)=4,ROUND(I779*J779/12,2),"n.a.")</x:f>
        <x:v>0</x:v>
      </x:c>
      <x:c r="N779" s="22" t="n">
        <x:f>IF(COUNT(I779:M779)=5,MIN(I779+M779,ROUND(MAX(K779,I779*L779+M779),2)),"n.a.")</x:f>
        <x:v>0</x:v>
      </x:c>
      <x:c r="O779" s="30" t="n">
        <x:f>IF(COUNT($I$777:$I$781)&lt;&gt;5,"n.a.",IF(I779=0,6,IF('Inputs'!$D$5=1,COUNTIFS($I$777:$I$781,"&gt;0",$I$777:$I$781,"&lt;"&amp;I779)+COUNTIFS($I$777:I779,I779),COUNTIFS($I$777:$I$781,"&gt;0",$J$777:$J$781,"&gt;"&amp;J779)+COUNTIFS($I$777:I779,"&gt;0",$J$777:J779,J779))))</x:f>
        <x:v>6</x:v>
      </x:c>
      <x:c r="P779" s="22" t="n">
        <x:f>IF(T779="Ready",MIN(U779,MAX(0,G779-SUMIFS($U$777:$U$781,$O$777:$O$781,"&lt;"&amp;O779))),"n.a.")</x:f>
        <x:v>0</x:v>
      </x:c>
      <x:c r="Q779" s="22" t="n">
        <x:f>IF(T779="Ready",ROUND(N779+P779,2),"n.a.")</x:f>
        <x:v>0</x:v>
      </x:c>
      <x:c r="R779" s="22" t="n">
        <x:f>IF(T779="Ready",ROUND(Q779-M779,2),"n.a.")</x:f>
        <x:v>0</x:v>
      </x:c>
      <x:c r="S779" s="22" t="n">
        <x:f>IF(T779="Ready",MAX(0,ROUND(I779+M779-Q779,2)),"n.a.")</x:f>
        <x:v>0</x:v>
      </x:c>
      <x:c r="T779" s="22" t="str">
        <x:f>IF(AND(COUNT($I$777:$I$781)=5,COUNT(E779:F779)=2),IF(E779&gt;=F779,"Ready","Budget below minima"),"Check inputs")</x:f>
        <x:v>Ready</x:v>
      </x:c>
      <x:c r="U779" s="22" t="n">
        <x:f>IF(COUNT(I779,M779,N779)=3,MAX(0,ROUND(I779+M779-N779,2)),"n.a.")</x:f>
        <x:v>0</x:v>
      </x:c>
    </x:row>
    <x:row r="780" ht="22" customHeight="1">
      <x:c r="A780" s="2"/>
      <x:c r="B780" s="2"/>
      <x:c r="C780" s="27" t="n">
        <x:f>155</x:f>
        <x:v>155</x:v>
      </x:c>
      <x:c r="D780" s="28" t="n">
        <x:f>IF(ISNUMBER('Inputs'!$D$7),EDATE('Inputs'!$D$7,154),"n.a.")</x:f>
        <x:v>51014</x:v>
      </x:c>
      <x:c r="E780" s="26" t="n">
        <x:f>IF('Inputs'!$D$9&lt;&gt;"Ready","n.a.",IF(ISNUMBER('Inputs'!E173),IF('Inputs'!E173&gt;=0,'Inputs'!E173,"n.a."),IF('Inputs'!E173="",'Inputs'!$D$6,"n.a.")))</x:f>
        <x:v>500</x:v>
      </x:c>
      <x:c r="F780" s="22" t="n">
        <x:f>IF(COUNT($N$777:$N$781)=5,SUM($N$777:$N$781),"n.a.")</x:f>
        <x:v>0</x:v>
      </x:c>
      <x:c r="G780" s="22" t="n">
        <x:f>IF(COUNT(E780:F780)=2,MAX(0,E780-F780),"n.a.")</x:f>
        <x:v>500</x:v>
      </x:c>
      <x:c r="H780" s="26" t="str">
        <x:f>'Inputs'!C14</x:f>
        <x:v>Unused 4</x:v>
      </x:c>
      <x:c r="I780" s="26" t="n">
        <x:f>S775</x:f>
        <x:v>0</x:v>
      </x:c>
      <x:c r="J780" s="29" t="n">
        <x:f>IF('Inputs'!$D$9="Ready",'Inputs'!E14,"n.a.")</x:f>
        <x:v>0</x:v>
      </x:c>
      <x:c r="K780" s="26" t="n">
        <x:f>IF('Inputs'!$D$9="Ready",'Inputs'!F14,"n.a.")</x:f>
        <x:v>0</x:v>
      </x:c>
      <x:c r="L780" s="29" t="n">
        <x:f>IF('Inputs'!$D$9="Ready",'Inputs'!G14,"n.a.")</x:f>
        <x:v>0</x:v>
      </x:c>
      <x:c r="M780" s="22" t="n">
        <x:f>IF(COUNT(I780:L780)=4,ROUND(I780*J780/12,2),"n.a.")</x:f>
        <x:v>0</x:v>
      </x:c>
      <x:c r="N780" s="22" t="n">
        <x:f>IF(COUNT(I780:M780)=5,MIN(I780+M780,ROUND(MAX(K780,I780*L780+M780),2)),"n.a.")</x:f>
        <x:v>0</x:v>
      </x:c>
      <x:c r="O780" s="30" t="n">
        <x:f>IF(COUNT($I$777:$I$781)&lt;&gt;5,"n.a.",IF(I780=0,6,IF('Inputs'!$D$5=1,COUNTIFS($I$777:$I$781,"&gt;0",$I$777:$I$781,"&lt;"&amp;I780)+COUNTIFS($I$777:I780,I780),COUNTIFS($I$777:$I$781,"&gt;0",$J$777:$J$781,"&gt;"&amp;J780)+COUNTIFS($I$777:I780,"&gt;0",$J$777:J780,J780))))</x:f>
        <x:v>6</x:v>
      </x:c>
      <x:c r="P780" s="22" t="n">
        <x:f>IF(T780="Ready",MIN(U780,MAX(0,G780-SUMIFS($U$777:$U$781,$O$777:$O$781,"&lt;"&amp;O780))),"n.a.")</x:f>
        <x:v>0</x:v>
      </x:c>
      <x:c r="Q780" s="22" t="n">
        <x:f>IF(T780="Ready",ROUND(N780+P780,2),"n.a.")</x:f>
        <x:v>0</x:v>
      </x:c>
      <x:c r="R780" s="22" t="n">
        <x:f>IF(T780="Ready",ROUND(Q780-M780,2),"n.a.")</x:f>
        <x:v>0</x:v>
      </x:c>
      <x:c r="S780" s="22" t="n">
        <x:f>IF(T780="Ready",MAX(0,ROUND(I780+M780-Q780,2)),"n.a.")</x:f>
        <x:v>0</x:v>
      </x:c>
      <x:c r="T780" s="22" t="str">
        <x:f>IF(AND(COUNT($I$777:$I$781)=5,COUNT(E780:F780)=2),IF(E780&gt;=F780,"Ready","Budget below minima"),"Check inputs")</x:f>
        <x:v>Ready</x:v>
      </x:c>
      <x:c r="U780" s="22" t="n">
        <x:f>IF(COUNT(I780,M780,N780)=3,MAX(0,ROUND(I780+M780-N780,2)),"n.a.")</x:f>
        <x:v>0</x:v>
      </x:c>
    </x:row>
    <x:row r="781" ht="22" customHeight="1">
      <x:c r="A781" s="2"/>
      <x:c r="B781" s="2"/>
      <x:c r="C781" s="27" t="n">
        <x:f>155</x:f>
        <x:v>155</x:v>
      </x:c>
      <x:c r="D781" s="28" t="n">
        <x:f>IF(ISNUMBER('Inputs'!$D$7),EDATE('Inputs'!$D$7,154),"n.a.")</x:f>
        <x:v>51014</x:v>
      </x:c>
      <x:c r="E781" s="26" t="n">
        <x:f>IF('Inputs'!$D$9&lt;&gt;"Ready","n.a.",IF(ISNUMBER('Inputs'!E173),IF('Inputs'!E173&gt;=0,'Inputs'!E173,"n.a."),IF('Inputs'!E173="",'Inputs'!$D$6,"n.a.")))</x:f>
        <x:v>500</x:v>
      </x:c>
      <x:c r="F781" s="22" t="n">
        <x:f>IF(COUNT($N$777:$N$781)=5,SUM($N$777:$N$781),"n.a.")</x:f>
        <x:v>0</x:v>
      </x:c>
      <x:c r="G781" s="22" t="n">
        <x:f>IF(COUNT(E781:F781)=2,MAX(0,E781-F781),"n.a.")</x:f>
        <x:v>500</x:v>
      </x:c>
      <x:c r="H781" s="26" t="str">
        <x:f>'Inputs'!C15</x:f>
        <x:v>Unused 5</x:v>
      </x:c>
      <x:c r="I781" s="26" t="n">
        <x:f>S776</x:f>
        <x:v>0</x:v>
      </x:c>
      <x:c r="J781" s="29" t="n">
        <x:f>IF('Inputs'!$D$9="Ready",'Inputs'!E15,"n.a.")</x:f>
        <x:v>0</x:v>
      </x:c>
      <x:c r="K781" s="26" t="n">
        <x:f>IF('Inputs'!$D$9="Ready",'Inputs'!F15,"n.a.")</x:f>
        <x:v>0</x:v>
      </x:c>
      <x:c r="L781" s="29" t="n">
        <x:f>IF('Inputs'!$D$9="Ready",'Inputs'!G15,"n.a.")</x:f>
        <x:v>0</x:v>
      </x:c>
      <x:c r="M781" s="22" t="n">
        <x:f>IF(COUNT(I781:L781)=4,ROUND(I781*J781/12,2),"n.a.")</x:f>
        <x:v>0</x:v>
      </x:c>
      <x:c r="N781" s="22" t="n">
        <x:f>IF(COUNT(I781:M781)=5,MIN(I781+M781,ROUND(MAX(K781,I781*L781+M781),2)),"n.a.")</x:f>
        <x:v>0</x:v>
      </x:c>
      <x:c r="O781" s="30" t="n">
        <x:f>IF(COUNT($I$777:$I$781)&lt;&gt;5,"n.a.",IF(I781=0,6,IF('Inputs'!$D$5=1,COUNTIFS($I$777:$I$781,"&gt;0",$I$777:$I$781,"&lt;"&amp;I781)+COUNTIFS($I$777:I781,I781),COUNTIFS($I$777:$I$781,"&gt;0",$J$777:$J$781,"&gt;"&amp;J781)+COUNTIFS($I$777:I781,"&gt;0",$J$777:J781,J781))))</x:f>
        <x:v>6</x:v>
      </x:c>
      <x:c r="P781" s="22" t="n">
        <x:f>IF(T781="Ready",MIN(U781,MAX(0,G781-SUMIFS($U$777:$U$781,$O$777:$O$781,"&lt;"&amp;O781))),"n.a.")</x:f>
        <x:v>0</x:v>
      </x:c>
      <x:c r="Q781" s="22" t="n">
        <x:f>IF(T781="Ready",ROUND(N781+P781,2),"n.a.")</x:f>
        <x:v>0</x:v>
      </x:c>
      <x:c r="R781" s="22" t="n">
        <x:f>IF(T781="Ready",ROUND(Q781-M781,2),"n.a.")</x:f>
        <x:v>0</x:v>
      </x:c>
      <x:c r="S781" s="22" t="n">
        <x:f>IF(T781="Ready",MAX(0,ROUND(I781+M781-Q781,2)),"n.a.")</x:f>
        <x:v>0</x:v>
      </x:c>
      <x:c r="T781" s="22" t="str">
        <x:f>IF(AND(COUNT($I$777:$I$781)=5,COUNT(E781:F781)=2),IF(E781&gt;=F781,"Ready","Budget below minima"),"Check inputs")</x:f>
        <x:v>Ready</x:v>
      </x:c>
      <x:c r="U781" s="22" t="n">
        <x:f>IF(COUNT(I781,M781,N781)=3,MAX(0,ROUND(I781+M781-N781,2)),"n.a.")</x:f>
        <x:v>0</x:v>
      </x:c>
    </x:row>
    <x:row r="782" ht="22" customHeight="1">
      <x:c r="A782" s="2"/>
      <x:c r="B782" s="2"/>
      <x:c r="C782" s="27" t="n">
        <x:f>156</x:f>
        <x:v>156</x:v>
      </x:c>
      <x:c r="D782" s="28" t="n">
        <x:f>IF(ISNUMBER('Inputs'!$D$7),EDATE('Inputs'!$D$7,155),"n.a.")</x:f>
        <x:v>51044</x:v>
      </x:c>
      <x:c r="E782" s="26" t="n">
        <x:f>IF('Inputs'!$D$9&lt;&gt;"Ready","n.a.",IF(ISNUMBER('Inputs'!E174),IF('Inputs'!E174&gt;=0,'Inputs'!E174,"n.a."),IF('Inputs'!E174="",'Inputs'!$D$6,"n.a.")))</x:f>
        <x:v>500</x:v>
      </x:c>
      <x:c r="F782" s="22" t="n">
        <x:f>IF(COUNT($N$782:$N$786)=5,SUM($N$782:$N$786),"n.a.")</x:f>
        <x:v>0</x:v>
      </x:c>
      <x:c r="G782" s="22" t="n">
        <x:f>IF(COUNT(E782:F782)=2,MAX(0,E782-F782),"n.a.")</x:f>
        <x:v>500</x:v>
      </x:c>
      <x:c r="H782" s="26" t="str">
        <x:f>'Inputs'!C11</x:f>
        <x:v>Card A</x:v>
      </x:c>
      <x:c r="I782" s="26" t="n">
        <x:f>S777</x:f>
        <x:v>0</x:v>
      </x:c>
      <x:c r="J782" s="29" t="n">
        <x:f>IF('Inputs'!$D$9="Ready",'Inputs'!E11,"n.a.")</x:f>
        <x:v>0.24</x:v>
      </x:c>
      <x:c r="K782" s="26" t="n">
        <x:f>IF('Inputs'!$D$9="Ready",'Inputs'!F11,"n.a.")</x:f>
        <x:v>35</x:v>
      </x:c>
      <x:c r="L782" s="29" t="n">
        <x:f>IF('Inputs'!$D$9="Ready",'Inputs'!G11,"n.a.")</x:f>
        <x:v>0.02</x:v>
      </x:c>
      <x:c r="M782" s="22" t="n">
        <x:f>IF(COUNT(I782:L782)=4,ROUND(I782*J782/12,2),"n.a.")</x:f>
        <x:v>0</x:v>
      </x:c>
      <x:c r="N782" s="22" t="n">
        <x:f>IF(COUNT(I782:M782)=5,MIN(I782+M782,ROUND(MAX(K782,I782*L782+M782),2)),"n.a.")</x:f>
        <x:v>0</x:v>
      </x:c>
      <x:c r="O782" s="30" t="n">
        <x:f>IF(COUNT($I$782:$I$786)&lt;&gt;5,"n.a.",IF(I782=0,6,IF('Inputs'!$D$5=1,COUNTIFS($I$782:$I$786,"&gt;0",$I$782:$I$786,"&lt;"&amp;I782)+COUNTIFS($I$782:I782,I782),COUNTIFS($I$782:$I$786,"&gt;0",$J$782:$J$786,"&gt;"&amp;J782)+COUNTIFS($I$782:I782,"&gt;0",$J$782:J782,J782))))</x:f>
        <x:v>6</x:v>
      </x:c>
      <x:c r="P782" s="22" t="n">
        <x:f>IF(T782="Ready",MIN(U782,MAX(0,G782-SUMIFS($U$782:$U$786,$O$782:$O$786,"&lt;"&amp;O782))),"n.a.")</x:f>
        <x:v>0</x:v>
      </x:c>
      <x:c r="Q782" s="22" t="n">
        <x:f>IF(T782="Ready",ROUND(N782+P782,2),"n.a.")</x:f>
        <x:v>0</x:v>
      </x:c>
      <x:c r="R782" s="22" t="n">
        <x:f>IF(T782="Ready",ROUND(Q782-M782,2),"n.a.")</x:f>
        <x:v>0</x:v>
      </x:c>
      <x:c r="S782" s="22" t="n">
        <x:f>IF(T782="Ready",MAX(0,ROUND(I782+M782-Q782,2)),"n.a.")</x:f>
        <x:v>0</x:v>
      </x:c>
      <x:c r="T782" s="22" t="str">
        <x:f>IF(AND(COUNT($I$782:$I$786)=5,COUNT(E782:F782)=2),IF(E782&gt;=F782,"Ready","Budget below minima"),"Check inputs")</x:f>
        <x:v>Ready</x:v>
      </x:c>
      <x:c r="U782" s="22" t="n">
        <x:f>IF(COUNT(I782,M782,N782)=3,MAX(0,ROUND(I782+M782-N782,2)),"n.a.")</x:f>
        <x:v>0</x:v>
      </x:c>
    </x:row>
    <x:row r="783" ht="22" customHeight="1">
      <x:c r="A783" s="2"/>
      <x:c r="B783" s="2"/>
      <x:c r="C783" s="27" t="n">
        <x:f>156</x:f>
        <x:v>156</x:v>
      </x:c>
      <x:c r="D783" s="28" t="n">
        <x:f>IF(ISNUMBER('Inputs'!$D$7),EDATE('Inputs'!$D$7,155),"n.a.")</x:f>
        <x:v>51044</x:v>
      </x:c>
      <x:c r="E783" s="26" t="n">
        <x:f>IF('Inputs'!$D$9&lt;&gt;"Ready","n.a.",IF(ISNUMBER('Inputs'!E174),IF('Inputs'!E174&gt;=0,'Inputs'!E174,"n.a."),IF('Inputs'!E174="",'Inputs'!$D$6,"n.a.")))</x:f>
        <x:v>500</x:v>
      </x:c>
      <x:c r="F783" s="22" t="n">
        <x:f>IF(COUNT($N$782:$N$786)=5,SUM($N$782:$N$786),"n.a.")</x:f>
        <x:v>0</x:v>
      </x:c>
      <x:c r="G783" s="22" t="n">
        <x:f>IF(COUNT(E783:F783)=2,MAX(0,E783-F783),"n.a.")</x:f>
        <x:v>500</x:v>
      </x:c>
      <x:c r="H783" s="26" t="str">
        <x:f>'Inputs'!C12</x:f>
        <x:v>Card B</x:v>
      </x:c>
      <x:c r="I783" s="26" t="n">
        <x:f>S778</x:f>
        <x:v>0</x:v>
      </x:c>
      <x:c r="J783" s="29" t="n">
        <x:f>IF('Inputs'!$D$9="Ready",'Inputs'!E12,"n.a.")</x:f>
        <x:v>0.18</x:v>
      </x:c>
      <x:c r="K783" s="26" t="n">
        <x:f>IF('Inputs'!$D$9="Ready",'Inputs'!F12,"n.a.")</x:f>
        <x:v>60</x:v>
      </x:c>
      <x:c r="L783" s="29" t="n">
        <x:f>IF('Inputs'!$D$9="Ready",'Inputs'!G12,"n.a.")</x:f>
        <x:v>0.02</x:v>
      </x:c>
      <x:c r="M783" s="22" t="n">
        <x:f>IF(COUNT(I783:L783)=4,ROUND(I783*J783/12,2),"n.a.")</x:f>
        <x:v>0</x:v>
      </x:c>
      <x:c r="N783" s="22" t="n">
        <x:f>IF(COUNT(I783:M783)=5,MIN(I783+M783,ROUND(MAX(K783,I783*L783+M783),2)),"n.a.")</x:f>
        <x:v>0</x:v>
      </x:c>
      <x:c r="O783" s="30" t="n">
        <x:f>IF(COUNT($I$782:$I$786)&lt;&gt;5,"n.a.",IF(I783=0,6,IF('Inputs'!$D$5=1,COUNTIFS($I$782:$I$786,"&gt;0",$I$782:$I$786,"&lt;"&amp;I783)+COUNTIFS($I$782:I783,I783),COUNTIFS($I$782:$I$786,"&gt;0",$J$782:$J$786,"&gt;"&amp;J783)+COUNTIFS($I$782:I783,"&gt;0",$J$782:J783,J783))))</x:f>
        <x:v>6</x:v>
      </x:c>
      <x:c r="P783" s="22" t="n">
        <x:f>IF(T783="Ready",MIN(U783,MAX(0,G783-SUMIFS($U$782:$U$786,$O$782:$O$786,"&lt;"&amp;O783))),"n.a.")</x:f>
        <x:v>0</x:v>
      </x:c>
      <x:c r="Q783" s="22" t="n">
        <x:f>IF(T783="Ready",ROUND(N783+P783,2),"n.a.")</x:f>
        <x:v>0</x:v>
      </x:c>
      <x:c r="R783" s="22" t="n">
        <x:f>IF(T783="Ready",ROUND(Q783-M783,2),"n.a.")</x:f>
        <x:v>0</x:v>
      </x:c>
      <x:c r="S783" s="22" t="n">
        <x:f>IF(T783="Ready",MAX(0,ROUND(I783+M783-Q783,2)),"n.a.")</x:f>
        <x:v>0</x:v>
      </x:c>
      <x:c r="T783" s="22" t="str">
        <x:f>IF(AND(COUNT($I$782:$I$786)=5,COUNT(E783:F783)=2),IF(E783&gt;=F783,"Ready","Budget below minima"),"Check inputs")</x:f>
        <x:v>Ready</x:v>
      </x:c>
      <x:c r="U783" s="22" t="n">
        <x:f>IF(COUNT(I783,M783,N783)=3,MAX(0,ROUND(I783+M783-N783,2)),"n.a.")</x:f>
        <x:v>0</x:v>
      </x:c>
    </x:row>
    <x:row r="784" ht="22" customHeight="1">
      <x:c r="A784" s="2"/>
      <x:c r="B784" s="2"/>
      <x:c r="C784" s="27" t="n">
        <x:f>156</x:f>
        <x:v>156</x:v>
      </x:c>
      <x:c r="D784" s="28" t="n">
        <x:f>IF(ISNUMBER('Inputs'!$D$7),EDATE('Inputs'!$D$7,155),"n.a.")</x:f>
        <x:v>51044</x:v>
      </x:c>
      <x:c r="E784" s="26" t="n">
        <x:f>IF('Inputs'!$D$9&lt;&gt;"Ready","n.a.",IF(ISNUMBER('Inputs'!E174),IF('Inputs'!E174&gt;=0,'Inputs'!E174,"n.a."),IF('Inputs'!E174="",'Inputs'!$D$6,"n.a.")))</x:f>
        <x:v>500</x:v>
      </x:c>
      <x:c r="F784" s="22" t="n">
        <x:f>IF(COUNT($N$782:$N$786)=5,SUM($N$782:$N$786),"n.a.")</x:f>
        <x:v>0</x:v>
      </x:c>
      <x:c r="G784" s="22" t="n">
        <x:f>IF(COUNT(E784:F784)=2,MAX(0,E784-F784),"n.a.")</x:f>
        <x:v>500</x:v>
      </x:c>
      <x:c r="H784" s="26" t="str">
        <x:f>'Inputs'!C13</x:f>
        <x:v>Loan C</x:v>
      </x:c>
      <x:c r="I784" s="26" t="n">
        <x:f>S779</x:f>
        <x:v>0</x:v>
      </x:c>
      <x:c r="J784" s="29" t="n">
        <x:f>IF('Inputs'!$D$9="Ready",'Inputs'!E13,"n.a.")</x:f>
        <x:v>0.08</x:v>
      </x:c>
      <x:c r="K784" s="26" t="n">
        <x:f>IF('Inputs'!$D$9="Ready",'Inputs'!F13,"n.a.")</x:f>
        <x:v>150</x:v>
      </x:c>
      <x:c r="L784" s="29" t="n">
        <x:f>IF('Inputs'!$D$9="Ready",'Inputs'!G13,"n.a.")</x:f>
        <x:v>0</x:v>
      </x:c>
      <x:c r="M784" s="22" t="n">
        <x:f>IF(COUNT(I784:L784)=4,ROUND(I784*J784/12,2),"n.a.")</x:f>
        <x:v>0</x:v>
      </x:c>
      <x:c r="N784" s="22" t="n">
        <x:f>IF(COUNT(I784:M784)=5,MIN(I784+M784,ROUND(MAX(K784,I784*L784+M784),2)),"n.a.")</x:f>
        <x:v>0</x:v>
      </x:c>
      <x:c r="O784" s="30" t="n">
        <x:f>IF(COUNT($I$782:$I$786)&lt;&gt;5,"n.a.",IF(I784=0,6,IF('Inputs'!$D$5=1,COUNTIFS($I$782:$I$786,"&gt;0",$I$782:$I$786,"&lt;"&amp;I784)+COUNTIFS($I$782:I784,I784),COUNTIFS($I$782:$I$786,"&gt;0",$J$782:$J$786,"&gt;"&amp;J784)+COUNTIFS($I$782:I784,"&gt;0",$J$782:J784,J784))))</x:f>
        <x:v>6</x:v>
      </x:c>
      <x:c r="P784" s="22" t="n">
        <x:f>IF(T784="Ready",MIN(U784,MAX(0,G784-SUMIFS($U$782:$U$786,$O$782:$O$786,"&lt;"&amp;O784))),"n.a.")</x:f>
        <x:v>0</x:v>
      </x:c>
      <x:c r="Q784" s="22" t="n">
        <x:f>IF(T784="Ready",ROUND(N784+P784,2),"n.a.")</x:f>
        <x:v>0</x:v>
      </x:c>
      <x:c r="R784" s="22" t="n">
        <x:f>IF(T784="Ready",ROUND(Q784-M784,2),"n.a.")</x:f>
        <x:v>0</x:v>
      </x:c>
      <x:c r="S784" s="22" t="n">
        <x:f>IF(T784="Ready",MAX(0,ROUND(I784+M784-Q784,2)),"n.a.")</x:f>
        <x:v>0</x:v>
      </x:c>
      <x:c r="T784" s="22" t="str">
        <x:f>IF(AND(COUNT($I$782:$I$786)=5,COUNT(E784:F784)=2),IF(E784&gt;=F784,"Ready","Budget below minima"),"Check inputs")</x:f>
        <x:v>Ready</x:v>
      </x:c>
      <x:c r="U784" s="22" t="n">
        <x:f>IF(COUNT(I784,M784,N784)=3,MAX(0,ROUND(I784+M784-N784,2)),"n.a.")</x:f>
        <x:v>0</x:v>
      </x:c>
    </x:row>
    <x:row r="785" ht="22" customHeight="1">
      <x:c r="A785" s="2"/>
      <x:c r="B785" s="2"/>
      <x:c r="C785" s="27" t="n">
        <x:f>156</x:f>
        <x:v>156</x:v>
      </x:c>
      <x:c r="D785" s="28" t="n">
        <x:f>IF(ISNUMBER('Inputs'!$D$7),EDATE('Inputs'!$D$7,155),"n.a.")</x:f>
        <x:v>51044</x:v>
      </x:c>
      <x:c r="E785" s="26" t="n">
        <x:f>IF('Inputs'!$D$9&lt;&gt;"Ready","n.a.",IF(ISNUMBER('Inputs'!E174),IF('Inputs'!E174&gt;=0,'Inputs'!E174,"n.a."),IF('Inputs'!E174="",'Inputs'!$D$6,"n.a.")))</x:f>
        <x:v>500</x:v>
      </x:c>
      <x:c r="F785" s="22" t="n">
        <x:f>IF(COUNT($N$782:$N$786)=5,SUM($N$782:$N$786),"n.a.")</x:f>
        <x:v>0</x:v>
      </x:c>
      <x:c r="G785" s="22" t="n">
        <x:f>IF(COUNT(E785:F785)=2,MAX(0,E785-F785),"n.a.")</x:f>
        <x:v>500</x:v>
      </x:c>
      <x:c r="H785" s="26" t="str">
        <x:f>'Inputs'!C14</x:f>
        <x:v>Unused 4</x:v>
      </x:c>
      <x:c r="I785" s="26" t="n">
        <x:f>S780</x:f>
        <x:v>0</x:v>
      </x:c>
      <x:c r="J785" s="29" t="n">
        <x:f>IF('Inputs'!$D$9="Ready",'Inputs'!E14,"n.a.")</x:f>
        <x:v>0</x:v>
      </x:c>
      <x:c r="K785" s="26" t="n">
        <x:f>IF('Inputs'!$D$9="Ready",'Inputs'!F14,"n.a.")</x:f>
        <x:v>0</x:v>
      </x:c>
      <x:c r="L785" s="29" t="n">
        <x:f>IF('Inputs'!$D$9="Ready",'Inputs'!G14,"n.a.")</x:f>
        <x:v>0</x:v>
      </x:c>
      <x:c r="M785" s="22" t="n">
        <x:f>IF(COUNT(I785:L785)=4,ROUND(I785*J785/12,2),"n.a.")</x:f>
        <x:v>0</x:v>
      </x:c>
      <x:c r="N785" s="22" t="n">
        <x:f>IF(COUNT(I785:M785)=5,MIN(I785+M785,ROUND(MAX(K785,I785*L785+M785),2)),"n.a.")</x:f>
        <x:v>0</x:v>
      </x:c>
      <x:c r="O785" s="30" t="n">
        <x:f>IF(COUNT($I$782:$I$786)&lt;&gt;5,"n.a.",IF(I785=0,6,IF('Inputs'!$D$5=1,COUNTIFS($I$782:$I$786,"&gt;0",$I$782:$I$786,"&lt;"&amp;I785)+COUNTIFS($I$782:I785,I785),COUNTIFS($I$782:$I$786,"&gt;0",$J$782:$J$786,"&gt;"&amp;J785)+COUNTIFS($I$782:I785,"&gt;0",$J$782:J785,J785))))</x:f>
        <x:v>6</x:v>
      </x:c>
      <x:c r="P785" s="22" t="n">
        <x:f>IF(T785="Ready",MIN(U785,MAX(0,G785-SUMIFS($U$782:$U$786,$O$782:$O$786,"&lt;"&amp;O785))),"n.a.")</x:f>
        <x:v>0</x:v>
      </x:c>
      <x:c r="Q785" s="22" t="n">
        <x:f>IF(T785="Ready",ROUND(N785+P785,2),"n.a.")</x:f>
        <x:v>0</x:v>
      </x:c>
      <x:c r="R785" s="22" t="n">
        <x:f>IF(T785="Ready",ROUND(Q785-M785,2),"n.a.")</x:f>
        <x:v>0</x:v>
      </x:c>
      <x:c r="S785" s="22" t="n">
        <x:f>IF(T785="Ready",MAX(0,ROUND(I785+M785-Q785,2)),"n.a.")</x:f>
        <x:v>0</x:v>
      </x:c>
      <x:c r="T785" s="22" t="str">
        <x:f>IF(AND(COUNT($I$782:$I$786)=5,COUNT(E785:F785)=2),IF(E785&gt;=F785,"Ready","Budget below minima"),"Check inputs")</x:f>
        <x:v>Ready</x:v>
      </x:c>
      <x:c r="U785" s="22" t="n">
        <x:f>IF(COUNT(I785,M785,N785)=3,MAX(0,ROUND(I785+M785-N785,2)),"n.a.")</x:f>
        <x:v>0</x:v>
      </x:c>
    </x:row>
    <x:row r="786" ht="22" customHeight="1">
      <x:c r="A786" s="2"/>
      <x:c r="B786" s="2"/>
      <x:c r="C786" s="27" t="n">
        <x:f>156</x:f>
        <x:v>156</x:v>
      </x:c>
      <x:c r="D786" s="28" t="n">
        <x:f>IF(ISNUMBER('Inputs'!$D$7),EDATE('Inputs'!$D$7,155),"n.a.")</x:f>
        <x:v>51044</x:v>
      </x:c>
      <x:c r="E786" s="26" t="n">
        <x:f>IF('Inputs'!$D$9&lt;&gt;"Ready","n.a.",IF(ISNUMBER('Inputs'!E174),IF('Inputs'!E174&gt;=0,'Inputs'!E174,"n.a."),IF('Inputs'!E174="",'Inputs'!$D$6,"n.a.")))</x:f>
        <x:v>500</x:v>
      </x:c>
      <x:c r="F786" s="22" t="n">
        <x:f>IF(COUNT($N$782:$N$786)=5,SUM($N$782:$N$786),"n.a.")</x:f>
        <x:v>0</x:v>
      </x:c>
      <x:c r="G786" s="22" t="n">
        <x:f>IF(COUNT(E786:F786)=2,MAX(0,E786-F786),"n.a.")</x:f>
        <x:v>500</x:v>
      </x:c>
      <x:c r="H786" s="26" t="str">
        <x:f>'Inputs'!C15</x:f>
        <x:v>Unused 5</x:v>
      </x:c>
      <x:c r="I786" s="26" t="n">
        <x:f>S781</x:f>
        <x:v>0</x:v>
      </x:c>
      <x:c r="J786" s="29" t="n">
        <x:f>IF('Inputs'!$D$9="Ready",'Inputs'!E15,"n.a.")</x:f>
        <x:v>0</x:v>
      </x:c>
      <x:c r="K786" s="26" t="n">
        <x:f>IF('Inputs'!$D$9="Ready",'Inputs'!F15,"n.a.")</x:f>
        <x:v>0</x:v>
      </x:c>
      <x:c r="L786" s="29" t="n">
        <x:f>IF('Inputs'!$D$9="Ready",'Inputs'!G15,"n.a.")</x:f>
        <x:v>0</x:v>
      </x:c>
      <x:c r="M786" s="22" t="n">
        <x:f>IF(COUNT(I786:L786)=4,ROUND(I786*J786/12,2),"n.a.")</x:f>
        <x:v>0</x:v>
      </x:c>
      <x:c r="N786" s="22" t="n">
        <x:f>IF(COUNT(I786:M786)=5,MIN(I786+M786,ROUND(MAX(K786,I786*L786+M786),2)),"n.a.")</x:f>
        <x:v>0</x:v>
      </x:c>
      <x:c r="O786" s="30" t="n">
        <x:f>IF(COUNT($I$782:$I$786)&lt;&gt;5,"n.a.",IF(I786=0,6,IF('Inputs'!$D$5=1,COUNTIFS($I$782:$I$786,"&gt;0",$I$782:$I$786,"&lt;"&amp;I786)+COUNTIFS($I$782:I786,I786),COUNTIFS($I$782:$I$786,"&gt;0",$J$782:$J$786,"&gt;"&amp;J786)+COUNTIFS($I$782:I786,"&gt;0",$J$782:J786,J786))))</x:f>
        <x:v>6</x:v>
      </x:c>
      <x:c r="P786" s="22" t="n">
        <x:f>IF(T786="Ready",MIN(U786,MAX(0,G786-SUMIFS($U$782:$U$786,$O$782:$O$786,"&lt;"&amp;O786))),"n.a.")</x:f>
        <x:v>0</x:v>
      </x:c>
      <x:c r="Q786" s="22" t="n">
        <x:f>IF(T786="Ready",ROUND(N786+P786,2),"n.a.")</x:f>
        <x:v>0</x:v>
      </x:c>
      <x:c r="R786" s="22" t="n">
        <x:f>IF(T786="Ready",ROUND(Q786-M786,2),"n.a.")</x:f>
        <x:v>0</x:v>
      </x:c>
      <x:c r="S786" s="22" t="n">
        <x:f>IF(T786="Ready",MAX(0,ROUND(I786+M786-Q786,2)),"n.a.")</x:f>
        <x:v>0</x:v>
      </x:c>
      <x:c r="T786" s="22" t="str">
        <x:f>IF(AND(COUNT($I$782:$I$786)=5,COUNT(E786:F786)=2),IF(E786&gt;=F786,"Ready","Budget below minima"),"Check inputs")</x:f>
        <x:v>Ready</x:v>
      </x:c>
      <x:c r="U786" s="22" t="n">
        <x:f>IF(COUNT(I786,M786,N786)=3,MAX(0,ROUND(I786+M786-N786,2)),"n.a.")</x:f>
        <x:v>0</x:v>
      </x:c>
    </x:row>
    <x:row r="787" ht="22" customHeight="1">
      <x:c r="A787" s="2"/>
      <x:c r="B787" s="2"/>
      <x:c r="C787" s="27" t="n">
        <x:f>157</x:f>
        <x:v>157</x:v>
      </x:c>
      <x:c r="D787" s="28" t="n">
        <x:f>IF(ISNUMBER('Inputs'!$D$7),EDATE('Inputs'!$D$7,156),"n.a.")</x:f>
        <x:v>51075</x:v>
      </x:c>
      <x:c r="E787" s="26" t="n">
        <x:f>IF('Inputs'!$D$9&lt;&gt;"Ready","n.a.",IF(ISNUMBER('Inputs'!E175),IF('Inputs'!E175&gt;=0,'Inputs'!E175,"n.a."),IF('Inputs'!E175="",'Inputs'!$D$6,"n.a.")))</x:f>
        <x:v>500</x:v>
      </x:c>
      <x:c r="F787" s="22" t="n">
        <x:f>IF(COUNT($N$787:$N$791)=5,SUM($N$787:$N$791),"n.a.")</x:f>
        <x:v>0</x:v>
      </x:c>
      <x:c r="G787" s="22" t="n">
        <x:f>IF(COUNT(E787:F787)=2,MAX(0,E787-F787),"n.a.")</x:f>
        <x:v>500</x:v>
      </x:c>
      <x:c r="H787" s="26" t="str">
        <x:f>'Inputs'!C11</x:f>
        <x:v>Card A</x:v>
      </x:c>
      <x:c r="I787" s="26" t="n">
        <x:f>S782</x:f>
        <x:v>0</x:v>
      </x:c>
      <x:c r="J787" s="29" t="n">
        <x:f>IF('Inputs'!$D$9="Ready",'Inputs'!E11,"n.a.")</x:f>
        <x:v>0.24</x:v>
      </x:c>
      <x:c r="K787" s="26" t="n">
        <x:f>IF('Inputs'!$D$9="Ready",'Inputs'!F11,"n.a.")</x:f>
        <x:v>35</x:v>
      </x:c>
      <x:c r="L787" s="29" t="n">
        <x:f>IF('Inputs'!$D$9="Ready",'Inputs'!G11,"n.a.")</x:f>
        <x:v>0.02</x:v>
      </x:c>
      <x:c r="M787" s="22" t="n">
        <x:f>IF(COUNT(I787:L787)=4,ROUND(I787*J787/12,2),"n.a.")</x:f>
        <x:v>0</x:v>
      </x:c>
      <x:c r="N787" s="22" t="n">
        <x:f>IF(COUNT(I787:M787)=5,MIN(I787+M787,ROUND(MAX(K787,I787*L787+M787),2)),"n.a.")</x:f>
        <x:v>0</x:v>
      </x:c>
      <x:c r="O787" s="30" t="n">
        <x:f>IF(COUNT($I$787:$I$791)&lt;&gt;5,"n.a.",IF(I787=0,6,IF('Inputs'!$D$5=1,COUNTIFS($I$787:$I$791,"&gt;0",$I$787:$I$791,"&lt;"&amp;I787)+COUNTIFS($I$787:I787,I787),COUNTIFS($I$787:$I$791,"&gt;0",$J$787:$J$791,"&gt;"&amp;J787)+COUNTIFS($I$787:I787,"&gt;0",$J$787:J787,J787))))</x:f>
        <x:v>6</x:v>
      </x:c>
      <x:c r="P787" s="22" t="n">
        <x:f>IF(T787="Ready",MIN(U787,MAX(0,G787-SUMIFS($U$787:$U$791,$O$787:$O$791,"&lt;"&amp;O787))),"n.a.")</x:f>
        <x:v>0</x:v>
      </x:c>
      <x:c r="Q787" s="22" t="n">
        <x:f>IF(T787="Ready",ROUND(N787+P787,2),"n.a.")</x:f>
        <x:v>0</x:v>
      </x:c>
      <x:c r="R787" s="22" t="n">
        <x:f>IF(T787="Ready",ROUND(Q787-M787,2),"n.a.")</x:f>
        <x:v>0</x:v>
      </x:c>
      <x:c r="S787" s="22" t="n">
        <x:f>IF(T787="Ready",MAX(0,ROUND(I787+M787-Q787,2)),"n.a.")</x:f>
        <x:v>0</x:v>
      </x:c>
      <x:c r="T787" s="22" t="str">
        <x:f>IF(AND(COUNT($I$787:$I$791)=5,COUNT(E787:F787)=2),IF(E787&gt;=F787,"Ready","Budget below minima"),"Check inputs")</x:f>
        <x:v>Ready</x:v>
      </x:c>
      <x:c r="U787" s="22" t="n">
        <x:f>IF(COUNT(I787,M787,N787)=3,MAX(0,ROUND(I787+M787-N787,2)),"n.a.")</x:f>
        <x:v>0</x:v>
      </x:c>
    </x:row>
    <x:row r="788" ht="22" customHeight="1">
      <x:c r="A788" s="2"/>
      <x:c r="B788" s="2"/>
      <x:c r="C788" s="27" t="n">
        <x:f>157</x:f>
        <x:v>157</x:v>
      </x:c>
      <x:c r="D788" s="28" t="n">
        <x:f>IF(ISNUMBER('Inputs'!$D$7),EDATE('Inputs'!$D$7,156),"n.a.")</x:f>
        <x:v>51075</x:v>
      </x:c>
      <x:c r="E788" s="26" t="n">
        <x:f>IF('Inputs'!$D$9&lt;&gt;"Ready","n.a.",IF(ISNUMBER('Inputs'!E175),IF('Inputs'!E175&gt;=0,'Inputs'!E175,"n.a."),IF('Inputs'!E175="",'Inputs'!$D$6,"n.a.")))</x:f>
        <x:v>500</x:v>
      </x:c>
      <x:c r="F788" s="22" t="n">
        <x:f>IF(COUNT($N$787:$N$791)=5,SUM($N$787:$N$791),"n.a.")</x:f>
        <x:v>0</x:v>
      </x:c>
      <x:c r="G788" s="22" t="n">
        <x:f>IF(COUNT(E788:F788)=2,MAX(0,E788-F788),"n.a.")</x:f>
        <x:v>500</x:v>
      </x:c>
      <x:c r="H788" s="26" t="str">
        <x:f>'Inputs'!C12</x:f>
        <x:v>Card B</x:v>
      </x:c>
      <x:c r="I788" s="26" t="n">
        <x:f>S783</x:f>
        <x:v>0</x:v>
      </x:c>
      <x:c r="J788" s="29" t="n">
        <x:f>IF('Inputs'!$D$9="Ready",'Inputs'!E12,"n.a.")</x:f>
        <x:v>0.18</x:v>
      </x:c>
      <x:c r="K788" s="26" t="n">
        <x:f>IF('Inputs'!$D$9="Ready",'Inputs'!F12,"n.a.")</x:f>
        <x:v>60</x:v>
      </x:c>
      <x:c r="L788" s="29" t="n">
        <x:f>IF('Inputs'!$D$9="Ready",'Inputs'!G12,"n.a.")</x:f>
        <x:v>0.02</x:v>
      </x:c>
      <x:c r="M788" s="22" t="n">
        <x:f>IF(COUNT(I788:L788)=4,ROUND(I788*J788/12,2),"n.a.")</x:f>
        <x:v>0</x:v>
      </x:c>
      <x:c r="N788" s="22" t="n">
        <x:f>IF(COUNT(I788:M788)=5,MIN(I788+M788,ROUND(MAX(K788,I788*L788+M788),2)),"n.a.")</x:f>
        <x:v>0</x:v>
      </x:c>
      <x:c r="O788" s="30" t="n">
        <x:f>IF(COUNT($I$787:$I$791)&lt;&gt;5,"n.a.",IF(I788=0,6,IF('Inputs'!$D$5=1,COUNTIFS($I$787:$I$791,"&gt;0",$I$787:$I$791,"&lt;"&amp;I788)+COUNTIFS($I$787:I788,I788),COUNTIFS($I$787:$I$791,"&gt;0",$J$787:$J$791,"&gt;"&amp;J788)+COUNTIFS($I$787:I788,"&gt;0",$J$787:J788,J788))))</x:f>
        <x:v>6</x:v>
      </x:c>
      <x:c r="P788" s="22" t="n">
        <x:f>IF(T788="Ready",MIN(U788,MAX(0,G788-SUMIFS($U$787:$U$791,$O$787:$O$791,"&lt;"&amp;O788))),"n.a.")</x:f>
        <x:v>0</x:v>
      </x:c>
      <x:c r="Q788" s="22" t="n">
        <x:f>IF(T788="Ready",ROUND(N788+P788,2),"n.a.")</x:f>
        <x:v>0</x:v>
      </x:c>
      <x:c r="R788" s="22" t="n">
        <x:f>IF(T788="Ready",ROUND(Q788-M788,2),"n.a.")</x:f>
        <x:v>0</x:v>
      </x:c>
      <x:c r="S788" s="22" t="n">
        <x:f>IF(T788="Ready",MAX(0,ROUND(I788+M788-Q788,2)),"n.a.")</x:f>
        <x:v>0</x:v>
      </x:c>
      <x:c r="T788" s="22" t="str">
        <x:f>IF(AND(COUNT($I$787:$I$791)=5,COUNT(E788:F788)=2),IF(E788&gt;=F788,"Ready","Budget below minima"),"Check inputs")</x:f>
        <x:v>Ready</x:v>
      </x:c>
      <x:c r="U788" s="22" t="n">
        <x:f>IF(COUNT(I788,M788,N788)=3,MAX(0,ROUND(I788+M788-N788,2)),"n.a.")</x:f>
        <x:v>0</x:v>
      </x:c>
    </x:row>
    <x:row r="789" ht="22" customHeight="1">
      <x:c r="A789" s="2"/>
      <x:c r="B789" s="2"/>
      <x:c r="C789" s="27" t="n">
        <x:f>157</x:f>
        <x:v>157</x:v>
      </x:c>
      <x:c r="D789" s="28" t="n">
        <x:f>IF(ISNUMBER('Inputs'!$D$7),EDATE('Inputs'!$D$7,156),"n.a.")</x:f>
        <x:v>51075</x:v>
      </x:c>
      <x:c r="E789" s="26" t="n">
        <x:f>IF('Inputs'!$D$9&lt;&gt;"Ready","n.a.",IF(ISNUMBER('Inputs'!E175),IF('Inputs'!E175&gt;=0,'Inputs'!E175,"n.a."),IF('Inputs'!E175="",'Inputs'!$D$6,"n.a.")))</x:f>
        <x:v>500</x:v>
      </x:c>
      <x:c r="F789" s="22" t="n">
        <x:f>IF(COUNT($N$787:$N$791)=5,SUM($N$787:$N$791),"n.a.")</x:f>
        <x:v>0</x:v>
      </x:c>
      <x:c r="G789" s="22" t="n">
        <x:f>IF(COUNT(E789:F789)=2,MAX(0,E789-F789),"n.a.")</x:f>
        <x:v>500</x:v>
      </x:c>
      <x:c r="H789" s="26" t="str">
        <x:f>'Inputs'!C13</x:f>
        <x:v>Loan C</x:v>
      </x:c>
      <x:c r="I789" s="26" t="n">
        <x:f>S784</x:f>
        <x:v>0</x:v>
      </x:c>
      <x:c r="J789" s="29" t="n">
        <x:f>IF('Inputs'!$D$9="Ready",'Inputs'!E13,"n.a.")</x:f>
        <x:v>0.08</x:v>
      </x:c>
      <x:c r="K789" s="26" t="n">
        <x:f>IF('Inputs'!$D$9="Ready",'Inputs'!F13,"n.a.")</x:f>
        <x:v>150</x:v>
      </x:c>
      <x:c r="L789" s="29" t="n">
        <x:f>IF('Inputs'!$D$9="Ready",'Inputs'!G13,"n.a.")</x:f>
        <x:v>0</x:v>
      </x:c>
      <x:c r="M789" s="22" t="n">
        <x:f>IF(COUNT(I789:L789)=4,ROUND(I789*J789/12,2),"n.a.")</x:f>
        <x:v>0</x:v>
      </x:c>
      <x:c r="N789" s="22" t="n">
        <x:f>IF(COUNT(I789:M789)=5,MIN(I789+M789,ROUND(MAX(K789,I789*L789+M789),2)),"n.a.")</x:f>
        <x:v>0</x:v>
      </x:c>
      <x:c r="O789" s="30" t="n">
        <x:f>IF(COUNT($I$787:$I$791)&lt;&gt;5,"n.a.",IF(I789=0,6,IF('Inputs'!$D$5=1,COUNTIFS($I$787:$I$791,"&gt;0",$I$787:$I$791,"&lt;"&amp;I789)+COUNTIFS($I$787:I789,I789),COUNTIFS($I$787:$I$791,"&gt;0",$J$787:$J$791,"&gt;"&amp;J789)+COUNTIFS($I$787:I789,"&gt;0",$J$787:J789,J789))))</x:f>
        <x:v>6</x:v>
      </x:c>
      <x:c r="P789" s="22" t="n">
        <x:f>IF(T789="Ready",MIN(U789,MAX(0,G789-SUMIFS($U$787:$U$791,$O$787:$O$791,"&lt;"&amp;O789))),"n.a.")</x:f>
        <x:v>0</x:v>
      </x:c>
      <x:c r="Q789" s="22" t="n">
        <x:f>IF(T789="Ready",ROUND(N789+P789,2),"n.a.")</x:f>
        <x:v>0</x:v>
      </x:c>
      <x:c r="R789" s="22" t="n">
        <x:f>IF(T789="Ready",ROUND(Q789-M789,2),"n.a.")</x:f>
        <x:v>0</x:v>
      </x:c>
      <x:c r="S789" s="22" t="n">
        <x:f>IF(T789="Ready",MAX(0,ROUND(I789+M789-Q789,2)),"n.a.")</x:f>
        <x:v>0</x:v>
      </x:c>
      <x:c r="T789" s="22" t="str">
        <x:f>IF(AND(COUNT($I$787:$I$791)=5,COUNT(E789:F789)=2),IF(E789&gt;=F789,"Ready","Budget below minima"),"Check inputs")</x:f>
        <x:v>Ready</x:v>
      </x:c>
      <x:c r="U789" s="22" t="n">
        <x:f>IF(COUNT(I789,M789,N789)=3,MAX(0,ROUND(I789+M789-N789,2)),"n.a.")</x:f>
        <x:v>0</x:v>
      </x:c>
    </x:row>
    <x:row r="790" ht="22" customHeight="1">
      <x:c r="A790" s="2"/>
      <x:c r="B790" s="2"/>
      <x:c r="C790" s="27" t="n">
        <x:f>157</x:f>
        <x:v>157</x:v>
      </x:c>
      <x:c r="D790" s="28" t="n">
        <x:f>IF(ISNUMBER('Inputs'!$D$7),EDATE('Inputs'!$D$7,156),"n.a.")</x:f>
        <x:v>51075</x:v>
      </x:c>
      <x:c r="E790" s="26" t="n">
        <x:f>IF('Inputs'!$D$9&lt;&gt;"Ready","n.a.",IF(ISNUMBER('Inputs'!E175),IF('Inputs'!E175&gt;=0,'Inputs'!E175,"n.a."),IF('Inputs'!E175="",'Inputs'!$D$6,"n.a.")))</x:f>
        <x:v>500</x:v>
      </x:c>
      <x:c r="F790" s="22" t="n">
        <x:f>IF(COUNT($N$787:$N$791)=5,SUM($N$787:$N$791),"n.a.")</x:f>
        <x:v>0</x:v>
      </x:c>
      <x:c r="G790" s="22" t="n">
        <x:f>IF(COUNT(E790:F790)=2,MAX(0,E790-F790),"n.a.")</x:f>
        <x:v>500</x:v>
      </x:c>
      <x:c r="H790" s="26" t="str">
        <x:f>'Inputs'!C14</x:f>
        <x:v>Unused 4</x:v>
      </x:c>
      <x:c r="I790" s="26" t="n">
        <x:f>S785</x:f>
        <x:v>0</x:v>
      </x:c>
      <x:c r="J790" s="29" t="n">
        <x:f>IF('Inputs'!$D$9="Ready",'Inputs'!E14,"n.a.")</x:f>
        <x:v>0</x:v>
      </x:c>
      <x:c r="K790" s="26" t="n">
        <x:f>IF('Inputs'!$D$9="Ready",'Inputs'!F14,"n.a.")</x:f>
        <x:v>0</x:v>
      </x:c>
      <x:c r="L790" s="29" t="n">
        <x:f>IF('Inputs'!$D$9="Ready",'Inputs'!G14,"n.a.")</x:f>
        <x:v>0</x:v>
      </x:c>
      <x:c r="M790" s="22" t="n">
        <x:f>IF(COUNT(I790:L790)=4,ROUND(I790*J790/12,2),"n.a.")</x:f>
        <x:v>0</x:v>
      </x:c>
      <x:c r="N790" s="22" t="n">
        <x:f>IF(COUNT(I790:M790)=5,MIN(I790+M790,ROUND(MAX(K790,I790*L790+M790),2)),"n.a.")</x:f>
        <x:v>0</x:v>
      </x:c>
      <x:c r="O790" s="30" t="n">
        <x:f>IF(COUNT($I$787:$I$791)&lt;&gt;5,"n.a.",IF(I790=0,6,IF('Inputs'!$D$5=1,COUNTIFS($I$787:$I$791,"&gt;0",$I$787:$I$791,"&lt;"&amp;I790)+COUNTIFS($I$787:I790,I790),COUNTIFS($I$787:$I$791,"&gt;0",$J$787:$J$791,"&gt;"&amp;J790)+COUNTIFS($I$787:I790,"&gt;0",$J$787:J790,J790))))</x:f>
        <x:v>6</x:v>
      </x:c>
      <x:c r="P790" s="22" t="n">
        <x:f>IF(T790="Ready",MIN(U790,MAX(0,G790-SUMIFS($U$787:$U$791,$O$787:$O$791,"&lt;"&amp;O790))),"n.a.")</x:f>
        <x:v>0</x:v>
      </x:c>
      <x:c r="Q790" s="22" t="n">
        <x:f>IF(T790="Ready",ROUND(N790+P790,2),"n.a.")</x:f>
        <x:v>0</x:v>
      </x:c>
      <x:c r="R790" s="22" t="n">
        <x:f>IF(T790="Ready",ROUND(Q790-M790,2),"n.a.")</x:f>
        <x:v>0</x:v>
      </x:c>
      <x:c r="S790" s="22" t="n">
        <x:f>IF(T790="Ready",MAX(0,ROUND(I790+M790-Q790,2)),"n.a.")</x:f>
        <x:v>0</x:v>
      </x:c>
      <x:c r="T790" s="22" t="str">
        <x:f>IF(AND(COUNT($I$787:$I$791)=5,COUNT(E790:F790)=2),IF(E790&gt;=F790,"Ready","Budget below minima"),"Check inputs")</x:f>
        <x:v>Ready</x:v>
      </x:c>
      <x:c r="U790" s="22" t="n">
        <x:f>IF(COUNT(I790,M790,N790)=3,MAX(0,ROUND(I790+M790-N790,2)),"n.a.")</x:f>
        <x:v>0</x:v>
      </x:c>
    </x:row>
    <x:row r="791" ht="22" customHeight="1">
      <x:c r="A791" s="2"/>
      <x:c r="B791" s="2"/>
      <x:c r="C791" s="27" t="n">
        <x:f>157</x:f>
        <x:v>157</x:v>
      </x:c>
      <x:c r="D791" s="28" t="n">
        <x:f>IF(ISNUMBER('Inputs'!$D$7),EDATE('Inputs'!$D$7,156),"n.a.")</x:f>
        <x:v>51075</x:v>
      </x:c>
      <x:c r="E791" s="26" t="n">
        <x:f>IF('Inputs'!$D$9&lt;&gt;"Ready","n.a.",IF(ISNUMBER('Inputs'!E175),IF('Inputs'!E175&gt;=0,'Inputs'!E175,"n.a."),IF('Inputs'!E175="",'Inputs'!$D$6,"n.a.")))</x:f>
        <x:v>500</x:v>
      </x:c>
      <x:c r="F791" s="22" t="n">
        <x:f>IF(COUNT($N$787:$N$791)=5,SUM($N$787:$N$791),"n.a.")</x:f>
        <x:v>0</x:v>
      </x:c>
      <x:c r="G791" s="22" t="n">
        <x:f>IF(COUNT(E791:F791)=2,MAX(0,E791-F791),"n.a.")</x:f>
        <x:v>500</x:v>
      </x:c>
      <x:c r="H791" s="26" t="str">
        <x:f>'Inputs'!C15</x:f>
        <x:v>Unused 5</x:v>
      </x:c>
      <x:c r="I791" s="26" t="n">
        <x:f>S786</x:f>
        <x:v>0</x:v>
      </x:c>
      <x:c r="J791" s="29" t="n">
        <x:f>IF('Inputs'!$D$9="Ready",'Inputs'!E15,"n.a.")</x:f>
        <x:v>0</x:v>
      </x:c>
      <x:c r="K791" s="26" t="n">
        <x:f>IF('Inputs'!$D$9="Ready",'Inputs'!F15,"n.a.")</x:f>
        <x:v>0</x:v>
      </x:c>
      <x:c r="L791" s="29" t="n">
        <x:f>IF('Inputs'!$D$9="Ready",'Inputs'!G15,"n.a.")</x:f>
        <x:v>0</x:v>
      </x:c>
      <x:c r="M791" s="22" t="n">
        <x:f>IF(COUNT(I791:L791)=4,ROUND(I791*J791/12,2),"n.a.")</x:f>
        <x:v>0</x:v>
      </x:c>
      <x:c r="N791" s="22" t="n">
        <x:f>IF(COUNT(I791:M791)=5,MIN(I791+M791,ROUND(MAX(K791,I791*L791+M791),2)),"n.a.")</x:f>
        <x:v>0</x:v>
      </x:c>
      <x:c r="O791" s="30" t="n">
        <x:f>IF(COUNT($I$787:$I$791)&lt;&gt;5,"n.a.",IF(I791=0,6,IF('Inputs'!$D$5=1,COUNTIFS($I$787:$I$791,"&gt;0",$I$787:$I$791,"&lt;"&amp;I791)+COUNTIFS($I$787:I791,I791),COUNTIFS($I$787:$I$791,"&gt;0",$J$787:$J$791,"&gt;"&amp;J791)+COUNTIFS($I$787:I791,"&gt;0",$J$787:J791,J791))))</x:f>
        <x:v>6</x:v>
      </x:c>
      <x:c r="P791" s="22" t="n">
        <x:f>IF(T791="Ready",MIN(U791,MAX(0,G791-SUMIFS($U$787:$U$791,$O$787:$O$791,"&lt;"&amp;O791))),"n.a.")</x:f>
        <x:v>0</x:v>
      </x:c>
      <x:c r="Q791" s="22" t="n">
        <x:f>IF(T791="Ready",ROUND(N791+P791,2),"n.a.")</x:f>
        <x:v>0</x:v>
      </x:c>
      <x:c r="R791" s="22" t="n">
        <x:f>IF(T791="Ready",ROUND(Q791-M791,2),"n.a.")</x:f>
        <x:v>0</x:v>
      </x:c>
      <x:c r="S791" s="22" t="n">
        <x:f>IF(T791="Ready",MAX(0,ROUND(I791+M791-Q791,2)),"n.a.")</x:f>
        <x:v>0</x:v>
      </x:c>
      <x:c r="T791" s="22" t="str">
        <x:f>IF(AND(COUNT($I$787:$I$791)=5,COUNT(E791:F791)=2),IF(E791&gt;=F791,"Ready","Budget below minima"),"Check inputs")</x:f>
        <x:v>Ready</x:v>
      </x:c>
      <x:c r="U791" s="22" t="n">
        <x:f>IF(COUNT(I791,M791,N791)=3,MAX(0,ROUND(I791+M791-N791,2)),"n.a.")</x:f>
        <x:v>0</x:v>
      </x:c>
    </x:row>
    <x:row r="792" ht="22" customHeight="1">
      <x:c r="A792" s="2"/>
      <x:c r="B792" s="2"/>
      <x:c r="C792" s="27" t="n">
        <x:f>158</x:f>
        <x:v>158</x:v>
      </x:c>
      <x:c r="D792" s="28" t="n">
        <x:f>IF(ISNUMBER('Inputs'!$D$7),EDATE('Inputs'!$D$7,157),"n.a.")</x:f>
        <x:v>51105</x:v>
      </x:c>
      <x:c r="E792" s="26" t="n">
        <x:f>IF('Inputs'!$D$9&lt;&gt;"Ready","n.a.",IF(ISNUMBER('Inputs'!E176),IF('Inputs'!E176&gt;=0,'Inputs'!E176,"n.a."),IF('Inputs'!E176="",'Inputs'!$D$6,"n.a.")))</x:f>
        <x:v>500</x:v>
      </x:c>
      <x:c r="F792" s="22" t="n">
        <x:f>IF(COUNT($N$792:$N$796)=5,SUM($N$792:$N$796),"n.a.")</x:f>
        <x:v>0</x:v>
      </x:c>
      <x:c r="G792" s="22" t="n">
        <x:f>IF(COUNT(E792:F792)=2,MAX(0,E792-F792),"n.a.")</x:f>
        <x:v>500</x:v>
      </x:c>
      <x:c r="H792" s="26" t="str">
        <x:f>'Inputs'!C11</x:f>
        <x:v>Card A</x:v>
      </x:c>
      <x:c r="I792" s="26" t="n">
        <x:f>S787</x:f>
        <x:v>0</x:v>
      </x:c>
      <x:c r="J792" s="29" t="n">
        <x:f>IF('Inputs'!$D$9="Ready",'Inputs'!E11,"n.a.")</x:f>
        <x:v>0.24</x:v>
      </x:c>
      <x:c r="K792" s="26" t="n">
        <x:f>IF('Inputs'!$D$9="Ready",'Inputs'!F11,"n.a.")</x:f>
        <x:v>35</x:v>
      </x:c>
      <x:c r="L792" s="29" t="n">
        <x:f>IF('Inputs'!$D$9="Ready",'Inputs'!G11,"n.a.")</x:f>
        <x:v>0.02</x:v>
      </x:c>
      <x:c r="M792" s="22" t="n">
        <x:f>IF(COUNT(I792:L792)=4,ROUND(I792*J792/12,2),"n.a.")</x:f>
        <x:v>0</x:v>
      </x:c>
      <x:c r="N792" s="22" t="n">
        <x:f>IF(COUNT(I792:M792)=5,MIN(I792+M792,ROUND(MAX(K792,I792*L792+M792),2)),"n.a.")</x:f>
        <x:v>0</x:v>
      </x:c>
      <x:c r="O792" s="30" t="n">
        <x:f>IF(COUNT($I$792:$I$796)&lt;&gt;5,"n.a.",IF(I792=0,6,IF('Inputs'!$D$5=1,COUNTIFS($I$792:$I$796,"&gt;0",$I$792:$I$796,"&lt;"&amp;I792)+COUNTIFS($I$792:I792,I792),COUNTIFS($I$792:$I$796,"&gt;0",$J$792:$J$796,"&gt;"&amp;J792)+COUNTIFS($I$792:I792,"&gt;0",$J$792:J792,J792))))</x:f>
        <x:v>6</x:v>
      </x:c>
      <x:c r="P792" s="22" t="n">
        <x:f>IF(T792="Ready",MIN(U792,MAX(0,G792-SUMIFS($U$792:$U$796,$O$792:$O$796,"&lt;"&amp;O792))),"n.a.")</x:f>
        <x:v>0</x:v>
      </x:c>
      <x:c r="Q792" s="22" t="n">
        <x:f>IF(T792="Ready",ROUND(N792+P792,2),"n.a.")</x:f>
        <x:v>0</x:v>
      </x:c>
      <x:c r="R792" s="22" t="n">
        <x:f>IF(T792="Ready",ROUND(Q792-M792,2),"n.a.")</x:f>
        <x:v>0</x:v>
      </x:c>
      <x:c r="S792" s="22" t="n">
        <x:f>IF(T792="Ready",MAX(0,ROUND(I792+M792-Q792,2)),"n.a.")</x:f>
        <x:v>0</x:v>
      </x:c>
      <x:c r="T792" s="22" t="str">
        <x:f>IF(AND(COUNT($I$792:$I$796)=5,COUNT(E792:F792)=2),IF(E792&gt;=F792,"Ready","Budget below minima"),"Check inputs")</x:f>
        <x:v>Ready</x:v>
      </x:c>
      <x:c r="U792" s="22" t="n">
        <x:f>IF(COUNT(I792,M792,N792)=3,MAX(0,ROUND(I792+M792-N792,2)),"n.a.")</x:f>
        <x:v>0</x:v>
      </x:c>
    </x:row>
    <x:row r="793" ht="22" customHeight="1">
      <x:c r="A793" s="2"/>
      <x:c r="B793" s="2"/>
      <x:c r="C793" s="27" t="n">
        <x:f>158</x:f>
        <x:v>158</x:v>
      </x:c>
      <x:c r="D793" s="28" t="n">
        <x:f>IF(ISNUMBER('Inputs'!$D$7),EDATE('Inputs'!$D$7,157),"n.a.")</x:f>
        <x:v>51105</x:v>
      </x:c>
      <x:c r="E793" s="26" t="n">
        <x:f>IF('Inputs'!$D$9&lt;&gt;"Ready","n.a.",IF(ISNUMBER('Inputs'!E176),IF('Inputs'!E176&gt;=0,'Inputs'!E176,"n.a."),IF('Inputs'!E176="",'Inputs'!$D$6,"n.a.")))</x:f>
        <x:v>500</x:v>
      </x:c>
      <x:c r="F793" s="22" t="n">
        <x:f>IF(COUNT($N$792:$N$796)=5,SUM($N$792:$N$796),"n.a.")</x:f>
        <x:v>0</x:v>
      </x:c>
      <x:c r="G793" s="22" t="n">
        <x:f>IF(COUNT(E793:F793)=2,MAX(0,E793-F793),"n.a.")</x:f>
        <x:v>500</x:v>
      </x:c>
      <x:c r="H793" s="26" t="str">
        <x:f>'Inputs'!C12</x:f>
        <x:v>Card B</x:v>
      </x:c>
      <x:c r="I793" s="26" t="n">
        <x:f>S788</x:f>
        <x:v>0</x:v>
      </x:c>
      <x:c r="J793" s="29" t="n">
        <x:f>IF('Inputs'!$D$9="Ready",'Inputs'!E12,"n.a.")</x:f>
        <x:v>0.18</x:v>
      </x:c>
      <x:c r="K793" s="26" t="n">
        <x:f>IF('Inputs'!$D$9="Ready",'Inputs'!F12,"n.a.")</x:f>
        <x:v>60</x:v>
      </x:c>
      <x:c r="L793" s="29" t="n">
        <x:f>IF('Inputs'!$D$9="Ready",'Inputs'!G12,"n.a.")</x:f>
        <x:v>0.02</x:v>
      </x:c>
      <x:c r="M793" s="22" t="n">
        <x:f>IF(COUNT(I793:L793)=4,ROUND(I793*J793/12,2),"n.a.")</x:f>
        <x:v>0</x:v>
      </x:c>
      <x:c r="N793" s="22" t="n">
        <x:f>IF(COUNT(I793:M793)=5,MIN(I793+M793,ROUND(MAX(K793,I793*L793+M793),2)),"n.a.")</x:f>
        <x:v>0</x:v>
      </x:c>
      <x:c r="O793" s="30" t="n">
        <x:f>IF(COUNT($I$792:$I$796)&lt;&gt;5,"n.a.",IF(I793=0,6,IF('Inputs'!$D$5=1,COUNTIFS($I$792:$I$796,"&gt;0",$I$792:$I$796,"&lt;"&amp;I793)+COUNTIFS($I$792:I793,I793),COUNTIFS($I$792:$I$796,"&gt;0",$J$792:$J$796,"&gt;"&amp;J793)+COUNTIFS($I$792:I793,"&gt;0",$J$792:J793,J793))))</x:f>
        <x:v>6</x:v>
      </x:c>
      <x:c r="P793" s="22" t="n">
        <x:f>IF(T793="Ready",MIN(U793,MAX(0,G793-SUMIFS($U$792:$U$796,$O$792:$O$796,"&lt;"&amp;O793))),"n.a.")</x:f>
        <x:v>0</x:v>
      </x:c>
      <x:c r="Q793" s="22" t="n">
        <x:f>IF(T793="Ready",ROUND(N793+P793,2),"n.a.")</x:f>
        <x:v>0</x:v>
      </x:c>
      <x:c r="R793" s="22" t="n">
        <x:f>IF(T793="Ready",ROUND(Q793-M793,2),"n.a.")</x:f>
        <x:v>0</x:v>
      </x:c>
      <x:c r="S793" s="22" t="n">
        <x:f>IF(T793="Ready",MAX(0,ROUND(I793+M793-Q793,2)),"n.a.")</x:f>
        <x:v>0</x:v>
      </x:c>
      <x:c r="T793" s="22" t="str">
        <x:f>IF(AND(COUNT($I$792:$I$796)=5,COUNT(E793:F793)=2),IF(E793&gt;=F793,"Ready","Budget below minima"),"Check inputs")</x:f>
        <x:v>Ready</x:v>
      </x:c>
      <x:c r="U793" s="22" t="n">
        <x:f>IF(COUNT(I793,M793,N793)=3,MAX(0,ROUND(I793+M793-N793,2)),"n.a.")</x:f>
        <x:v>0</x:v>
      </x:c>
    </x:row>
    <x:row r="794" ht="22" customHeight="1">
      <x:c r="A794" s="2"/>
      <x:c r="B794" s="2"/>
      <x:c r="C794" s="27" t="n">
        <x:f>158</x:f>
        <x:v>158</x:v>
      </x:c>
      <x:c r="D794" s="28" t="n">
        <x:f>IF(ISNUMBER('Inputs'!$D$7),EDATE('Inputs'!$D$7,157),"n.a.")</x:f>
        <x:v>51105</x:v>
      </x:c>
      <x:c r="E794" s="26" t="n">
        <x:f>IF('Inputs'!$D$9&lt;&gt;"Ready","n.a.",IF(ISNUMBER('Inputs'!E176),IF('Inputs'!E176&gt;=0,'Inputs'!E176,"n.a."),IF('Inputs'!E176="",'Inputs'!$D$6,"n.a.")))</x:f>
        <x:v>500</x:v>
      </x:c>
      <x:c r="F794" s="22" t="n">
        <x:f>IF(COUNT($N$792:$N$796)=5,SUM($N$792:$N$796),"n.a.")</x:f>
        <x:v>0</x:v>
      </x:c>
      <x:c r="G794" s="22" t="n">
        <x:f>IF(COUNT(E794:F794)=2,MAX(0,E794-F794),"n.a.")</x:f>
        <x:v>500</x:v>
      </x:c>
      <x:c r="H794" s="26" t="str">
        <x:f>'Inputs'!C13</x:f>
        <x:v>Loan C</x:v>
      </x:c>
      <x:c r="I794" s="26" t="n">
        <x:f>S789</x:f>
        <x:v>0</x:v>
      </x:c>
      <x:c r="J794" s="29" t="n">
        <x:f>IF('Inputs'!$D$9="Ready",'Inputs'!E13,"n.a.")</x:f>
        <x:v>0.08</x:v>
      </x:c>
      <x:c r="K794" s="26" t="n">
        <x:f>IF('Inputs'!$D$9="Ready",'Inputs'!F13,"n.a.")</x:f>
        <x:v>150</x:v>
      </x:c>
      <x:c r="L794" s="29" t="n">
        <x:f>IF('Inputs'!$D$9="Ready",'Inputs'!G13,"n.a.")</x:f>
        <x:v>0</x:v>
      </x:c>
      <x:c r="M794" s="22" t="n">
        <x:f>IF(COUNT(I794:L794)=4,ROUND(I794*J794/12,2),"n.a.")</x:f>
        <x:v>0</x:v>
      </x:c>
      <x:c r="N794" s="22" t="n">
        <x:f>IF(COUNT(I794:M794)=5,MIN(I794+M794,ROUND(MAX(K794,I794*L794+M794),2)),"n.a.")</x:f>
        <x:v>0</x:v>
      </x:c>
      <x:c r="O794" s="30" t="n">
        <x:f>IF(COUNT($I$792:$I$796)&lt;&gt;5,"n.a.",IF(I794=0,6,IF('Inputs'!$D$5=1,COUNTIFS($I$792:$I$796,"&gt;0",$I$792:$I$796,"&lt;"&amp;I794)+COUNTIFS($I$792:I794,I794),COUNTIFS($I$792:$I$796,"&gt;0",$J$792:$J$796,"&gt;"&amp;J794)+COUNTIFS($I$792:I794,"&gt;0",$J$792:J794,J794))))</x:f>
        <x:v>6</x:v>
      </x:c>
      <x:c r="P794" s="22" t="n">
        <x:f>IF(T794="Ready",MIN(U794,MAX(0,G794-SUMIFS($U$792:$U$796,$O$792:$O$796,"&lt;"&amp;O794))),"n.a.")</x:f>
        <x:v>0</x:v>
      </x:c>
      <x:c r="Q794" s="22" t="n">
        <x:f>IF(T794="Ready",ROUND(N794+P794,2),"n.a.")</x:f>
        <x:v>0</x:v>
      </x:c>
      <x:c r="R794" s="22" t="n">
        <x:f>IF(T794="Ready",ROUND(Q794-M794,2),"n.a.")</x:f>
        <x:v>0</x:v>
      </x:c>
      <x:c r="S794" s="22" t="n">
        <x:f>IF(T794="Ready",MAX(0,ROUND(I794+M794-Q794,2)),"n.a.")</x:f>
        <x:v>0</x:v>
      </x:c>
      <x:c r="T794" s="22" t="str">
        <x:f>IF(AND(COUNT($I$792:$I$796)=5,COUNT(E794:F794)=2),IF(E794&gt;=F794,"Ready","Budget below minima"),"Check inputs")</x:f>
        <x:v>Ready</x:v>
      </x:c>
      <x:c r="U794" s="22" t="n">
        <x:f>IF(COUNT(I794,M794,N794)=3,MAX(0,ROUND(I794+M794-N794,2)),"n.a.")</x:f>
        <x:v>0</x:v>
      </x:c>
    </x:row>
    <x:row r="795" ht="22" customHeight="1">
      <x:c r="A795" s="2"/>
      <x:c r="B795" s="2"/>
      <x:c r="C795" s="27" t="n">
        <x:f>158</x:f>
        <x:v>158</x:v>
      </x:c>
      <x:c r="D795" s="28" t="n">
        <x:f>IF(ISNUMBER('Inputs'!$D$7),EDATE('Inputs'!$D$7,157),"n.a.")</x:f>
        <x:v>51105</x:v>
      </x:c>
      <x:c r="E795" s="26" t="n">
        <x:f>IF('Inputs'!$D$9&lt;&gt;"Ready","n.a.",IF(ISNUMBER('Inputs'!E176),IF('Inputs'!E176&gt;=0,'Inputs'!E176,"n.a."),IF('Inputs'!E176="",'Inputs'!$D$6,"n.a.")))</x:f>
        <x:v>500</x:v>
      </x:c>
      <x:c r="F795" s="22" t="n">
        <x:f>IF(COUNT($N$792:$N$796)=5,SUM($N$792:$N$796),"n.a.")</x:f>
        <x:v>0</x:v>
      </x:c>
      <x:c r="G795" s="22" t="n">
        <x:f>IF(COUNT(E795:F795)=2,MAX(0,E795-F795),"n.a.")</x:f>
        <x:v>500</x:v>
      </x:c>
      <x:c r="H795" s="26" t="str">
        <x:f>'Inputs'!C14</x:f>
        <x:v>Unused 4</x:v>
      </x:c>
      <x:c r="I795" s="26" t="n">
        <x:f>S790</x:f>
        <x:v>0</x:v>
      </x:c>
      <x:c r="J795" s="29" t="n">
        <x:f>IF('Inputs'!$D$9="Ready",'Inputs'!E14,"n.a.")</x:f>
        <x:v>0</x:v>
      </x:c>
      <x:c r="K795" s="26" t="n">
        <x:f>IF('Inputs'!$D$9="Ready",'Inputs'!F14,"n.a.")</x:f>
        <x:v>0</x:v>
      </x:c>
      <x:c r="L795" s="29" t="n">
        <x:f>IF('Inputs'!$D$9="Ready",'Inputs'!G14,"n.a.")</x:f>
        <x:v>0</x:v>
      </x:c>
      <x:c r="M795" s="22" t="n">
        <x:f>IF(COUNT(I795:L795)=4,ROUND(I795*J795/12,2),"n.a.")</x:f>
        <x:v>0</x:v>
      </x:c>
      <x:c r="N795" s="22" t="n">
        <x:f>IF(COUNT(I795:M795)=5,MIN(I795+M795,ROUND(MAX(K795,I795*L795+M795),2)),"n.a.")</x:f>
        <x:v>0</x:v>
      </x:c>
      <x:c r="O795" s="30" t="n">
        <x:f>IF(COUNT($I$792:$I$796)&lt;&gt;5,"n.a.",IF(I795=0,6,IF('Inputs'!$D$5=1,COUNTIFS($I$792:$I$796,"&gt;0",$I$792:$I$796,"&lt;"&amp;I795)+COUNTIFS($I$792:I795,I795),COUNTIFS($I$792:$I$796,"&gt;0",$J$792:$J$796,"&gt;"&amp;J795)+COUNTIFS($I$792:I795,"&gt;0",$J$792:J795,J795))))</x:f>
        <x:v>6</x:v>
      </x:c>
      <x:c r="P795" s="22" t="n">
        <x:f>IF(T795="Ready",MIN(U795,MAX(0,G795-SUMIFS($U$792:$U$796,$O$792:$O$796,"&lt;"&amp;O795))),"n.a.")</x:f>
        <x:v>0</x:v>
      </x:c>
      <x:c r="Q795" s="22" t="n">
        <x:f>IF(T795="Ready",ROUND(N795+P795,2),"n.a.")</x:f>
        <x:v>0</x:v>
      </x:c>
      <x:c r="R795" s="22" t="n">
        <x:f>IF(T795="Ready",ROUND(Q795-M795,2),"n.a.")</x:f>
        <x:v>0</x:v>
      </x:c>
      <x:c r="S795" s="22" t="n">
        <x:f>IF(T795="Ready",MAX(0,ROUND(I795+M795-Q795,2)),"n.a.")</x:f>
        <x:v>0</x:v>
      </x:c>
      <x:c r="T795" s="22" t="str">
        <x:f>IF(AND(COUNT($I$792:$I$796)=5,COUNT(E795:F795)=2),IF(E795&gt;=F795,"Ready","Budget below minima"),"Check inputs")</x:f>
        <x:v>Ready</x:v>
      </x:c>
      <x:c r="U795" s="22" t="n">
        <x:f>IF(COUNT(I795,M795,N795)=3,MAX(0,ROUND(I795+M795-N795,2)),"n.a.")</x:f>
        <x:v>0</x:v>
      </x:c>
    </x:row>
    <x:row r="796" ht="22" customHeight="1">
      <x:c r="A796" s="2"/>
      <x:c r="B796" s="2"/>
      <x:c r="C796" s="27" t="n">
        <x:f>158</x:f>
        <x:v>158</x:v>
      </x:c>
      <x:c r="D796" s="28" t="n">
        <x:f>IF(ISNUMBER('Inputs'!$D$7),EDATE('Inputs'!$D$7,157),"n.a.")</x:f>
        <x:v>51105</x:v>
      </x:c>
      <x:c r="E796" s="26" t="n">
        <x:f>IF('Inputs'!$D$9&lt;&gt;"Ready","n.a.",IF(ISNUMBER('Inputs'!E176),IF('Inputs'!E176&gt;=0,'Inputs'!E176,"n.a."),IF('Inputs'!E176="",'Inputs'!$D$6,"n.a.")))</x:f>
        <x:v>500</x:v>
      </x:c>
      <x:c r="F796" s="22" t="n">
        <x:f>IF(COUNT($N$792:$N$796)=5,SUM($N$792:$N$796),"n.a.")</x:f>
        <x:v>0</x:v>
      </x:c>
      <x:c r="G796" s="22" t="n">
        <x:f>IF(COUNT(E796:F796)=2,MAX(0,E796-F796),"n.a.")</x:f>
        <x:v>500</x:v>
      </x:c>
      <x:c r="H796" s="26" t="str">
        <x:f>'Inputs'!C15</x:f>
        <x:v>Unused 5</x:v>
      </x:c>
      <x:c r="I796" s="26" t="n">
        <x:f>S791</x:f>
        <x:v>0</x:v>
      </x:c>
      <x:c r="J796" s="29" t="n">
        <x:f>IF('Inputs'!$D$9="Ready",'Inputs'!E15,"n.a.")</x:f>
        <x:v>0</x:v>
      </x:c>
      <x:c r="K796" s="26" t="n">
        <x:f>IF('Inputs'!$D$9="Ready",'Inputs'!F15,"n.a.")</x:f>
        <x:v>0</x:v>
      </x:c>
      <x:c r="L796" s="29" t="n">
        <x:f>IF('Inputs'!$D$9="Ready",'Inputs'!G15,"n.a.")</x:f>
        <x:v>0</x:v>
      </x:c>
      <x:c r="M796" s="22" t="n">
        <x:f>IF(COUNT(I796:L796)=4,ROUND(I796*J796/12,2),"n.a.")</x:f>
        <x:v>0</x:v>
      </x:c>
      <x:c r="N796" s="22" t="n">
        <x:f>IF(COUNT(I796:M796)=5,MIN(I796+M796,ROUND(MAX(K796,I796*L796+M796),2)),"n.a.")</x:f>
        <x:v>0</x:v>
      </x:c>
      <x:c r="O796" s="30" t="n">
        <x:f>IF(COUNT($I$792:$I$796)&lt;&gt;5,"n.a.",IF(I796=0,6,IF('Inputs'!$D$5=1,COUNTIFS($I$792:$I$796,"&gt;0",$I$792:$I$796,"&lt;"&amp;I796)+COUNTIFS($I$792:I796,I796),COUNTIFS($I$792:$I$796,"&gt;0",$J$792:$J$796,"&gt;"&amp;J796)+COUNTIFS($I$792:I796,"&gt;0",$J$792:J796,J796))))</x:f>
        <x:v>6</x:v>
      </x:c>
      <x:c r="P796" s="22" t="n">
        <x:f>IF(T796="Ready",MIN(U796,MAX(0,G796-SUMIFS($U$792:$U$796,$O$792:$O$796,"&lt;"&amp;O796))),"n.a.")</x:f>
        <x:v>0</x:v>
      </x:c>
      <x:c r="Q796" s="22" t="n">
        <x:f>IF(T796="Ready",ROUND(N796+P796,2),"n.a.")</x:f>
        <x:v>0</x:v>
      </x:c>
      <x:c r="R796" s="22" t="n">
        <x:f>IF(T796="Ready",ROUND(Q796-M796,2),"n.a.")</x:f>
        <x:v>0</x:v>
      </x:c>
      <x:c r="S796" s="22" t="n">
        <x:f>IF(T796="Ready",MAX(0,ROUND(I796+M796-Q796,2)),"n.a.")</x:f>
        <x:v>0</x:v>
      </x:c>
      <x:c r="T796" s="22" t="str">
        <x:f>IF(AND(COUNT($I$792:$I$796)=5,COUNT(E796:F796)=2),IF(E796&gt;=F796,"Ready","Budget below minima"),"Check inputs")</x:f>
        <x:v>Ready</x:v>
      </x:c>
      <x:c r="U796" s="22" t="n">
        <x:f>IF(COUNT(I796,M796,N796)=3,MAX(0,ROUND(I796+M796-N796,2)),"n.a.")</x:f>
        <x:v>0</x:v>
      </x:c>
    </x:row>
    <x:row r="797" ht="22" customHeight="1">
      <x:c r="A797" s="2"/>
      <x:c r="B797" s="2"/>
      <x:c r="C797" s="27" t="n">
        <x:f>159</x:f>
        <x:v>159</x:v>
      </x:c>
      <x:c r="D797" s="28" t="n">
        <x:f>IF(ISNUMBER('Inputs'!$D$7),EDATE('Inputs'!$D$7,158),"n.a.")</x:f>
        <x:v>51136</x:v>
      </x:c>
      <x:c r="E797" s="26" t="n">
        <x:f>IF('Inputs'!$D$9&lt;&gt;"Ready","n.a.",IF(ISNUMBER('Inputs'!E177),IF('Inputs'!E177&gt;=0,'Inputs'!E177,"n.a."),IF('Inputs'!E177="",'Inputs'!$D$6,"n.a.")))</x:f>
        <x:v>500</x:v>
      </x:c>
      <x:c r="F797" s="22" t="n">
        <x:f>IF(COUNT($N$797:$N$801)=5,SUM($N$797:$N$801),"n.a.")</x:f>
        <x:v>0</x:v>
      </x:c>
      <x:c r="G797" s="22" t="n">
        <x:f>IF(COUNT(E797:F797)=2,MAX(0,E797-F797),"n.a.")</x:f>
        <x:v>500</x:v>
      </x:c>
      <x:c r="H797" s="26" t="str">
        <x:f>'Inputs'!C11</x:f>
        <x:v>Card A</x:v>
      </x:c>
      <x:c r="I797" s="26" t="n">
        <x:f>S792</x:f>
        <x:v>0</x:v>
      </x:c>
      <x:c r="J797" s="29" t="n">
        <x:f>IF('Inputs'!$D$9="Ready",'Inputs'!E11,"n.a.")</x:f>
        <x:v>0.24</x:v>
      </x:c>
      <x:c r="K797" s="26" t="n">
        <x:f>IF('Inputs'!$D$9="Ready",'Inputs'!F11,"n.a.")</x:f>
        <x:v>35</x:v>
      </x:c>
      <x:c r="L797" s="29" t="n">
        <x:f>IF('Inputs'!$D$9="Ready",'Inputs'!G11,"n.a.")</x:f>
        <x:v>0.02</x:v>
      </x:c>
      <x:c r="M797" s="22" t="n">
        <x:f>IF(COUNT(I797:L797)=4,ROUND(I797*J797/12,2),"n.a.")</x:f>
        <x:v>0</x:v>
      </x:c>
      <x:c r="N797" s="22" t="n">
        <x:f>IF(COUNT(I797:M797)=5,MIN(I797+M797,ROUND(MAX(K797,I797*L797+M797),2)),"n.a.")</x:f>
        <x:v>0</x:v>
      </x:c>
      <x:c r="O797" s="30" t="n">
        <x:f>IF(COUNT($I$797:$I$801)&lt;&gt;5,"n.a.",IF(I797=0,6,IF('Inputs'!$D$5=1,COUNTIFS($I$797:$I$801,"&gt;0",$I$797:$I$801,"&lt;"&amp;I797)+COUNTIFS($I$797:I797,I797),COUNTIFS($I$797:$I$801,"&gt;0",$J$797:$J$801,"&gt;"&amp;J797)+COUNTIFS($I$797:I797,"&gt;0",$J$797:J797,J797))))</x:f>
        <x:v>6</x:v>
      </x:c>
      <x:c r="P797" s="22" t="n">
        <x:f>IF(T797="Ready",MIN(U797,MAX(0,G797-SUMIFS($U$797:$U$801,$O$797:$O$801,"&lt;"&amp;O797))),"n.a.")</x:f>
        <x:v>0</x:v>
      </x:c>
      <x:c r="Q797" s="22" t="n">
        <x:f>IF(T797="Ready",ROUND(N797+P797,2),"n.a.")</x:f>
        <x:v>0</x:v>
      </x:c>
      <x:c r="R797" s="22" t="n">
        <x:f>IF(T797="Ready",ROUND(Q797-M797,2),"n.a.")</x:f>
        <x:v>0</x:v>
      </x:c>
      <x:c r="S797" s="22" t="n">
        <x:f>IF(T797="Ready",MAX(0,ROUND(I797+M797-Q797,2)),"n.a.")</x:f>
        <x:v>0</x:v>
      </x:c>
      <x:c r="T797" s="22" t="str">
        <x:f>IF(AND(COUNT($I$797:$I$801)=5,COUNT(E797:F797)=2),IF(E797&gt;=F797,"Ready","Budget below minima"),"Check inputs")</x:f>
        <x:v>Ready</x:v>
      </x:c>
      <x:c r="U797" s="22" t="n">
        <x:f>IF(COUNT(I797,M797,N797)=3,MAX(0,ROUND(I797+M797-N797,2)),"n.a.")</x:f>
        <x:v>0</x:v>
      </x:c>
    </x:row>
    <x:row r="798" ht="22" customHeight="1">
      <x:c r="A798" s="2"/>
      <x:c r="B798" s="2"/>
      <x:c r="C798" s="27" t="n">
        <x:f>159</x:f>
        <x:v>159</x:v>
      </x:c>
      <x:c r="D798" s="28" t="n">
        <x:f>IF(ISNUMBER('Inputs'!$D$7),EDATE('Inputs'!$D$7,158),"n.a.")</x:f>
        <x:v>51136</x:v>
      </x:c>
      <x:c r="E798" s="26" t="n">
        <x:f>IF('Inputs'!$D$9&lt;&gt;"Ready","n.a.",IF(ISNUMBER('Inputs'!E177),IF('Inputs'!E177&gt;=0,'Inputs'!E177,"n.a."),IF('Inputs'!E177="",'Inputs'!$D$6,"n.a.")))</x:f>
        <x:v>500</x:v>
      </x:c>
      <x:c r="F798" s="22" t="n">
        <x:f>IF(COUNT($N$797:$N$801)=5,SUM($N$797:$N$801),"n.a.")</x:f>
        <x:v>0</x:v>
      </x:c>
      <x:c r="G798" s="22" t="n">
        <x:f>IF(COUNT(E798:F798)=2,MAX(0,E798-F798),"n.a.")</x:f>
        <x:v>500</x:v>
      </x:c>
      <x:c r="H798" s="26" t="str">
        <x:f>'Inputs'!C12</x:f>
        <x:v>Card B</x:v>
      </x:c>
      <x:c r="I798" s="26" t="n">
        <x:f>S793</x:f>
        <x:v>0</x:v>
      </x:c>
      <x:c r="J798" s="29" t="n">
        <x:f>IF('Inputs'!$D$9="Ready",'Inputs'!E12,"n.a.")</x:f>
        <x:v>0.18</x:v>
      </x:c>
      <x:c r="K798" s="26" t="n">
        <x:f>IF('Inputs'!$D$9="Ready",'Inputs'!F12,"n.a.")</x:f>
        <x:v>60</x:v>
      </x:c>
      <x:c r="L798" s="29" t="n">
        <x:f>IF('Inputs'!$D$9="Ready",'Inputs'!G12,"n.a.")</x:f>
        <x:v>0.02</x:v>
      </x:c>
      <x:c r="M798" s="22" t="n">
        <x:f>IF(COUNT(I798:L798)=4,ROUND(I798*J798/12,2),"n.a.")</x:f>
        <x:v>0</x:v>
      </x:c>
      <x:c r="N798" s="22" t="n">
        <x:f>IF(COUNT(I798:M798)=5,MIN(I798+M798,ROUND(MAX(K798,I798*L798+M798),2)),"n.a.")</x:f>
        <x:v>0</x:v>
      </x:c>
      <x:c r="O798" s="30" t="n">
        <x:f>IF(COUNT($I$797:$I$801)&lt;&gt;5,"n.a.",IF(I798=0,6,IF('Inputs'!$D$5=1,COUNTIFS($I$797:$I$801,"&gt;0",$I$797:$I$801,"&lt;"&amp;I798)+COUNTIFS($I$797:I798,I798),COUNTIFS($I$797:$I$801,"&gt;0",$J$797:$J$801,"&gt;"&amp;J798)+COUNTIFS($I$797:I798,"&gt;0",$J$797:J798,J798))))</x:f>
        <x:v>6</x:v>
      </x:c>
      <x:c r="P798" s="22" t="n">
        <x:f>IF(T798="Ready",MIN(U798,MAX(0,G798-SUMIFS($U$797:$U$801,$O$797:$O$801,"&lt;"&amp;O798))),"n.a.")</x:f>
        <x:v>0</x:v>
      </x:c>
      <x:c r="Q798" s="22" t="n">
        <x:f>IF(T798="Ready",ROUND(N798+P798,2),"n.a.")</x:f>
        <x:v>0</x:v>
      </x:c>
      <x:c r="R798" s="22" t="n">
        <x:f>IF(T798="Ready",ROUND(Q798-M798,2),"n.a.")</x:f>
        <x:v>0</x:v>
      </x:c>
      <x:c r="S798" s="22" t="n">
        <x:f>IF(T798="Ready",MAX(0,ROUND(I798+M798-Q798,2)),"n.a.")</x:f>
        <x:v>0</x:v>
      </x:c>
      <x:c r="T798" s="22" t="str">
        <x:f>IF(AND(COUNT($I$797:$I$801)=5,COUNT(E798:F798)=2),IF(E798&gt;=F798,"Ready","Budget below minima"),"Check inputs")</x:f>
        <x:v>Ready</x:v>
      </x:c>
      <x:c r="U798" s="22" t="n">
        <x:f>IF(COUNT(I798,M798,N798)=3,MAX(0,ROUND(I798+M798-N798,2)),"n.a.")</x:f>
        <x:v>0</x:v>
      </x:c>
    </x:row>
    <x:row r="799" ht="22" customHeight="1">
      <x:c r="A799" s="2"/>
      <x:c r="B799" s="2"/>
      <x:c r="C799" s="27" t="n">
        <x:f>159</x:f>
        <x:v>159</x:v>
      </x:c>
      <x:c r="D799" s="28" t="n">
        <x:f>IF(ISNUMBER('Inputs'!$D$7),EDATE('Inputs'!$D$7,158),"n.a.")</x:f>
        <x:v>51136</x:v>
      </x:c>
      <x:c r="E799" s="26" t="n">
        <x:f>IF('Inputs'!$D$9&lt;&gt;"Ready","n.a.",IF(ISNUMBER('Inputs'!E177),IF('Inputs'!E177&gt;=0,'Inputs'!E177,"n.a."),IF('Inputs'!E177="",'Inputs'!$D$6,"n.a.")))</x:f>
        <x:v>500</x:v>
      </x:c>
      <x:c r="F799" s="22" t="n">
        <x:f>IF(COUNT($N$797:$N$801)=5,SUM($N$797:$N$801),"n.a.")</x:f>
        <x:v>0</x:v>
      </x:c>
      <x:c r="G799" s="22" t="n">
        <x:f>IF(COUNT(E799:F799)=2,MAX(0,E799-F799),"n.a.")</x:f>
        <x:v>500</x:v>
      </x:c>
      <x:c r="H799" s="26" t="str">
        <x:f>'Inputs'!C13</x:f>
        <x:v>Loan C</x:v>
      </x:c>
      <x:c r="I799" s="26" t="n">
        <x:f>S794</x:f>
        <x:v>0</x:v>
      </x:c>
      <x:c r="J799" s="29" t="n">
        <x:f>IF('Inputs'!$D$9="Ready",'Inputs'!E13,"n.a.")</x:f>
        <x:v>0.08</x:v>
      </x:c>
      <x:c r="K799" s="26" t="n">
        <x:f>IF('Inputs'!$D$9="Ready",'Inputs'!F13,"n.a.")</x:f>
        <x:v>150</x:v>
      </x:c>
      <x:c r="L799" s="29" t="n">
        <x:f>IF('Inputs'!$D$9="Ready",'Inputs'!G13,"n.a.")</x:f>
        <x:v>0</x:v>
      </x:c>
      <x:c r="M799" s="22" t="n">
        <x:f>IF(COUNT(I799:L799)=4,ROUND(I799*J799/12,2),"n.a.")</x:f>
        <x:v>0</x:v>
      </x:c>
      <x:c r="N799" s="22" t="n">
        <x:f>IF(COUNT(I799:M799)=5,MIN(I799+M799,ROUND(MAX(K799,I799*L799+M799),2)),"n.a.")</x:f>
        <x:v>0</x:v>
      </x:c>
      <x:c r="O799" s="30" t="n">
        <x:f>IF(COUNT($I$797:$I$801)&lt;&gt;5,"n.a.",IF(I799=0,6,IF('Inputs'!$D$5=1,COUNTIFS($I$797:$I$801,"&gt;0",$I$797:$I$801,"&lt;"&amp;I799)+COUNTIFS($I$797:I799,I799),COUNTIFS($I$797:$I$801,"&gt;0",$J$797:$J$801,"&gt;"&amp;J799)+COUNTIFS($I$797:I799,"&gt;0",$J$797:J799,J799))))</x:f>
        <x:v>6</x:v>
      </x:c>
      <x:c r="P799" s="22" t="n">
        <x:f>IF(T799="Ready",MIN(U799,MAX(0,G799-SUMIFS($U$797:$U$801,$O$797:$O$801,"&lt;"&amp;O799))),"n.a.")</x:f>
        <x:v>0</x:v>
      </x:c>
      <x:c r="Q799" s="22" t="n">
        <x:f>IF(T799="Ready",ROUND(N799+P799,2),"n.a.")</x:f>
        <x:v>0</x:v>
      </x:c>
      <x:c r="R799" s="22" t="n">
        <x:f>IF(T799="Ready",ROUND(Q799-M799,2),"n.a.")</x:f>
        <x:v>0</x:v>
      </x:c>
      <x:c r="S799" s="22" t="n">
        <x:f>IF(T799="Ready",MAX(0,ROUND(I799+M799-Q799,2)),"n.a.")</x:f>
        <x:v>0</x:v>
      </x:c>
      <x:c r="T799" s="22" t="str">
        <x:f>IF(AND(COUNT($I$797:$I$801)=5,COUNT(E799:F799)=2),IF(E799&gt;=F799,"Ready","Budget below minima"),"Check inputs")</x:f>
        <x:v>Ready</x:v>
      </x:c>
      <x:c r="U799" s="22" t="n">
        <x:f>IF(COUNT(I799,M799,N799)=3,MAX(0,ROUND(I799+M799-N799,2)),"n.a.")</x:f>
        <x:v>0</x:v>
      </x:c>
    </x:row>
    <x:row r="800" ht="22" customHeight="1">
      <x:c r="A800" s="2"/>
      <x:c r="B800" s="2"/>
      <x:c r="C800" s="27" t="n">
        <x:f>159</x:f>
        <x:v>159</x:v>
      </x:c>
      <x:c r="D800" s="28" t="n">
        <x:f>IF(ISNUMBER('Inputs'!$D$7),EDATE('Inputs'!$D$7,158),"n.a.")</x:f>
        <x:v>51136</x:v>
      </x:c>
      <x:c r="E800" s="26" t="n">
        <x:f>IF('Inputs'!$D$9&lt;&gt;"Ready","n.a.",IF(ISNUMBER('Inputs'!E177),IF('Inputs'!E177&gt;=0,'Inputs'!E177,"n.a."),IF('Inputs'!E177="",'Inputs'!$D$6,"n.a.")))</x:f>
        <x:v>500</x:v>
      </x:c>
      <x:c r="F800" s="22" t="n">
        <x:f>IF(COUNT($N$797:$N$801)=5,SUM($N$797:$N$801),"n.a.")</x:f>
        <x:v>0</x:v>
      </x:c>
      <x:c r="G800" s="22" t="n">
        <x:f>IF(COUNT(E800:F800)=2,MAX(0,E800-F800),"n.a.")</x:f>
        <x:v>500</x:v>
      </x:c>
      <x:c r="H800" s="26" t="str">
        <x:f>'Inputs'!C14</x:f>
        <x:v>Unused 4</x:v>
      </x:c>
      <x:c r="I800" s="26" t="n">
        <x:f>S795</x:f>
        <x:v>0</x:v>
      </x:c>
      <x:c r="J800" s="29" t="n">
        <x:f>IF('Inputs'!$D$9="Ready",'Inputs'!E14,"n.a.")</x:f>
        <x:v>0</x:v>
      </x:c>
      <x:c r="K800" s="26" t="n">
        <x:f>IF('Inputs'!$D$9="Ready",'Inputs'!F14,"n.a.")</x:f>
        <x:v>0</x:v>
      </x:c>
      <x:c r="L800" s="29" t="n">
        <x:f>IF('Inputs'!$D$9="Ready",'Inputs'!G14,"n.a.")</x:f>
        <x:v>0</x:v>
      </x:c>
      <x:c r="M800" s="22" t="n">
        <x:f>IF(COUNT(I800:L800)=4,ROUND(I800*J800/12,2),"n.a.")</x:f>
        <x:v>0</x:v>
      </x:c>
      <x:c r="N800" s="22" t="n">
        <x:f>IF(COUNT(I800:M800)=5,MIN(I800+M800,ROUND(MAX(K800,I800*L800+M800),2)),"n.a.")</x:f>
        <x:v>0</x:v>
      </x:c>
      <x:c r="O800" s="30" t="n">
        <x:f>IF(COUNT($I$797:$I$801)&lt;&gt;5,"n.a.",IF(I800=0,6,IF('Inputs'!$D$5=1,COUNTIFS($I$797:$I$801,"&gt;0",$I$797:$I$801,"&lt;"&amp;I800)+COUNTIFS($I$797:I800,I800),COUNTIFS($I$797:$I$801,"&gt;0",$J$797:$J$801,"&gt;"&amp;J800)+COUNTIFS($I$797:I800,"&gt;0",$J$797:J800,J800))))</x:f>
        <x:v>6</x:v>
      </x:c>
      <x:c r="P800" s="22" t="n">
        <x:f>IF(T800="Ready",MIN(U800,MAX(0,G800-SUMIFS($U$797:$U$801,$O$797:$O$801,"&lt;"&amp;O800))),"n.a.")</x:f>
        <x:v>0</x:v>
      </x:c>
      <x:c r="Q800" s="22" t="n">
        <x:f>IF(T800="Ready",ROUND(N800+P800,2),"n.a.")</x:f>
        <x:v>0</x:v>
      </x:c>
      <x:c r="R800" s="22" t="n">
        <x:f>IF(T800="Ready",ROUND(Q800-M800,2),"n.a.")</x:f>
        <x:v>0</x:v>
      </x:c>
      <x:c r="S800" s="22" t="n">
        <x:f>IF(T800="Ready",MAX(0,ROUND(I800+M800-Q800,2)),"n.a.")</x:f>
        <x:v>0</x:v>
      </x:c>
      <x:c r="T800" s="22" t="str">
        <x:f>IF(AND(COUNT($I$797:$I$801)=5,COUNT(E800:F800)=2),IF(E800&gt;=F800,"Ready","Budget below minima"),"Check inputs")</x:f>
        <x:v>Ready</x:v>
      </x:c>
      <x:c r="U800" s="22" t="n">
        <x:f>IF(COUNT(I800,M800,N800)=3,MAX(0,ROUND(I800+M800-N800,2)),"n.a.")</x:f>
        <x:v>0</x:v>
      </x:c>
    </x:row>
    <x:row r="801" ht="22" customHeight="1">
      <x:c r="A801" s="2"/>
      <x:c r="B801" s="2"/>
      <x:c r="C801" s="27" t="n">
        <x:f>159</x:f>
        <x:v>159</x:v>
      </x:c>
      <x:c r="D801" s="28" t="n">
        <x:f>IF(ISNUMBER('Inputs'!$D$7),EDATE('Inputs'!$D$7,158),"n.a.")</x:f>
        <x:v>51136</x:v>
      </x:c>
      <x:c r="E801" s="26" t="n">
        <x:f>IF('Inputs'!$D$9&lt;&gt;"Ready","n.a.",IF(ISNUMBER('Inputs'!E177),IF('Inputs'!E177&gt;=0,'Inputs'!E177,"n.a."),IF('Inputs'!E177="",'Inputs'!$D$6,"n.a.")))</x:f>
        <x:v>500</x:v>
      </x:c>
      <x:c r="F801" s="22" t="n">
        <x:f>IF(COUNT($N$797:$N$801)=5,SUM($N$797:$N$801),"n.a.")</x:f>
        <x:v>0</x:v>
      </x:c>
      <x:c r="G801" s="22" t="n">
        <x:f>IF(COUNT(E801:F801)=2,MAX(0,E801-F801),"n.a.")</x:f>
        <x:v>500</x:v>
      </x:c>
      <x:c r="H801" s="26" t="str">
        <x:f>'Inputs'!C15</x:f>
        <x:v>Unused 5</x:v>
      </x:c>
      <x:c r="I801" s="26" t="n">
        <x:f>S796</x:f>
        <x:v>0</x:v>
      </x:c>
      <x:c r="J801" s="29" t="n">
        <x:f>IF('Inputs'!$D$9="Ready",'Inputs'!E15,"n.a.")</x:f>
        <x:v>0</x:v>
      </x:c>
      <x:c r="K801" s="26" t="n">
        <x:f>IF('Inputs'!$D$9="Ready",'Inputs'!F15,"n.a.")</x:f>
        <x:v>0</x:v>
      </x:c>
      <x:c r="L801" s="29" t="n">
        <x:f>IF('Inputs'!$D$9="Ready",'Inputs'!G15,"n.a.")</x:f>
        <x:v>0</x:v>
      </x:c>
      <x:c r="M801" s="22" t="n">
        <x:f>IF(COUNT(I801:L801)=4,ROUND(I801*J801/12,2),"n.a.")</x:f>
        <x:v>0</x:v>
      </x:c>
      <x:c r="N801" s="22" t="n">
        <x:f>IF(COUNT(I801:M801)=5,MIN(I801+M801,ROUND(MAX(K801,I801*L801+M801),2)),"n.a.")</x:f>
        <x:v>0</x:v>
      </x:c>
      <x:c r="O801" s="30" t="n">
        <x:f>IF(COUNT($I$797:$I$801)&lt;&gt;5,"n.a.",IF(I801=0,6,IF('Inputs'!$D$5=1,COUNTIFS($I$797:$I$801,"&gt;0",$I$797:$I$801,"&lt;"&amp;I801)+COUNTIFS($I$797:I801,I801),COUNTIFS($I$797:$I$801,"&gt;0",$J$797:$J$801,"&gt;"&amp;J801)+COUNTIFS($I$797:I801,"&gt;0",$J$797:J801,J801))))</x:f>
        <x:v>6</x:v>
      </x:c>
      <x:c r="P801" s="22" t="n">
        <x:f>IF(T801="Ready",MIN(U801,MAX(0,G801-SUMIFS($U$797:$U$801,$O$797:$O$801,"&lt;"&amp;O801))),"n.a.")</x:f>
        <x:v>0</x:v>
      </x:c>
      <x:c r="Q801" s="22" t="n">
        <x:f>IF(T801="Ready",ROUND(N801+P801,2),"n.a.")</x:f>
        <x:v>0</x:v>
      </x:c>
      <x:c r="R801" s="22" t="n">
        <x:f>IF(T801="Ready",ROUND(Q801-M801,2),"n.a.")</x:f>
        <x:v>0</x:v>
      </x:c>
      <x:c r="S801" s="22" t="n">
        <x:f>IF(T801="Ready",MAX(0,ROUND(I801+M801-Q801,2)),"n.a.")</x:f>
        <x:v>0</x:v>
      </x:c>
      <x:c r="T801" s="22" t="str">
        <x:f>IF(AND(COUNT($I$797:$I$801)=5,COUNT(E801:F801)=2),IF(E801&gt;=F801,"Ready","Budget below minima"),"Check inputs")</x:f>
        <x:v>Ready</x:v>
      </x:c>
      <x:c r="U801" s="22" t="n">
        <x:f>IF(COUNT(I801,M801,N801)=3,MAX(0,ROUND(I801+M801-N801,2)),"n.a.")</x:f>
        <x:v>0</x:v>
      </x:c>
    </x:row>
    <x:row r="802" ht="22" customHeight="1">
      <x:c r="A802" s="2"/>
      <x:c r="B802" s="2"/>
      <x:c r="C802" s="27" t="n">
        <x:f>160</x:f>
        <x:v>160</x:v>
      </x:c>
      <x:c r="D802" s="28" t="n">
        <x:f>IF(ISNUMBER('Inputs'!$D$7),EDATE('Inputs'!$D$7,159),"n.a.")</x:f>
        <x:v>51167</x:v>
      </x:c>
      <x:c r="E802" s="26" t="n">
        <x:f>IF('Inputs'!$D$9&lt;&gt;"Ready","n.a.",IF(ISNUMBER('Inputs'!E178),IF('Inputs'!E178&gt;=0,'Inputs'!E178,"n.a."),IF('Inputs'!E178="",'Inputs'!$D$6,"n.a.")))</x:f>
        <x:v>500</x:v>
      </x:c>
      <x:c r="F802" s="22" t="n">
        <x:f>IF(COUNT($N$802:$N$806)=5,SUM($N$802:$N$806),"n.a.")</x:f>
        <x:v>0</x:v>
      </x:c>
      <x:c r="G802" s="22" t="n">
        <x:f>IF(COUNT(E802:F802)=2,MAX(0,E802-F802),"n.a.")</x:f>
        <x:v>500</x:v>
      </x:c>
      <x:c r="H802" s="26" t="str">
        <x:f>'Inputs'!C11</x:f>
        <x:v>Card A</x:v>
      </x:c>
      <x:c r="I802" s="26" t="n">
        <x:f>S797</x:f>
        <x:v>0</x:v>
      </x:c>
      <x:c r="J802" s="29" t="n">
        <x:f>IF('Inputs'!$D$9="Ready",'Inputs'!E11,"n.a.")</x:f>
        <x:v>0.24</x:v>
      </x:c>
      <x:c r="K802" s="26" t="n">
        <x:f>IF('Inputs'!$D$9="Ready",'Inputs'!F11,"n.a.")</x:f>
        <x:v>35</x:v>
      </x:c>
      <x:c r="L802" s="29" t="n">
        <x:f>IF('Inputs'!$D$9="Ready",'Inputs'!G11,"n.a.")</x:f>
        <x:v>0.02</x:v>
      </x:c>
      <x:c r="M802" s="22" t="n">
        <x:f>IF(COUNT(I802:L802)=4,ROUND(I802*J802/12,2),"n.a.")</x:f>
        <x:v>0</x:v>
      </x:c>
      <x:c r="N802" s="22" t="n">
        <x:f>IF(COUNT(I802:M802)=5,MIN(I802+M802,ROUND(MAX(K802,I802*L802+M802),2)),"n.a.")</x:f>
        <x:v>0</x:v>
      </x:c>
      <x:c r="O802" s="30" t="n">
        <x:f>IF(COUNT($I$802:$I$806)&lt;&gt;5,"n.a.",IF(I802=0,6,IF('Inputs'!$D$5=1,COUNTIFS($I$802:$I$806,"&gt;0",$I$802:$I$806,"&lt;"&amp;I802)+COUNTIFS($I$802:I802,I802),COUNTIFS($I$802:$I$806,"&gt;0",$J$802:$J$806,"&gt;"&amp;J802)+COUNTIFS($I$802:I802,"&gt;0",$J$802:J802,J802))))</x:f>
        <x:v>6</x:v>
      </x:c>
      <x:c r="P802" s="22" t="n">
        <x:f>IF(T802="Ready",MIN(U802,MAX(0,G802-SUMIFS($U$802:$U$806,$O$802:$O$806,"&lt;"&amp;O802))),"n.a.")</x:f>
        <x:v>0</x:v>
      </x:c>
      <x:c r="Q802" s="22" t="n">
        <x:f>IF(T802="Ready",ROUND(N802+P802,2),"n.a.")</x:f>
        <x:v>0</x:v>
      </x:c>
      <x:c r="R802" s="22" t="n">
        <x:f>IF(T802="Ready",ROUND(Q802-M802,2),"n.a.")</x:f>
        <x:v>0</x:v>
      </x:c>
      <x:c r="S802" s="22" t="n">
        <x:f>IF(T802="Ready",MAX(0,ROUND(I802+M802-Q802,2)),"n.a.")</x:f>
        <x:v>0</x:v>
      </x:c>
      <x:c r="T802" s="22" t="str">
        <x:f>IF(AND(COUNT($I$802:$I$806)=5,COUNT(E802:F802)=2),IF(E802&gt;=F802,"Ready","Budget below minima"),"Check inputs")</x:f>
        <x:v>Ready</x:v>
      </x:c>
      <x:c r="U802" s="22" t="n">
        <x:f>IF(COUNT(I802,M802,N802)=3,MAX(0,ROUND(I802+M802-N802,2)),"n.a.")</x:f>
        <x:v>0</x:v>
      </x:c>
    </x:row>
    <x:row r="803" ht="22" customHeight="1">
      <x:c r="A803" s="2"/>
      <x:c r="B803" s="2"/>
      <x:c r="C803" s="27" t="n">
        <x:f>160</x:f>
        <x:v>160</x:v>
      </x:c>
      <x:c r="D803" s="28" t="n">
        <x:f>IF(ISNUMBER('Inputs'!$D$7),EDATE('Inputs'!$D$7,159),"n.a.")</x:f>
        <x:v>51167</x:v>
      </x:c>
      <x:c r="E803" s="26" t="n">
        <x:f>IF('Inputs'!$D$9&lt;&gt;"Ready","n.a.",IF(ISNUMBER('Inputs'!E178),IF('Inputs'!E178&gt;=0,'Inputs'!E178,"n.a."),IF('Inputs'!E178="",'Inputs'!$D$6,"n.a.")))</x:f>
        <x:v>500</x:v>
      </x:c>
      <x:c r="F803" s="22" t="n">
        <x:f>IF(COUNT($N$802:$N$806)=5,SUM($N$802:$N$806),"n.a.")</x:f>
        <x:v>0</x:v>
      </x:c>
      <x:c r="G803" s="22" t="n">
        <x:f>IF(COUNT(E803:F803)=2,MAX(0,E803-F803),"n.a.")</x:f>
        <x:v>500</x:v>
      </x:c>
      <x:c r="H803" s="26" t="str">
        <x:f>'Inputs'!C12</x:f>
        <x:v>Card B</x:v>
      </x:c>
      <x:c r="I803" s="26" t="n">
        <x:f>S798</x:f>
        <x:v>0</x:v>
      </x:c>
      <x:c r="J803" s="29" t="n">
        <x:f>IF('Inputs'!$D$9="Ready",'Inputs'!E12,"n.a.")</x:f>
        <x:v>0.18</x:v>
      </x:c>
      <x:c r="K803" s="26" t="n">
        <x:f>IF('Inputs'!$D$9="Ready",'Inputs'!F12,"n.a.")</x:f>
        <x:v>60</x:v>
      </x:c>
      <x:c r="L803" s="29" t="n">
        <x:f>IF('Inputs'!$D$9="Ready",'Inputs'!G12,"n.a.")</x:f>
        <x:v>0.02</x:v>
      </x:c>
      <x:c r="M803" s="22" t="n">
        <x:f>IF(COUNT(I803:L803)=4,ROUND(I803*J803/12,2),"n.a.")</x:f>
        <x:v>0</x:v>
      </x:c>
      <x:c r="N803" s="22" t="n">
        <x:f>IF(COUNT(I803:M803)=5,MIN(I803+M803,ROUND(MAX(K803,I803*L803+M803),2)),"n.a.")</x:f>
        <x:v>0</x:v>
      </x:c>
      <x:c r="O803" s="30" t="n">
        <x:f>IF(COUNT($I$802:$I$806)&lt;&gt;5,"n.a.",IF(I803=0,6,IF('Inputs'!$D$5=1,COUNTIFS($I$802:$I$806,"&gt;0",$I$802:$I$806,"&lt;"&amp;I803)+COUNTIFS($I$802:I803,I803),COUNTIFS($I$802:$I$806,"&gt;0",$J$802:$J$806,"&gt;"&amp;J803)+COUNTIFS($I$802:I803,"&gt;0",$J$802:J803,J803))))</x:f>
        <x:v>6</x:v>
      </x:c>
      <x:c r="P803" s="22" t="n">
        <x:f>IF(T803="Ready",MIN(U803,MAX(0,G803-SUMIFS($U$802:$U$806,$O$802:$O$806,"&lt;"&amp;O803))),"n.a.")</x:f>
        <x:v>0</x:v>
      </x:c>
      <x:c r="Q803" s="22" t="n">
        <x:f>IF(T803="Ready",ROUND(N803+P803,2),"n.a.")</x:f>
        <x:v>0</x:v>
      </x:c>
      <x:c r="R803" s="22" t="n">
        <x:f>IF(T803="Ready",ROUND(Q803-M803,2),"n.a.")</x:f>
        <x:v>0</x:v>
      </x:c>
      <x:c r="S803" s="22" t="n">
        <x:f>IF(T803="Ready",MAX(0,ROUND(I803+M803-Q803,2)),"n.a.")</x:f>
        <x:v>0</x:v>
      </x:c>
      <x:c r="T803" s="22" t="str">
        <x:f>IF(AND(COUNT($I$802:$I$806)=5,COUNT(E803:F803)=2),IF(E803&gt;=F803,"Ready","Budget below minima"),"Check inputs")</x:f>
        <x:v>Ready</x:v>
      </x:c>
      <x:c r="U803" s="22" t="n">
        <x:f>IF(COUNT(I803,M803,N803)=3,MAX(0,ROUND(I803+M803-N803,2)),"n.a.")</x:f>
        <x:v>0</x:v>
      </x:c>
    </x:row>
    <x:row r="804" ht="22" customHeight="1">
      <x:c r="A804" s="2"/>
      <x:c r="B804" s="2"/>
      <x:c r="C804" s="27" t="n">
        <x:f>160</x:f>
        <x:v>160</x:v>
      </x:c>
      <x:c r="D804" s="28" t="n">
        <x:f>IF(ISNUMBER('Inputs'!$D$7),EDATE('Inputs'!$D$7,159),"n.a.")</x:f>
        <x:v>51167</x:v>
      </x:c>
      <x:c r="E804" s="26" t="n">
        <x:f>IF('Inputs'!$D$9&lt;&gt;"Ready","n.a.",IF(ISNUMBER('Inputs'!E178),IF('Inputs'!E178&gt;=0,'Inputs'!E178,"n.a."),IF('Inputs'!E178="",'Inputs'!$D$6,"n.a.")))</x:f>
        <x:v>500</x:v>
      </x:c>
      <x:c r="F804" s="22" t="n">
        <x:f>IF(COUNT($N$802:$N$806)=5,SUM($N$802:$N$806),"n.a.")</x:f>
        <x:v>0</x:v>
      </x:c>
      <x:c r="G804" s="22" t="n">
        <x:f>IF(COUNT(E804:F804)=2,MAX(0,E804-F804),"n.a.")</x:f>
        <x:v>500</x:v>
      </x:c>
      <x:c r="H804" s="26" t="str">
        <x:f>'Inputs'!C13</x:f>
        <x:v>Loan C</x:v>
      </x:c>
      <x:c r="I804" s="26" t="n">
        <x:f>S799</x:f>
        <x:v>0</x:v>
      </x:c>
      <x:c r="J804" s="29" t="n">
        <x:f>IF('Inputs'!$D$9="Ready",'Inputs'!E13,"n.a.")</x:f>
        <x:v>0.08</x:v>
      </x:c>
      <x:c r="K804" s="26" t="n">
        <x:f>IF('Inputs'!$D$9="Ready",'Inputs'!F13,"n.a.")</x:f>
        <x:v>150</x:v>
      </x:c>
      <x:c r="L804" s="29" t="n">
        <x:f>IF('Inputs'!$D$9="Ready",'Inputs'!G13,"n.a.")</x:f>
        <x:v>0</x:v>
      </x:c>
      <x:c r="M804" s="22" t="n">
        <x:f>IF(COUNT(I804:L804)=4,ROUND(I804*J804/12,2),"n.a.")</x:f>
        <x:v>0</x:v>
      </x:c>
      <x:c r="N804" s="22" t="n">
        <x:f>IF(COUNT(I804:M804)=5,MIN(I804+M804,ROUND(MAX(K804,I804*L804+M804),2)),"n.a.")</x:f>
        <x:v>0</x:v>
      </x:c>
      <x:c r="O804" s="30" t="n">
        <x:f>IF(COUNT($I$802:$I$806)&lt;&gt;5,"n.a.",IF(I804=0,6,IF('Inputs'!$D$5=1,COUNTIFS($I$802:$I$806,"&gt;0",$I$802:$I$806,"&lt;"&amp;I804)+COUNTIFS($I$802:I804,I804),COUNTIFS($I$802:$I$806,"&gt;0",$J$802:$J$806,"&gt;"&amp;J804)+COUNTIFS($I$802:I804,"&gt;0",$J$802:J804,J804))))</x:f>
        <x:v>6</x:v>
      </x:c>
      <x:c r="P804" s="22" t="n">
        <x:f>IF(T804="Ready",MIN(U804,MAX(0,G804-SUMIFS($U$802:$U$806,$O$802:$O$806,"&lt;"&amp;O804))),"n.a.")</x:f>
        <x:v>0</x:v>
      </x:c>
      <x:c r="Q804" s="22" t="n">
        <x:f>IF(T804="Ready",ROUND(N804+P804,2),"n.a.")</x:f>
        <x:v>0</x:v>
      </x:c>
      <x:c r="R804" s="22" t="n">
        <x:f>IF(T804="Ready",ROUND(Q804-M804,2),"n.a.")</x:f>
        <x:v>0</x:v>
      </x:c>
      <x:c r="S804" s="22" t="n">
        <x:f>IF(T804="Ready",MAX(0,ROUND(I804+M804-Q804,2)),"n.a.")</x:f>
        <x:v>0</x:v>
      </x:c>
      <x:c r="T804" s="22" t="str">
        <x:f>IF(AND(COUNT($I$802:$I$806)=5,COUNT(E804:F804)=2),IF(E804&gt;=F804,"Ready","Budget below minima"),"Check inputs")</x:f>
        <x:v>Ready</x:v>
      </x:c>
      <x:c r="U804" s="22" t="n">
        <x:f>IF(COUNT(I804,M804,N804)=3,MAX(0,ROUND(I804+M804-N804,2)),"n.a.")</x:f>
        <x:v>0</x:v>
      </x:c>
    </x:row>
    <x:row r="805" ht="22" customHeight="1">
      <x:c r="A805" s="2"/>
      <x:c r="B805" s="2"/>
      <x:c r="C805" s="27" t="n">
        <x:f>160</x:f>
        <x:v>160</x:v>
      </x:c>
      <x:c r="D805" s="28" t="n">
        <x:f>IF(ISNUMBER('Inputs'!$D$7),EDATE('Inputs'!$D$7,159),"n.a.")</x:f>
        <x:v>51167</x:v>
      </x:c>
      <x:c r="E805" s="26" t="n">
        <x:f>IF('Inputs'!$D$9&lt;&gt;"Ready","n.a.",IF(ISNUMBER('Inputs'!E178),IF('Inputs'!E178&gt;=0,'Inputs'!E178,"n.a."),IF('Inputs'!E178="",'Inputs'!$D$6,"n.a.")))</x:f>
        <x:v>500</x:v>
      </x:c>
      <x:c r="F805" s="22" t="n">
        <x:f>IF(COUNT($N$802:$N$806)=5,SUM($N$802:$N$806),"n.a.")</x:f>
        <x:v>0</x:v>
      </x:c>
      <x:c r="G805" s="22" t="n">
        <x:f>IF(COUNT(E805:F805)=2,MAX(0,E805-F805),"n.a.")</x:f>
        <x:v>500</x:v>
      </x:c>
      <x:c r="H805" s="26" t="str">
        <x:f>'Inputs'!C14</x:f>
        <x:v>Unused 4</x:v>
      </x:c>
      <x:c r="I805" s="26" t="n">
        <x:f>S800</x:f>
        <x:v>0</x:v>
      </x:c>
      <x:c r="J805" s="29" t="n">
        <x:f>IF('Inputs'!$D$9="Ready",'Inputs'!E14,"n.a.")</x:f>
        <x:v>0</x:v>
      </x:c>
      <x:c r="K805" s="26" t="n">
        <x:f>IF('Inputs'!$D$9="Ready",'Inputs'!F14,"n.a.")</x:f>
        <x:v>0</x:v>
      </x:c>
      <x:c r="L805" s="29" t="n">
        <x:f>IF('Inputs'!$D$9="Ready",'Inputs'!G14,"n.a.")</x:f>
        <x:v>0</x:v>
      </x:c>
      <x:c r="M805" s="22" t="n">
        <x:f>IF(COUNT(I805:L805)=4,ROUND(I805*J805/12,2),"n.a.")</x:f>
        <x:v>0</x:v>
      </x:c>
      <x:c r="N805" s="22" t="n">
        <x:f>IF(COUNT(I805:M805)=5,MIN(I805+M805,ROUND(MAX(K805,I805*L805+M805),2)),"n.a.")</x:f>
        <x:v>0</x:v>
      </x:c>
      <x:c r="O805" s="30" t="n">
        <x:f>IF(COUNT($I$802:$I$806)&lt;&gt;5,"n.a.",IF(I805=0,6,IF('Inputs'!$D$5=1,COUNTIFS($I$802:$I$806,"&gt;0",$I$802:$I$806,"&lt;"&amp;I805)+COUNTIFS($I$802:I805,I805),COUNTIFS($I$802:$I$806,"&gt;0",$J$802:$J$806,"&gt;"&amp;J805)+COUNTIFS($I$802:I805,"&gt;0",$J$802:J805,J805))))</x:f>
        <x:v>6</x:v>
      </x:c>
      <x:c r="P805" s="22" t="n">
        <x:f>IF(T805="Ready",MIN(U805,MAX(0,G805-SUMIFS($U$802:$U$806,$O$802:$O$806,"&lt;"&amp;O805))),"n.a.")</x:f>
        <x:v>0</x:v>
      </x:c>
      <x:c r="Q805" s="22" t="n">
        <x:f>IF(T805="Ready",ROUND(N805+P805,2),"n.a.")</x:f>
        <x:v>0</x:v>
      </x:c>
      <x:c r="R805" s="22" t="n">
        <x:f>IF(T805="Ready",ROUND(Q805-M805,2),"n.a.")</x:f>
        <x:v>0</x:v>
      </x:c>
      <x:c r="S805" s="22" t="n">
        <x:f>IF(T805="Ready",MAX(0,ROUND(I805+M805-Q805,2)),"n.a.")</x:f>
        <x:v>0</x:v>
      </x:c>
      <x:c r="T805" s="22" t="str">
        <x:f>IF(AND(COUNT($I$802:$I$806)=5,COUNT(E805:F805)=2),IF(E805&gt;=F805,"Ready","Budget below minima"),"Check inputs")</x:f>
        <x:v>Ready</x:v>
      </x:c>
      <x:c r="U805" s="22" t="n">
        <x:f>IF(COUNT(I805,M805,N805)=3,MAX(0,ROUND(I805+M805-N805,2)),"n.a.")</x:f>
        <x:v>0</x:v>
      </x:c>
    </x:row>
    <x:row r="806" ht="22" customHeight="1">
      <x:c r="A806" s="2"/>
      <x:c r="B806" s="2"/>
      <x:c r="C806" s="27" t="n">
        <x:f>160</x:f>
        <x:v>160</x:v>
      </x:c>
      <x:c r="D806" s="28" t="n">
        <x:f>IF(ISNUMBER('Inputs'!$D$7),EDATE('Inputs'!$D$7,159),"n.a.")</x:f>
        <x:v>51167</x:v>
      </x:c>
      <x:c r="E806" s="26" t="n">
        <x:f>IF('Inputs'!$D$9&lt;&gt;"Ready","n.a.",IF(ISNUMBER('Inputs'!E178),IF('Inputs'!E178&gt;=0,'Inputs'!E178,"n.a."),IF('Inputs'!E178="",'Inputs'!$D$6,"n.a.")))</x:f>
        <x:v>500</x:v>
      </x:c>
      <x:c r="F806" s="22" t="n">
        <x:f>IF(COUNT($N$802:$N$806)=5,SUM($N$802:$N$806),"n.a.")</x:f>
        <x:v>0</x:v>
      </x:c>
      <x:c r="G806" s="22" t="n">
        <x:f>IF(COUNT(E806:F806)=2,MAX(0,E806-F806),"n.a.")</x:f>
        <x:v>500</x:v>
      </x:c>
      <x:c r="H806" s="26" t="str">
        <x:f>'Inputs'!C15</x:f>
        <x:v>Unused 5</x:v>
      </x:c>
      <x:c r="I806" s="26" t="n">
        <x:f>S801</x:f>
        <x:v>0</x:v>
      </x:c>
      <x:c r="J806" s="29" t="n">
        <x:f>IF('Inputs'!$D$9="Ready",'Inputs'!E15,"n.a.")</x:f>
        <x:v>0</x:v>
      </x:c>
      <x:c r="K806" s="26" t="n">
        <x:f>IF('Inputs'!$D$9="Ready",'Inputs'!F15,"n.a.")</x:f>
        <x:v>0</x:v>
      </x:c>
      <x:c r="L806" s="29" t="n">
        <x:f>IF('Inputs'!$D$9="Ready",'Inputs'!G15,"n.a.")</x:f>
        <x:v>0</x:v>
      </x:c>
      <x:c r="M806" s="22" t="n">
        <x:f>IF(COUNT(I806:L806)=4,ROUND(I806*J806/12,2),"n.a.")</x:f>
        <x:v>0</x:v>
      </x:c>
      <x:c r="N806" s="22" t="n">
        <x:f>IF(COUNT(I806:M806)=5,MIN(I806+M806,ROUND(MAX(K806,I806*L806+M806),2)),"n.a.")</x:f>
        <x:v>0</x:v>
      </x:c>
      <x:c r="O806" s="30" t="n">
        <x:f>IF(COUNT($I$802:$I$806)&lt;&gt;5,"n.a.",IF(I806=0,6,IF('Inputs'!$D$5=1,COUNTIFS($I$802:$I$806,"&gt;0",$I$802:$I$806,"&lt;"&amp;I806)+COUNTIFS($I$802:I806,I806),COUNTIFS($I$802:$I$806,"&gt;0",$J$802:$J$806,"&gt;"&amp;J806)+COUNTIFS($I$802:I806,"&gt;0",$J$802:J806,J806))))</x:f>
        <x:v>6</x:v>
      </x:c>
      <x:c r="P806" s="22" t="n">
        <x:f>IF(T806="Ready",MIN(U806,MAX(0,G806-SUMIFS($U$802:$U$806,$O$802:$O$806,"&lt;"&amp;O806))),"n.a.")</x:f>
        <x:v>0</x:v>
      </x:c>
      <x:c r="Q806" s="22" t="n">
        <x:f>IF(T806="Ready",ROUND(N806+P806,2),"n.a.")</x:f>
        <x:v>0</x:v>
      </x:c>
      <x:c r="R806" s="22" t="n">
        <x:f>IF(T806="Ready",ROUND(Q806-M806,2),"n.a.")</x:f>
        <x:v>0</x:v>
      </x:c>
      <x:c r="S806" s="22" t="n">
        <x:f>IF(T806="Ready",MAX(0,ROUND(I806+M806-Q806,2)),"n.a.")</x:f>
        <x:v>0</x:v>
      </x:c>
      <x:c r="T806" s="22" t="str">
        <x:f>IF(AND(COUNT($I$802:$I$806)=5,COUNT(E806:F806)=2),IF(E806&gt;=F806,"Ready","Budget below minima"),"Check inputs")</x:f>
        <x:v>Ready</x:v>
      </x:c>
      <x:c r="U806" s="22" t="n">
        <x:f>IF(COUNT(I806,M806,N806)=3,MAX(0,ROUND(I806+M806-N806,2)),"n.a.")</x:f>
        <x:v>0</x:v>
      </x:c>
    </x:row>
    <x:row r="807" ht="22" customHeight="1">
      <x:c r="A807" s="2"/>
      <x:c r="B807" s="2"/>
      <x:c r="C807" s="27" t="n">
        <x:f>161</x:f>
        <x:v>161</x:v>
      </x:c>
      <x:c r="D807" s="28" t="n">
        <x:f>IF(ISNUMBER('Inputs'!$D$7),EDATE('Inputs'!$D$7,160),"n.a.")</x:f>
        <x:v>51196</x:v>
      </x:c>
      <x:c r="E807" s="26" t="n">
        <x:f>IF('Inputs'!$D$9&lt;&gt;"Ready","n.a.",IF(ISNUMBER('Inputs'!E179),IF('Inputs'!E179&gt;=0,'Inputs'!E179,"n.a."),IF('Inputs'!E179="",'Inputs'!$D$6,"n.a.")))</x:f>
        <x:v>500</x:v>
      </x:c>
      <x:c r="F807" s="22" t="n">
        <x:f>IF(COUNT($N$807:$N$811)=5,SUM($N$807:$N$811),"n.a.")</x:f>
        <x:v>0</x:v>
      </x:c>
      <x:c r="G807" s="22" t="n">
        <x:f>IF(COUNT(E807:F807)=2,MAX(0,E807-F807),"n.a.")</x:f>
        <x:v>500</x:v>
      </x:c>
      <x:c r="H807" s="26" t="str">
        <x:f>'Inputs'!C11</x:f>
        <x:v>Card A</x:v>
      </x:c>
      <x:c r="I807" s="26" t="n">
        <x:f>S802</x:f>
        <x:v>0</x:v>
      </x:c>
      <x:c r="J807" s="29" t="n">
        <x:f>IF('Inputs'!$D$9="Ready",'Inputs'!E11,"n.a.")</x:f>
        <x:v>0.24</x:v>
      </x:c>
      <x:c r="K807" s="26" t="n">
        <x:f>IF('Inputs'!$D$9="Ready",'Inputs'!F11,"n.a.")</x:f>
        <x:v>35</x:v>
      </x:c>
      <x:c r="L807" s="29" t="n">
        <x:f>IF('Inputs'!$D$9="Ready",'Inputs'!G11,"n.a.")</x:f>
        <x:v>0.02</x:v>
      </x:c>
      <x:c r="M807" s="22" t="n">
        <x:f>IF(COUNT(I807:L807)=4,ROUND(I807*J807/12,2),"n.a.")</x:f>
        <x:v>0</x:v>
      </x:c>
      <x:c r="N807" s="22" t="n">
        <x:f>IF(COUNT(I807:M807)=5,MIN(I807+M807,ROUND(MAX(K807,I807*L807+M807),2)),"n.a.")</x:f>
        <x:v>0</x:v>
      </x:c>
      <x:c r="O807" s="30" t="n">
        <x:f>IF(COUNT($I$807:$I$811)&lt;&gt;5,"n.a.",IF(I807=0,6,IF('Inputs'!$D$5=1,COUNTIFS($I$807:$I$811,"&gt;0",$I$807:$I$811,"&lt;"&amp;I807)+COUNTIFS($I$807:I807,I807),COUNTIFS($I$807:$I$811,"&gt;0",$J$807:$J$811,"&gt;"&amp;J807)+COUNTIFS($I$807:I807,"&gt;0",$J$807:J807,J807))))</x:f>
        <x:v>6</x:v>
      </x:c>
      <x:c r="P807" s="22" t="n">
        <x:f>IF(T807="Ready",MIN(U807,MAX(0,G807-SUMIFS($U$807:$U$811,$O$807:$O$811,"&lt;"&amp;O807))),"n.a.")</x:f>
        <x:v>0</x:v>
      </x:c>
      <x:c r="Q807" s="22" t="n">
        <x:f>IF(T807="Ready",ROUND(N807+P807,2),"n.a.")</x:f>
        <x:v>0</x:v>
      </x:c>
      <x:c r="R807" s="22" t="n">
        <x:f>IF(T807="Ready",ROUND(Q807-M807,2),"n.a.")</x:f>
        <x:v>0</x:v>
      </x:c>
      <x:c r="S807" s="22" t="n">
        <x:f>IF(T807="Ready",MAX(0,ROUND(I807+M807-Q807,2)),"n.a.")</x:f>
        <x:v>0</x:v>
      </x:c>
      <x:c r="T807" s="22" t="str">
        <x:f>IF(AND(COUNT($I$807:$I$811)=5,COUNT(E807:F807)=2),IF(E807&gt;=F807,"Ready","Budget below minima"),"Check inputs")</x:f>
        <x:v>Ready</x:v>
      </x:c>
      <x:c r="U807" s="22" t="n">
        <x:f>IF(COUNT(I807,M807,N807)=3,MAX(0,ROUND(I807+M807-N807,2)),"n.a.")</x:f>
        <x:v>0</x:v>
      </x:c>
    </x:row>
    <x:row r="808" ht="22" customHeight="1">
      <x:c r="A808" s="2"/>
      <x:c r="B808" s="2"/>
      <x:c r="C808" s="27" t="n">
        <x:f>161</x:f>
        <x:v>161</x:v>
      </x:c>
      <x:c r="D808" s="28" t="n">
        <x:f>IF(ISNUMBER('Inputs'!$D$7),EDATE('Inputs'!$D$7,160),"n.a.")</x:f>
        <x:v>51196</x:v>
      </x:c>
      <x:c r="E808" s="26" t="n">
        <x:f>IF('Inputs'!$D$9&lt;&gt;"Ready","n.a.",IF(ISNUMBER('Inputs'!E179),IF('Inputs'!E179&gt;=0,'Inputs'!E179,"n.a."),IF('Inputs'!E179="",'Inputs'!$D$6,"n.a.")))</x:f>
        <x:v>500</x:v>
      </x:c>
      <x:c r="F808" s="22" t="n">
        <x:f>IF(COUNT($N$807:$N$811)=5,SUM($N$807:$N$811),"n.a.")</x:f>
        <x:v>0</x:v>
      </x:c>
      <x:c r="G808" s="22" t="n">
        <x:f>IF(COUNT(E808:F808)=2,MAX(0,E808-F808),"n.a.")</x:f>
        <x:v>500</x:v>
      </x:c>
      <x:c r="H808" s="26" t="str">
        <x:f>'Inputs'!C12</x:f>
        <x:v>Card B</x:v>
      </x:c>
      <x:c r="I808" s="26" t="n">
        <x:f>S803</x:f>
        <x:v>0</x:v>
      </x:c>
      <x:c r="J808" s="29" t="n">
        <x:f>IF('Inputs'!$D$9="Ready",'Inputs'!E12,"n.a.")</x:f>
        <x:v>0.18</x:v>
      </x:c>
      <x:c r="K808" s="26" t="n">
        <x:f>IF('Inputs'!$D$9="Ready",'Inputs'!F12,"n.a.")</x:f>
        <x:v>60</x:v>
      </x:c>
      <x:c r="L808" s="29" t="n">
        <x:f>IF('Inputs'!$D$9="Ready",'Inputs'!G12,"n.a.")</x:f>
        <x:v>0.02</x:v>
      </x:c>
      <x:c r="M808" s="22" t="n">
        <x:f>IF(COUNT(I808:L808)=4,ROUND(I808*J808/12,2),"n.a.")</x:f>
        <x:v>0</x:v>
      </x:c>
      <x:c r="N808" s="22" t="n">
        <x:f>IF(COUNT(I808:M808)=5,MIN(I808+M808,ROUND(MAX(K808,I808*L808+M808),2)),"n.a.")</x:f>
        <x:v>0</x:v>
      </x:c>
      <x:c r="O808" s="30" t="n">
        <x:f>IF(COUNT($I$807:$I$811)&lt;&gt;5,"n.a.",IF(I808=0,6,IF('Inputs'!$D$5=1,COUNTIFS($I$807:$I$811,"&gt;0",$I$807:$I$811,"&lt;"&amp;I808)+COUNTIFS($I$807:I808,I808),COUNTIFS($I$807:$I$811,"&gt;0",$J$807:$J$811,"&gt;"&amp;J808)+COUNTIFS($I$807:I808,"&gt;0",$J$807:J808,J808))))</x:f>
        <x:v>6</x:v>
      </x:c>
      <x:c r="P808" s="22" t="n">
        <x:f>IF(T808="Ready",MIN(U808,MAX(0,G808-SUMIFS($U$807:$U$811,$O$807:$O$811,"&lt;"&amp;O808))),"n.a.")</x:f>
        <x:v>0</x:v>
      </x:c>
      <x:c r="Q808" s="22" t="n">
        <x:f>IF(T808="Ready",ROUND(N808+P808,2),"n.a.")</x:f>
        <x:v>0</x:v>
      </x:c>
      <x:c r="R808" s="22" t="n">
        <x:f>IF(T808="Ready",ROUND(Q808-M808,2),"n.a.")</x:f>
        <x:v>0</x:v>
      </x:c>
      <x:c r="S808" s="22" t="n">
        <x:f>IF(T808="Ready",MAX(0,ROUND(I808+M808-Q808,2)),"n.a.")</x:f>
        <x:v>0</x:v>
      </x:c>
      <x:c r="T808" s="22" t="str">
        <x:f>IF(AND(COUNT($I$807:$I$811)=5,COUNT(E808:F808)=2),IF(E808&gt;=F808,"Ready","Budget below minima"),"Check inputs")</x:f>
        <x:v>Ready</x:v>
      </x:c>
      <x:c r="U808" s="22" t="n">
        <x:f>IF(COUNT(I808,M808,N808)=3,MAX(0,ROUND(I808+M808-N808,2)),"n.a.")</x:f>
        <x:v>0</x:v>
      </x:c>
    </x:row>
    <x:row r="809" ht="22" customHeight="1">
      <x:c r="A809" s="2"/>
      <x:c r="B809" s="2"/>
      <x:c r="C809" s="27" t="n">
        <x:f>161</x:f>
        <x:v>161</x:v>
      </x:c>
      <x:c r="D809" s="28" t="n">
        <x:f>IF(ISNUMBER('Inputs'!$D$7),EDATE('Inputs'!$D$7,160),"n.a.")</x:f>
        <x:v>51196</x:v>
      </x:c>
      <x:c r="E809" s="26" t="n">
        <x:f>IF('Inputs'!$D$9&lt;&gt;"Ready","n.a.",IF(ISNUMBER('Inputs'!E179),IF('Inputs'!E179&gt;=0,'Inputs'!E179,"n.a."),IF('Inputs'!E179="",'Inputs'!$D$6,"n.a.")))</x:f>
        <x:v>500</x:v>
      </x:c>
      <x:c r="F809" s="22" t="n">
        <x:f>IF(COUNT($N$807:$N$811)=5,SUM($N$807:$N$811),"n.a.")</x:f>
        <x:v>0</x:v>
      </x:c>
      <x:c r="G809" s="22" t="n">
        <x:f>IF(COUNT(E809:F809)=2,MAX(0,E809-F809),"n.a.")</x:f>
        <x:v>500</x:v>
      </x:c>
      <x:c r="H809" s="26" t="str">
        <x:f>'Inputs'!C13</x:f>
        <x:v>Loan C</x:v>
      </x:c>
      <x:c r="I809" s="26" t="n">
        <x:f>S804</x:f>
        <x:v>0</x:v>
      </x:c>
      <x:c r="J809" s="29" t="n">
        <x:f>IF('Inputs'!$D$9="Ready",'Inputs'!E13,"n.a.")</x:f>
        <x:v>0.08</x:v>
      </x:c>
      <x:c r="K809" s="26" t="n">
        <x:f>IF('Inputs'!$D$9="Ready",'Inputs'!F13,"n.a.")</x:f>
        <x:v>150</x:v>
      </x:c>
      <x:c r="L809" s="29" t="n">
        <x:f>IF('Inputs'!$D$9="Ready",'Inputs'!G13,"n.a.")</x:f>
        <x:v>0</x:v>
      </x:c>
      <x:c r="M809" s="22" t="n">
        <x:f>IF(COUNT(I809:L809)=4,ROUND(I809*J809/12,2),"n.a.")</x:f>
        <x:v>0</x:v>
      </x:c>
      <x:c r="N809" s="22" t="n">
        <x:f>IF(COUNT(I809:M809)=5,MIN(I809+M809,ROUND(MAX(K809,I809*L809+M809),2)),"n.a.")</x:f>
        <x:v>0</x:v>
      </x:c>
      <x:c r="O809" s="30" t="n">
        <x:f>IF(COUNT($I$807:$I$811)&lt;&gt;5,"n.a.",IF(I809=0,6,IF('Inputs'!$D$5=1,COUNTIFS($I$807:$I$811,"&gt;0",$I$807:$I$811,"&lt;"&amp;I809)+COUNTIFS($I$807:I809,I809),COUNTIFS($I$807:$I$811,"&gt;0",$J$807:$J$811,"&gt;"&amp;J809)+COUNTIFS($I$807:I809,"&gt;0",$J$807:J809,J809))))</x:f>
        <x:v>6</x:v>
      </x:c>
      <x:c r="P809" s="22" t="n">
        <x:f>IF(T809="Ready",MIN(U809,MAX(0,G809-SUMIFS($U$807:$U$811,$O$807:$O$811,"&lt;"&amp;O809))),"n.a.")</x:f>
        <x:v>0</x:v>
      </x:c>
      <x:c r="Q809" s="22" t="n">
        <x:f>IF(T809="Ready",ROUND(N809+P809,2),"n.a.")</x:f>
        <x:v>0</x:v>
      </x:c>
      <x:c r="R809" s="22" t="n">
        <x:f>IF(T809="Ready",ROUND(Q809-M809,2),"n.a.")</x:f>
        <x:v>0</x:v>
      </x:c>
      <x:c r="S809" s="22" t="n">
        <x:f>IF(T809="Ready",MAX(0,ROUND(I809+M809-Q809,2)),"n.a.")</x:f>
        <x:v>0</x:v>
      </x:c>
      <x:c r="T809" s="22" t="str">
        <x:f>IF(AND(COUNT($I$807:$I$811)=5,COUNT(E809:F809)=2),IF(E809&gt;=F809,"Ready","Budget below minima"),"Check inputs")</x:f>
        <x:v>Ready</x:v>
      </x:c>
      <x:c r="U809" s="22" t="n">
        <x:f>IF(COUNT(I809,M809,N809)=3,MAX(0,ROUND(I809+M809-N809,2)),"n.a.")</x:f>
        <x:v>0</x:v>
      </x:c>
    </x:row>
    <x:row r="810" ht="22" customHeight="1">
      <x:c r="A810" s="2"/>
      <x:c r="B810" s="2"/>
      <x:c r="C810" s="27" t="n">
        <x:f>161</x:f>
        <x:v>161</x:v>
      </x:c>
      <x:c r="D810" s="28" t="n">
        <x:f>IF(ISNUMBER('Inputs'!$D$7),EDATE('Inputs'!$D$7,160),"n.a.")</x:f>
        <x:v>51196</x:v>
      </x:c>
      <x:c r="E810" s="26" t="n">
        <x:f>IF('Inputs'!$D$9&lt;&gt;"Ready","n.a.",IF(ISNUMBER('Inputs'!E179),IF('Inputs'!E179&gt;=0,'Inputs'!E179,"n.a."),IF('Inputs'!E179="",'Inputs'!$D$6,"n.a.")))</x:f>
        <x:v>500</x:v>
      </x:c>
      <x:c r="F810" s="22" t="n">
        <x:f>IF(COUNT($N$807:$N$811)=5,SUM($N$807:$N$811),"n.a.")</x:f>
        <x:v>0</x:v>
      </x:c>
      <x:c r="G810" s="22" t="n">
        <x:f>IF(COUNT(E810:F810)=2,MAX(0,E810-F810),"n.a.")</x:f>
        <x:v>500</x:v>
      </x:c>
      <x:c r="H810" s="26" t="str">
        <x:f>'Inputs'!C14</x:f>
        <x:v>Unused 4</x:v>
      </x:c>
      <x:c r="I810" s="26" t="n">
        <x:f>S805</x:f>
        <x:v>0</x:v>
      </x:c>
      <x:c r="J810" s="29" t="n">
        <x:f>IF('Inputs'!$D$9="Ready",'Inputs'!E14,"n.a.")</x:f>
        <x:v>0</x:v>
      </x:c>
      <x:c r="K810" s="26" t="n">
        <x:f>IF('Inputs'!$D$9="Ready",'Inputs'!F14,"n.a.")</x:f>
        <x:v>0</x:v>
      </x:c>
      <x:c r="L810" s="29" t="n">
        <x:f>IF('Inputs'!$D$9="Ready",'Inputs'!G14,"n.a.")</x:f>
        <x:v>0</x:v>
      </x:c>
      <x:c r="M810" s="22" t="n">
        <x:f>IF(COUNT(I810:L810)=4,ROUND(I810*J810/12,2),"n.a.")</x:f>
        <x:v>0</x:v>
      </x:c>
      <x:c r="N810" s="22" t="n">
        <x:f>IF(COUNT(I810:M810)=5,MIN(I810+M810,ROUND(MAX(K810,I810*L810+M810),2)),"n.a.")</x:f>
        <x:v>0</x:v>
      </x:c>
      <x:c r="O810" s="30" t="n">
        <x:f>IF(COUNT($I$807:$I$811)&lt;&gt;5,"n.a.",IF(I810=0,6,IF('Inputs'!$D$5=1,COUNTIFS($I$807:$I$811,"&gt;0",$I$807:$I$811,"&lt;"&amp;I810)+COUNTIFS($I$807:I810,I810),COUNTIFS($I$807:$I$811,"&gt;0",$J$807:$J$811,"&gt;"&amp;J810)+COUNTIFS($I$807:I810,"&gt;0",$J$807:J810,J810))))</x:f>
        <x:v>6</x:v>
      </x:c>
      <x:c r="P810" s="22" t="n">
        <x:f>IF(T810="Ready",MIN(U810,MAX(0,G810-SUMIFS($U$807:$U$811,$O$807:$O$811,"&lt;"&amp;O810))),"n.a.")</x:f>
        <x:v>0</x:v>
      </x:c>
      <x:c r="Q810" s="22" t="n">
        <x:f>IF(T810="Ready",ROUND(N810+P810,2),"n.a.")</x:f>
        <x:v>0</x:v>
      </x:c>
      <x:c r="R810" s="22" t="n">
        <x:f>IF(T810="Ready",ROUND(Q810-M810,2),"n.a.")</x:f>
        <x:v>0</x:v>
      </x:c>
      <x:c r="S810" s="22" t="n">
        <x:f>IF(T810="Ready",MAX(0,ROUND(I810+M810-Q810,2)),"n.a.")</x:f>
        <x:v>0</x:v>
      </x:c>
      <x:c r="T810" s="22" t="str">
        <x:f>IF(AND(COUNT($I$807:$I$811)=5,COUNT(E810:F810)=2),IF(E810&gt;=F810,"Ready","Budget below minima"),"Check inputs")</x:f>
        <x:v>Ready</x:v>
      </x:c>
      <x:c r="U810" s="22" t="n">
        <x:f>IF(COUNT(I810,M810,N810)=3,MAX(0,ROUND(I810+M810-N810,2)),"n.a.")</x:f>
        <x:v>0</x:v>
      </x:c>
    </x:row>
    <x:row r="811" ht="22" customHeight="1">
      <x:c r="A811" s="2"/>
      <x:c r="B811" s="2"/>
      <x:c r="C811" s="27" t="n">
        <x:f>161</x:f>
        <x:v>161</x:v>
      </x:c>
      <x:c r="D811" s="28" t="n">
        <x:f>IF(ISNUMBER('Inputs'!$D$7),EDATE('Inputs'!$D$7,160),"n.a.")</x:f>
        <x:v>51196</x:v>
      </x:c>
      <x:c r="E811" s="26" t="n">
        <x:f>IF('Inputs'!$D$9&lt;&gt;"Ready","n.a.",IF(ISNUMBER('Inputs'!E179),IF('Inputs'!E179&gt;=0,'Inputs'!E179,"n.a."),IF('Inputs'!E179="",'Inputs'!$D$6,"n.a.")))</x:f>
        <x:v>500</x:v>
      </x:c>
      <x:c r="F811" s="22" t="n">
        <x:f>IF(COUNT($N$807:$N$811)=5,SUM($N$807:$N$811),"n.a.")</x:f>
        <x:v>0</x:v>
      </x:c>
      <x:c r="G811" s="22" t="n">
        <x:f>IF(COUNT(E811:F811)=2,MAX(0,E811-F811),"n.a.")</x:f>
        <x:v>500</x:v>
      </x:c>
      <x:c r="H811" s="26" t="str">
        <x:f>'Inputs'!C15</x:f>
        <x:v>Unused 5</x:v>
      </x:c>
      <x:c r="I811" s="26" t="n">
        <x:f>S806</x:f>
        <x:v>0</x:v>
      </x:c>
      <x:c r="J811" s="29" t="n">
        <x:f>IF('Inputs'!$D$9="Ready",'Inputs'!E15,"n.a.")</x:f>
        <x:v>0</x:v>
      </x:c>
      <x:c r="K811" s="26" t="n">
        <x:f>IF('Inputs'!$D$9="Ready",'Inputs'!F15,"n.a.")</x:f>
        <x:v>0</x:v>
      </x:c>
      <x:c r="L811" s="29" t="n">
        <x:f>IF('Inputs'!$D$9="Ready",'Inputs'!G15,"n.a.")</x:f>
        <x:v>0</x:v>
      </x:c>
      <x:c r="M811" s="22" t="n">
        <x:f>IF(COUNT(I811:L811)=4,ROUND(I811*J811/12,2),"n.a.")</x:f>
        <x:v>0</x:v>
      </x:c>
      <x:c r="N811" s="22" t="n">
        <x:f>IF(COUNT(I811:M811)=5,MIN(I811+M811,ROUND(MAX(K811,I811*L811+M811),2)),"n.a.")</x:f>
        <x:v>0</x:v>
      </x:c>
      <x:c r="O811" s="30" t="n">
        <x:f>IF(COUNT($I$807:$I$811)&lt;&gt;5,"n.a.",IF(I811=0,6,IF('Inputs'!$D$5=1,COUNTIFS($I$807:$I$811,"&gt;0",$I$807:$I$811,"&lt;"&amp;I811)+COUNTIFS($I$807:I811,I811),COUNTIFS($I$807:$I$811,"&gt;0",$J$807:$J$811,"&gt;"&amp;J811)+COUNTIFS($I$807:I811,"&gt;0",$J$807:J811,J811))))</x:f>
        <x:v>6</x:v>
      </x:c>
      <x:c r="P811" s="22" t="n">
        <x:f>IF(T811="Ready",MIN(U811,MAX(0,G811-SUMIFS($U$807:$U$811,$O$807:$O$811,"&lt;"&amp;O811))),"n.a.")</x:f>
        <x:v>0</x:v>
      </x:c>
      <x:c r="Q811" s="22" t="n">
        <x:f>IF(T811="Ready",ROUND(N811+P811,2),"n.a.")</x:f>
        <x:v>0</x:v>
      </x:c>
      <x:c r="R811" s="22" t="n">
        <x:f>IF(T811="Ready",ROUND(Q811-M811,2),"n.a.")</x:f>
        <x:v>0</x:v>
      </x:c>
      <x:c r="S811" s="22" t="n">
        <x:f>IF(T811="Ready",MAX(0,ROUND(I811+M811-Q811,2)),"n.a.")</x:f>
        <x:v>0</x:v>
      </x:c>
      <x:c r="T811" s="22" t="str">
        <x:f>IF(AND(COUNT($I$807:$I$811)=5,COUNT(E811:F811)=2),IF(E811&gt;=F811,"Ready","Budget below minima"),"Check inputs")</x:f>
        <x:v>Ready</x:v>
      </x:c>
      <x:c r="U811" s="22" t="n">
        <x:f>IF(COUNT(I811,M811,N811)=3,MAX(0,ROUND(I811+M811-N811,2)),"n.a.")</x:f>
        <x:v>0</x:v>
      </x:c>
    </x:row>
    <x:row r="812" ht="22" customHeight="1">
      <x:c r="A812" s="2"/>
      <x:c r="B812" s="2"/>
      <x:c r="C812" s="27" t="n">
        <x:f>162</x:f>
        <x:v>162</x:v>
      </x:c>
      <x:c r="D812" s="28" t="n">
        <x:f>IF(ISNUMBER('Inputs'!$D$7),EDATE('Inputs'!$D$7,161),"n.a.")</x:f>
        <x:v>51227</x:v>
      </x:c>
      <x:c r="E812" s="26" t="n">
        <x:f>IF('Inputs'!$D$9&lt;&gt;"Ready","n.a.",IF(ISNUMBER('Inputs'!E180),IF('Inputs'!E180&gt;=0,'Inputs'!E180,"n.a."),IF('Inputs'!E180="",'Inputs'!$D$6,"n.a.")))</x:f>
        <x:v>500</x:v>
      </x:c>
      <x:c r="F812" s="22" t="n">
        <x:f>IF(COUNT($N$812:$N$816)=5,SUM($N$812:$N$816),"n.a.")</x:f>
        <x:v>0</x:v>
      </x:c>
      <x:c r="G812" s="22" t="n">
        <x:f>IF(COUNT(E812:F812)=2,MAX(0,E812-F812),"n.a.")</x:f>
        <x:v>500</x:v>
      </x:c>
      <x:c r="H812" s="26" t="str">
        <x:f>'Inputs'!C11</x:f>
        <x:v>Card A</x:v>
      </x:c>
      <x:c r="I812" s="26" t="n">
        <x:f>S807</x:f>
        <x:v>0</x:v>
      </x:c>
      <x:c r="J812" s="29" t="n">
        <x:f>IF('Inputs'!$D$9="Ready",'Inputs'!E11,"n.a.")</x:f>
        <x:v>0.24</x:v>
      </x:c>
      <x:c r="K812" s="26" t="n">
        <x:f>IF('Inputs'!$D$9="Ready",'Inputs'!F11,"n.a.")</x:f>
        <x:v>35</x:v>
      </x:c>
      <x:c r="L812" s="29" t="n">
        <x:f>IF('Inputs'!$D$9="Ready",'Inputs'!G11,"n.a.")</x:f>
        <x:v>0.02</x:v>
      </x:c>
      <x:c r="M812" s="22" t="n">
        <x:f>IF(COUNT(I812:L812)=4,ROUND(I812*J812/12,2),"n.a.")</x:f>
        <x:v>0</x:v>
      </x:c>
      <x:c r="N812" s="22" t="n">
        <x:f>IF(COUNT(I812:M812)=5,MIN(I812+M812,ROUND(MAX(K812,I812*L812+M812),2)),"n.a.")</x:f>
        <x:v>0</x:v>
      </x:c>
      <x:c r="O812" s="30" t="n">
        <x:f>IF(COUNT($I$812:$I$816)&lt;&gt;5,"n.a.",IF(I812=0,6,IF('Inputs'!$D$5=1,COUNTIFS($I$812:$I$816,"&gt;0",$I$812:$I$816,"&lt;"&amp;I812)+COUNTIFS($I$812:I812,I812),COUNTIFS($I$812:$I$816,"&gt;0",$J$812:$J$816,"&gt;"&amp;J812)+COUNTIFS($I$812:I812,"&gt;0",$J$812:J812,J812))))</x:f>
        <x:v>6</x:v>
      </x:c>
      <x:c r="P812" s="22" t="n">
        <x:f>IF(T812="Ready",MIN(U812,MAX(0,G812-SUMIFS($U$812:$U$816,$O$812:$O$816,"&lt;"&amp;O812))),"n.a.")</x:f>
        <x:v>0</x:v>
      </x:c>
      <x:c r="Q812" s="22" t="n">
        <x:f>IF(T812="Ready",ROUND(N812+P812,2),"n.a.")</x:f>
        <x:v>0</x:v>
      </x:c>
      <x:c r="R812" s="22" t="n">
        <x:f>IF(T812="Ready",ROUND(Q812-M812,2),"n.a.")</x:f>
        <x:v>0</x:v>
      </x:c>
      <x:c r="S812" s="22" t="n">
        <x:f>IF(T812="Ready",MAX(0,ROUND(I812+M812-Q812,2)),"n.a.")</x:f>
        <x:v>0</x:v>
      </x:c>
      <x:c r="T812" s="22" t="str">
        <x:f>IF(AND(COUNT($I$812:$I$816)=5,COUNT(E812:F812)=2),IF(E812&gt;=F812,"Ready","Budget below minima"),"Check inputs")</x:f>
        <x:v>Ready</x:v>
      </x:c>
      <x:c r="U812" s="22" t="n">
        <x:f>IF(COUNT(I812,M812,N812)=3,MAX(0,ROUND(I812+M812-N812,2)),"n.a.")</x:f>
        <x:v>0</x:v>
      </x:c>
    </x:row>
    <x:row r="813" ht="22" customHeight="1">
      <x:c r="A813" s="2"/>
      <x:c r="B813" s="2"/>
      <x:c r="C813" s="27" t="n">
        <x:f>162</x:f>
        <x:v>162</x:v>
      </x:c>
      <x:c r="D813" s="28" t="n">
        <x:f>IF(ISNUMBER('Inputs'!$D$7),EDATE('Inputs'!$D$7,161),"n.a.")</x:f>
        <x:v>51227</x:v>
      </x:c>
      <x:c r="E813" s="26" t="n">
        <x:f>IF('Inputs'!$D$9&lt;&gt;"Ready","n.a.",IF(ISNUMBER('Inputs'!E180),IF('Inputs'!E180&gt;=0,'Inputs'!E180,"n.a."),IF('Inputs'!E180="",'Inputs'!$D$6,"n.a.")))</x:f>
        <x:v>500</x:v>
      </x:c>
      <x:c r="F813" s="22" t="n">
        <x:f>IF(COUNT($N$812:$N$816)=5,SUM($N$812:$N$816),"n.a.")</x:f>
        <x:v>0</x:v>
      </x:c>
      <x:c r="G813" s="22" t="n">
        <x:f>IF(COUNT(E813:F813)=2,MAX(0,E813-F813),"n.a.")</x:f>
        <x:v>500</x:v>
      </x:c>
      <x:c r="H813" s="26" t="str">
        <x:f>'Inputs'!C12</x:f>
        <x:v>Card B</x:v>
      </x:c>
      <x:c r="I813" s="26" t="n">
        <x:f>S808</x:f>
        <x:v>0</x:v>
      </x:c>
      <x:c r="J813" s="29" t="n">
        <x:f>IF('Inputs'!$D$9="Ready",'Inputs'!E12,"n.a.")</x:f>
        <x:v>0.18</x:v>
      </x:c>
      <x:c r="K813" s="26" t="n">
        <x:f>IF('Inputs'!$D$9="Ready",'Inputs'!F12,"n.a.")</x:f>
        <x:v>60</x:v>
      </x:c>
      <x:c r="L813" s="29" t="n">
        <x:f>IF('Inputs'!$D$9="Ready",'Inputs'!G12,"n.a.")</x:f>
        <x:v>0.02</x:v>
      </x:c>
      <x:c r="M813" s="22" t="n">
        <x:f>IF(COUNT(I813:L813)=4,ROUND(I813*J813/12,2),"n.a.")</x:f>
        <x:v>0</x:v>
      </x:c>
      <x:c r="N813" s="22" t="n">
        <x:f>IF(COUNT(I813:M813)=5,MIN(I813+M813,ROUND(MAX(K813,I813*L813+M813),2)),"n.a.")</x:f>
        <x:v>0</x:v>
      </x:c>
      <x:c r="O813" s="30" t="n">
        <x:f>IF(COUNT($I$812:$I$816)&lt;&gt;5,"n.a.",IF(I813=0,6,IF('Inputs'!$D$5=1,COUNTIFS($I$812:$I$816,"&gt;0",$I$812:$I$816,"&lt;"&amp;I813)+COUNTIFS($I$812:I813,I813),COUNTIFS($I$812:$I$816,"&gt;0",$J$812:$J$816,"&gt;"&amp;J813)+COUNTIFS($I$812:I813,"&gt;0",$J$812:J813,J813))))</x:f>
        <x:v>6</x:v>
      </x:c>
      <x:c r="P813" s="22" t="n">
        <x:f>IF(T813="Ready",MIN(U813,MAX(0,G813-SUMIFS($U$812:$U$816,$O$812:$O$816,"&lt;"&amp;O813))),"n.a.")</x:f>
        <x:v>0</x:v>
      </x:c>
      <x:c r="Q813" s="22" t="n">
        <x:f>IF(T813="Ready",ROUND(N813+P813,2),"n.a.")</x:f>
        <x:v>0</x:v>
      </x:c>
      <x:c r="R813" s="22" t="n">
        <x:f>IF(T813="Ready",ROUND(Q813-M813,2),"n.a.")</x:f>
        <x:v>0</x:v>
      </x:c>
      <x:c r="S813" s="22" t="n">
        <x:f>IF(T813="Ready",MAX(0,ROUND(I813+M813-Q813,2)),"n.a.")</x:f>
        <x:v>0</x:v>
      </x:c>
      <x:c r="T813" s="22" t="str">
        <x:f>IF(AND(COUNT($I$812:$I$816)=5,COUNT(E813:F813)=2),IF(E813&gt;=F813,"Ready","Budget below minima"),"Check inputs")</x:f>
        <x:v>Ready</x:v>
      </x:c>
      <x:c r="U813" s="22" t="n">
        <x:f>IF(COUNT(I813,M813,N813)=3,MAX(0,ROUND(I813+M813-N813,2)),"n.a.")</x:f>
        <x:v>0</x:v>
      </x:c>
    </x:row>
    <x:row r="814" ht="22" customHeight="1">
      <x:c r="A814" s="2"/>
      <x:c r="B814" s="2"/>
      <x:c r="C814" s="27" t="n">
        <x:f>162</x:f>
        <x:v>162</x:v>
      </x:c>
      <x:c r="D814" s="28" t="n">
        <x:f>IF(ISNUMBER('Inputs'!$D$7),EDATE('Inputs'!$D$7,161),"n.a.")</x:f>
        <x:v>51227</x:v>
      </x:c>
      <x:c r="E814" s="26" t="n">
        <x:f>IF('Inputs'!$D$9&lt;&gt;"Ready","n.a.",IF(ISNUMBER('Inputs'!E180),IF('Inputs'!E180&gt;=0,'Inputs'!E180,"n.a."),IF('Inputs'!E180="",'Inputs'!$D$6,"n.a.")))</x:f>
        <x:v>500</x:v>
      </x:c>
      <x:c r="F814" s="22" t="n">
        <x:f>IF(COUNT($N$812:$N$816)=5,SUM($N$812:$N$816),"n.a.")</x:f>
        <x:v>0</x:v>
      </x:c>
      <x:c r="G814" s="22" t="n">
        <x:f>IF(COUNT(E814:F814)=2,MAX(0,E814-F814),"n.a.")</x:f>
        <x:v>500</x:v>
      </x:c>
      <x:c r="H814" s="26" t="str">
        <x:f>'Inputs'!C13</x:f>
        <x:v>Loan C</x:v>
      </x:c>
      <x:c r="I814" s="26" t="n">
        <x:f>S809</x:f>
        <x:v>0</x:v>
      </x:c>
      <x:c r="J814" s="29" t="n">
        <x:f>IF('Inputs'!$D$9="Ready",'Inputs'!E13,"n.a.")</x:f>
        <x:v>0.08</x:v>
      </x:c>
      <x:c r="K814" s="26" t="n">
        <x:f>IF('Inputs'!$D$9="Ready",'Inputs'!F13,"n.a.")</x:f>
        <x:v>150</x:v>
      </x:c>
      <x:c r="L814" s="29" t="n">
        <x:f>IF('Inputs'!$D$9="Ready",'Inputs'!G13,"n.a.")</x:f>
        <x:v>0</x:v>
      </x:c>
      <x:c r="M814" s="22" t="n">
        <x:f>IF(COUNT(I814:L814)=4,ROUND(I814*J814/12,2),"n.a.")</x:f>
        <x:v>0</x:v>
      </x:c>
      <x:c r="N814" s="22" t="n">
        <x:f>IF(COUNT(I814:M814)=5,MIN(I814+M814,ROUND(MAX(K814,I814*L814+M814),2)),"n.a.")</x:f>
        <x:v>0</x:v>
      </x:c>
      <x:c r="O814" s="30" t="n">
        <x:f>IF(COUNT($I$812:$I$816)&lt;&gt;5,"n.a.",IF(I814=0,6,IF('Inputs'!$D$5=1,COUNTIFS($I$812:$I$816,"&gt;0",$I$812:$I$816,"&lt;"&amp;I814)+COUNTIFS($I$812:I814,I814),COUNTIFS($I$812:$I$816,"&gt;0",$J$812:$J$816,"&gt;"&amp;J814)+COUNTIFS($I$812:I814,"&gt;0",$J$812:J814,J814))))</x:f>
        <x:v>6</x:v>
      </x:c>
      <x:c r="P814" s="22" t="n">
        <x:f>IF(T814="Ready",MIN(U814,MAX(0,G814-SUMIFS($U$812:$U$816,$O$812:$O$816,"&lt;"&amp;O814))),"n.a.")</x:f>
        <x:v>0</x:v>
      </x:c>
      <x:c r="Q814" s="22" t="n">
        <x:f>IF(T814="Ready",ROUND(N814+P814,2),"n.a.")</x:f>
        <x:v>0</x:v>
      </x:c>
      <x:c r="R814" s="22" t="n">
        <x:f>IF(T814="Ready",ROUND(Q814-M814,2),"n.a.")</x:f>
        <x:v>0</x:v>
      </x:c>
      <x:c r="S814" s="22" t="n">
        <x:f>IF(T814="Ready",MAX(0,ROUND(I814+M814-Q814,2)),"n.a.")</x:f>
        <x:v>0</x:v>
      </x:c>
      <x:c r="T814" s="22" t="str">
        <x:f>IF(AND(COUNT($I$812:$I$816)=5,COUNT(E814:F814)=2),IF(E814&gt;=F814,"Ready","Budget below minima"),"Check inputs")</x:f>
        <x:v>Ready</x:v>
      </x:c>
      <x:c r="U814" s="22" t="n">
        <x:f>IF(COUNT(I814,M814,N814)=3,MAX(0,ROUND(I814+M814-N814,2)),"n.a.")</x:f>
        <x:v>0</x:v>
      </x:c>
    </x:row>
    <x:row r="815" ht="22" customHeight="1">
      <x:c r="A815" s="2"/>
      <x:c r="B815" s="2"/>
      <x:c r="C815" s="27" t="n">
        <x:f>162</x:f>
        <x:v>162</x:v>
      </x:c>
      <x:c r="D815" s="28" t="n">
        <x:f>IF(ISNUMBER('Inputs'!$D$7),EDATE('Inputs'!$D$7,161),"n.a.")</x:f>
        <x:v>51227</x:v>
      </x:c>
      <x:c r="E815" s="26" t="n">
        <x:f>IF('Inputs'!$D$9&lt;&gt;"Ready","n.a.",IF(ISNUMBER('Inputs'!E180),IF('Inputs'!E180&gt;=0,'Inputs'!E180,"n.a."),IF('Inputs'!E180="",'Inputs'!$D$6,"n.a.")))</x:f>
        <x:v>500</x:v>
      </x:c>
      <x:c r="F815" s="22" t="n">
        <x:f>IF(COUNT($N$812:$N$816)=5,SUM($N$812:$N$816),"n.a.")</x:f>
        <x:v>0</x:v>
      </x:c>
      <x:c r="G815" s="22" t="n">
        <x:f>IF(COUNT(E815:F815)=2,MAX(0,E815-F815),"n.a.")</x:f>
        <x:v>500</x:v>
      </x:c>
      <x:c r="H815" s="26" t="str">
        <x:f>'Inputs'!C14</x:f>
        <x:v>Unused 4</x:v>
      </x:c>
      <x:c r="I815" s="26" t="n">
        <x:f>S810</x:f>
        <x:v>0</x:v>
      </x:c>
      <x:c r="J815" s="29" t="n">
        <x:f>IF('Inputs'!$D$9="Ready",'Inputs'!E14,"n.a.")</x:f>
        <x:v>0</x:v>
      </x:c>
      <x:c r="K815" s="26" t="n">
        <x:f>IF('Inputs'!$D$9="Ready",'Inputs'!F14,"n.a.")</x:f>
        <x:v>0</x:v>
      </x:c>
      <x:c r="L815" s="29" t="n">
        <x:f>IF('Inputs'!$D$9="Ready",'Inputs'!G14,"n.a.")</x:f>
        <x:v>0</x:v>
      </x:c>
      <x:c r="M815" s="22" t="n">
        <x:f>IF(COUNT(I815:L815)=4,ROUND(I815*J815/12,2),"n.a.")</x:f>
        <x:v>0</x:v>
      </x:c>
      <x:c r="N815" s="22" t="n">
        <x:f>IF(COUNT(I815:M815)=5,MIN(I815+M815,ROUND(MAX(K815,I815*L815+M815),2)),"n.a.")</x:f>
        <x:v>0</x:v>
      </x:c>
      <x:c r="O815" s="30" t="n">
        <x:f>IF(COUNT($I$812:$I$816)&lt;&gt;5,"n.a.",IF(I815=0,6,IF('Inputs'!$D$5=1,COUNTIFS($I$812:$I$816,"&gt;0",$I$812:$I$816,"&lt;"&amp;I815)+COUNTIFS($I$812:I815,I815),COUNTIFS($I$812:$I$816,"&gt;0",$J$812:$J$816,"&gt;"&amp;J815)+COUNTIFS($I$812:I815,"&gt;0",$J$812:J815,J815))))</x:f>
        <x:v>6</x:v>
      </x:c>
      <x:c r="P815" s="22" t="n">
        <x:f>IF(T815="Ready",MIN(U815,MAX(0,G815-SUMIFS($U$812:$U$816,$O$812:$O$816,"&lt;"&amp;O815))),"n.a.")</x:f>
        <x:v>0</x:v>
      </x:c>
      <x:c r="Q815" s="22" t="n">
        <x:f>IF(T815="Ready",ROUND(N815+P815,2),"n.a.")</x:f>
        <x:v>0</x:v>
      </x:c>
      <x:c r="R815" s="22" t="n">
        <x:f>IF(T815="Ready",ROUND(Q815-M815,2),"n.a.")</x:f>
        <x:v>0</x:v>
      </x:c>
      <x:c r="S815" s="22" t="n">
        <x:f>IF(T815="Ready",MAX(0,ROUND(I815+M815-Q815,2)),"n.a.")</x:f>
        <x:v>0</x:v>
      </x:c>
      <x:c r="T815" s="22" t="str">
        <x:f>IF(AND(COUNT($I$812:$I$816)=5,COUNT(E815:F815)=2),IF(E815&gt;=F815,"Ready","Budget below minima"),"Check inputs")</x:f>
        <x:v>Ready</x:v>
      </x:c>
      <x:c r="U815" s="22" t="n">
        <x:f>IF(COUNT(I815,M815,N815)=3,MAX(0,ROUND(I815+M815-N815,2)),"n.a.")</x:f>
        <x:v>0</x:v>
      </x:c>
    </x:row>
    <x:row r="816" ht="22" customHeight="1">
      <x:c r="A816" s="2"/>
      <x:c r="B816" s="2"/>
      <x:c r="C816" s="27" t="n">
        <x:f>162</x:f>
        <x:v>162</x:v>
      </x:c>
      <x:c r="D816" s="28" t="n">
        <x:f>IF(ISNUMBER('Inputs'!$D$7),EDATE('Inputs'!$D$7,161),"n.a.")</x:f>
        <x:v>51227</x:v>
      </x:c>
      <x:c r="E816" s="26" t="n">
        <x:f>IF('Inputs'!$D$9&lt;&gt;"Ready","n.a.",IF(ISNUMBER('Inputs'!E180),IF('Inputs'!E180&gt;=0,'Inputs'!E180,"n.a."),IF('Inputs'!E180="",'Inputs'!$D$6,"n.a.")))</x:f>
        <x:v>500</x:v>
      </x:c>
      <x:c r="F816" s="22" t="n">
        <x:f>IF(COUNT($N$812:$N$816)=5,SUM($N$812:$N$816),"n.a.")</x:f>
        <x:v>0</x:v>
      </x:c>
      <x:c r="G816" s="22" t="n">
        <x:f>IF(COUNT(E816:F816)=2,MAX(0,E816-F816),"n.a.")</x:f>
        <x:v>500</x:v>
      </x:c>
      <x:c r="H816" s="26" t="str">
        <x:f>'Inputs'!C15</x:f>
        <x:v>Unused 5</x:v>
      </x:c>
      <x:c r="I816" s="26" t="n">
        <x:f>S811</x:f>
        <x:v>0</x:v>
      </x:c>
      <x:c r="J816" s="29" t="n">
        <x:f>IF('Inputs'!$D$9="Ready",'Inputs'!E15,"n.a.")</x:f>
        <x:v>0</x:v>
      </x:c>
      <x:c r="K816" s="26" t="n">
        <x:f>IF('Inputs'!$D$9="Ready",'Inputs'!F15,"n.a.")</x:f>
        <x:v>0</x:v>
      </x:c>
      <x:c r="L816" s="29" t="n">
        <x:f>IF('Inputs'!$D$9="Ready",'Inputs'!G15,"n.a.")</x:f>
        <x:v>0</x:v>
      </x:c>
      <x:c r="M816" s="22" t="n">
        <x:f>IF(COUNT(I816:L816)=4,ROUND(I816*J816/12,2),"n.a.")</x:f>
        <x:v>0</x:v>
      </x:c>
      <x:c r="N816" s="22" t="n">
        <x:f>IF(COUNT(I816:M816)=5,MIN(I816+M816,ROUND(MAX(K816,I816*L816+M816),2)),"n.a.")</x:f>
        <x:v>0</x:v>
      </x:c>
      <x:c r="O816" s="30" t="n">
        <x:f>IF(COUNT($I$812:$I$816)&lt;&gt;5,"n.a.",IF(I816=0,6,IF('Inputs'!$D$5=1,COUNTIFS($I$812:$I$816,"&gt;0",$I$812:$I$816,"&lt;"&amp;I816)+COUNTIFS($I$812:I816,I816),COUNTIFS($I$812:$I$816,"&gt;0",$J$812:$J$816,"&gt;"&amp;J816)+COUNTIFS($I$812:I816,"&gt;0",$J$812:J816,J816))))</x:f>
        <x:v>6</x:v>
      </x:c>
      <x:c r="P816" s="22" t="n">
        <x:f>IF(T816="Ready",MIN(U816,MAX(0,G816-SUMIFS($U$812:$U$816,$O$812:$O$816,"&lt;"&amp;O816))),"n.a.")</x:f>
        <x:v>0</x:v>
      </x:c>
      <x:c r="Q816" s="22" t="n">
        <x:f>IF(T816="Ready",ROUND(N816+P816,2),"n.a.")</x:f>
        <x:v>0</x:v>
      </x:c>
      <x:c r="R816" s="22" t="n">
        <x:f>IF(T816="Ready",ROUND(Q816-M816,2),"n.a.")</x:f>
        <x:v>0</x:v>
      </x:c>
      <x:c r="S816" s="22" t="n">
        <x:f>IF(T816="Ready",MAX(0,ROUND(I816+M816-Q816,2)),"n.a.")</x:f>
        <x:v>0</x:v>
      </x:c>
      <x:c r="T816" s="22" t="str">
        <x:f>IF(AND(COUNT($I$812:$I$816)=5,COUNT(E816:F816)=2),IF(E816&gt;=F816,"Ready","Budget below minima"),"Check inputs")</x:f>
        <x:v>Ready</x:v>
      </x:c>
      <x:c r="U816" s="22" t="n">
        <x:f>IF(COUNT(I816,M816,N816)=3,MAX(0,ROUND(I816+M816-N816,2)),"n.a.")</x:f>
        <x:v>0</x:v>
      </x:c>
    </x:row>
    <x:row r="817" ht="22" customHeight="1">
      <x:c r="A817" s="2"/>
      <x:c r="B817" s="2"/>
      <x:c r="C817" s="27" t="n">
        <x:f>163</x:f>
        <x:v>163</x:v>
      </x:c>
      <x:c r="D817" s="28" t="n">
        <x:f>IF(ISNUMBER('Inputs'!$D$7),EDATE('Inputs'!$D$7,162),"n.a.")</x:f>
        <x:v>51257</x:v>
      </x:c>
      <x:c r="E817" s="26" t="n">
        <x:f>IF('Inputs'!$D$9&lt;&gt;"Ready","n.a.",IF(ISNUMBER('Inputs'!E181),IF('Inputs'!E181&gt;=0,'Inputs'!E181,"n.a."),IF('Inputs'!E181="",'Inputs'!$D$6,"n.a.")))</x:f>
        <x:v>500</x:v>
      </x:c>
      <x:c r="F817" s="22" t="n">
        <x:f>IF(COUNT($N$817:$N$821)=5,SUM($N$817:$N$821),"n.a.")</x:f>
        <x:v>0</x:v>
      </x:c>
      <x:c r="G817" s="22" t="n">
        <x:f>IF(COUNT(E817:F817)=2,MAX(0,E817-F817),"n.a.")</x:f>
        <x:v>500</x:v>
      </x:c>
      <x:c r="H817" s="26" t="str">
        <x:f>'Inputs'!C11</x:f>
        <x:v>Card A</x:v>
      </x:c>
      <x:c r="I817" s="26" t="n">
        <x:f>S812</x:f>
        <x:v>0</x:v>
      </x:c>
      <x:c r="J817" s="29" t="n">
        <x:f>IF('Inputs'!$D$9="Ready",'Inputs'!E11,"n.a.")</x:f>
        <x:v>0.24</x:v>
      </x:c>
      <x:c r="K817" s="26" t="n">
        <x:f>IF('Inputs'!$D$9="Ready",'Inputs'!F11,"n.a.")</x:f>
        <x:v>35</x:v>
      </x:c>
      <x:c r="L817" s="29" t="n">
        <x:f>IF('Inputs'!$D$9="Ready",'Inputs'!G11,"n.a.")</x:f>
        <x:v>0.02</x:v>
      </x:c>
      <x:c r="M817" s="22" t="n">
        <x:f>IF(COUNT(I817:L817)=4,ROUND(I817*J817/12,2),"n.a.")</x:f>
        <x:v>0</x:v>
      </x:c>
      <x:c r="N817" s="22" t="n">
        <x:f>IF(COUNT(I817:M817)=5,MIN(I817+M817,ROUND(MAX(K817,I817*L817+M817),2)),"n.a.")</x:f>
        <x:v>0</x:v>
      </x:c>
      <x:c r="O817" s="30" t="n">
        <x:f>IF(COUNT($I$817:$I$821)&lt;&gt;5,"n.a.",IF(I817=0,6,IF('Inputs'!$D$5=1,COUNTIFS($I$817:$I$821,"&gt;0",$I$817:$I$821,"&lt;"&amp;I817)+COUNTIFS($I$817:I817,I817),COUNTIFS($I$817:$I$821,"&gt;0",$J$817:$J$821,"&gt;"&amp;J817)+COUNTIFS($I$817:I817,"&gt;0",$J$817:J817,J817))))</x:f>
        <x:v>6</x:v>
      </x:c>
      <x:c r="P817" s="22" t="n">
        <x:f>IF(T817="Ready",MIN(U817,MAX(0,G817-SUMIFS($U$817:$U$821,$O$817:$O$821,"&lt;"&amp;O817))),"n.a.")</x:f>
        <x:v>0</x:v>
      </x:c>
      <x:c r="Q817" s="22" t="n">
        <x:f>IF(T817="Ready",ROUND(N817+P817,2),"n.a.")</x:f>
        <x:v>0</x:v>
      </x:c>
      <x:c r="R817" s="22" t="n">
        <x:f>IF(T817="Ready",ROUND(Q817-M817,2),"n.a.")</x:f>
        <x:v>0</x:v>
      </x:c>
      <x:c r="S817" s="22" t="n">
        <x:f>IF(T817="Ready",MAX(0,ROUND(I817+M817-Q817,2)),"n.a.")</x:f>
        <x:v>0</x:v>
      </x:c>
      <x:c r="T817" s="22" t="str">
        <x:f>IF(AND(COUNT($I$817:$I$821)=5,COUNT(E817:F817)=2),IF(E817&gt;=F817,"Ready","Budget below minima"),"Check inputs")</x:f>
        <x:v>Ready</x:v>
      </x:c>
      <x:c r="U817" s="22" t="n">
        <x:f>IF(COUNT(I817,M817,N817)=3,MAX(0,ROUND(I817+M817-N817,2)),"n.a.")</x:f>
        <x:v>0</x:v>
      </x:c>
    </x:row>
    <x:row r="818" ht="22" customHeight="1">
      <x:c r="A818" s="2"/>
      <x:c r="B818" s="2"/>
      <x:c r="C818" s="27" t="n">
        <x:f>163</x:f>
        <x:v>163</x:v>
      </x:c>
      <x:c r="D818" s="28" t="n">
        <x:f>IF(ISNUMBER('Inputs'!$D$7),EDATE('Inputs'!$D$7,162),"n.a.")</x:f>
        <x:v>51257</x:v>
      </x:c>
      <x:c r="E818" s="26" t="n">
        <x:f>IF('Inputs'!$D$9&lt;&gt;"Ready","n.a.",IF(ISNUMBER('Inputs'!E181),IF('Inputs'!E181&gt;=0,'Inputs'!E181,"n.a."),IF('Inputs'!E181="",'Inputs'!$D$6,"n.a.")))</x:f>
        <x:v>500</x:v>
      </x:c>
      <x:c r="F818" s="22" t="n">
        <x:f>IF(COUNT($N$817:$N$821)=5,SUM($N$817:$N$821),"n.a.")</x:f>
        <x:v>0</x:v>
      </x:c>
      <x:c r="G818" s="22" t="n">
        <x:f>IF(COUNT(E818:F818)=2,MAX(0,E818-F818),"n.a.")</x:f>
        <x:v>500</x:v>
      </x:c>
      <x:c r="H818" s="26" t="str">
        <x:f>'Inputs'!C12</x:f>
        <x:v>Card B</x:v>
      </x:c>
      <x:c r="I818" s="26" t="n">
        <x:f>S813</x:f>
        <x:v>0</x:v>
      </x:c>
      <x:c r="J818" s="29" t="n">
        <x:f>IF('Inputs'!$D$9="Ready",'Inputs'!E12,"n.a.")</x:f>
        <x:v>0.18</x:v>
      </x:c>
      <x:c r="K818" s="26" t="n">
        <x:f>IF('Inputs'!$D$9="Ready",'Inputs'!F12,"n.a.")</x:f>
        <x:v>60</x:v>
      </x:c>
      <x:c r="L818" s="29" t="n">
        <x:f>IF('Inputs'!$D$9="Ready",'Inputs'!G12,"n.a.")</x:f>
        <x:v>0.02</x:v>
      </x:c>
      <x:c r="M818" s="22" t="n">
        <x:f>IF(COUNT(I818:L818)=4,ROUND(I818*J818/12,2),"n.a.")</x:f>
        <x:v>0</x:v>
      </x:c>
      <x:c r="N818" s="22" t="n">
        <x:f>IF(COUNT(I818:M818)=5,MIN(I818+M818,ROUND(MAX(K818,I818*L818+M818),2)),"n.a.")</x:f>
        <x:v>0</x:v>
      </x:c>
      <x:c r="O818" s="30" t="n">
        <x:f>IF(COUNT($I$817:$I$821)&lt;&gt;5,"n.a.",IF(I818=0,6,IF('Inputs'!$D$5=1,COUNTIFS($I$817:$I$821,"&gt;0",$I$817:$I$821,"&lt;"&amp;I818)+COUNTIFS($I$817:I818,I818),COUNTIFS($I$817:$I$821,"&gt;0",$J$817:$J$821,"&gt;"&amp;J818)+COUNTIFS($I$817:I818,"&gt;0",$J$817:J818,J818))))</x:f>
        <x:v>6</x:v>
      </x:c>
      <x:c r="P818" s="22" t="n">
        <x:f>IF(T818="Ready",MIN(U818,MAX(0,G818-SUMIFS($U$817:$U$821,$O$817:$O$821,"&lt;"&amp;O818))),"n.a.")</x:f>
        <x:v>0</x:v>
      </x:c>
      <x:c r="Q818" s="22" t="n">
        <x:f>IF(T818="Ready",ROUND(N818+P818,2),"n.a.")</x:f>
        <x:v>0</x:v>
      </x:c>
      <x:c r="R818" s="22" t="n">
        <x:f>IF(T818="Ready",ROUND(Q818-M818,2),"n.a.")</x:f>
        <x:v>0</x:v>
      </x:c>
      <x:c r="S818" s="22" t="n">
        <x:f>IF(T818="Ready",MAX(0,ROUND(I818+M818-Q818,2)),"n.a.")</x:f>
        <x:v>0</x:v>
      </x:c>
      <x:c r="T818" s="22" t="str">
        <x:f>IF(AND(COUNT($I$817:$I$821)=5,COUNT(E818:F818)=2),IF(E818&gt;=F818,"Ready","Budget below minima"),"Check inputs")</x:f>
        <x:v>Ready</x:v>
      </x:c>
      <x:c r="U818" s="22" t="n">
        <x:f>IF(COUNT(I818,M818,N818)=3,MAX(0,ROUND(I818+M818-N818,2)),"n.a.")</x:f>
        <x:v>0</x:v>
      </x:c>
    </x:row>
    <x:row r="819" ht="22" customHeight="1">
      <x:c r="A819" s="2"/>
      <x:c r="B819" s="2"/>
      <x:c r="C819" s="27" t="n">
        <x:f>163</x:f>
        <x:v>163</x:v>
      </x:c>
      <x:c r="D819" s="28" t="n">
        <x:f>IF(ISNUMBER('Inputs'!$D$7),EDATE('Inputs'!$D$7,162),"n.a.")</x:f>
        <x:v>51257</x:v>
      </x:c>
      <x:c r="E819" s="26" t="n">
        <x:f>IF('Inputs'!$D$9&lt;&gt;"Ready","n.a.",IF(ISNUMBER('Inputs'!E181),IF('Inputs'!E181&gt;=0,'Inputs'!E181,"n.a."),IF('Inputs'!E181="",'Inputs'!$D$6,"n.a.")))</x:f>
        <x:v>500</x:v>
      </x:c>
      <x:c r="F819" s="22" t="n">
        <x:f>IF(COUNT($N$817:$N$821)=5,SUM($N$817:$N$821),"n.a.")</x:f>
        <x:v>0</x:v>
      </x:c>
      <x:c r="G819" s="22" t="n">
        <x:f>IF(COUNT(E819:F819)=2,MAX(0,E819-F819),"n.a.")</x:f>
        <x:v>500</x:v>
      </x:c>
      <x:c r="H819" s="26" t="str">
        <x:f>'Inputs'!C13</x:f>
        <x:v>Loan C</x:v>
      </x:c>
      <x:c r="I819" s="26" t="n">
        <x:f>S814</x:f>
        <x:v>0</x:v>
      </x:c>
      <x:c r="J819" s="29" t="n">
        <x:f>IF('Inputs'!$D$9="Ready",'Inputs'!E13,"n.a.")</x:f>
        <x:v>0.08</x:v>
      </x:c>
      <x:c r="K819" s="26" t="n">
        <x:f>IF('Inputs'!$D$9="Ready",'Inputs'!F13,"n.a.")</x:f>
        <x:v>150</x:v>
      </x:c>
      <x:c r="L819" s="29" t="n">
        <x:f>IF('Inputs'!$D$9="Ready",'Inputs'!G13,"n.a.")</x:f>
        <x:v>0</x:v>
      </x:c>
      <x:c r="M819" s="22" t="n">
        <x:f>IF(COUNT(I819:L819)=4,ROUND(I819*J819/12,2),"n.a.")</x:f>
        <x:v>0</x:v>
      </x:c>
      <x:c r="N819" s="22" t="n">
        <x:f>IF(COUNT(I819:M819)=5,MIN(I819+M819,ROUND(MAX(K819,I819*L819+M819),2)),"n.a.")</x:f>
        <x:v>0</x:v>
      </x:c>
      <x:c r="O819" s="30" t="n">
        <x:f>IF(COUNT($I$817:$I$821)&lt;&gt;5,"n.a.",IF(I819=0,6,IF('Inputs'!$D$5=1,COUNTIFS($I$817:$I$821,"&gt;0",$I$817:$I$821,"&lt;"&amp;I819)+COUNTIFS($I$817:I819,I819),COUNTIFS($I$817:$I$821,"&gt;0",$J$817:$J$821,"&gt;"&amp;J819)+COUNTIFS($I$817:I819,"&gt;0",$J$817:J819,J819))))</x:f>
        <x:v>6</x:v>
      </x:c>
      <x:c r="P819" s="22" t="n">
        <x:f>IF(T819="Ready",MIN(U819,MAX(0,G819-SUMIFS($U$817:$U$821,$O$817:$O$821,"&lt;"&amp;O819))),"n.a.")</x:f>
        <x:v>0</x:v>
      </x:c>
      <x:c r="Q819" s="22" t="n">
        <x:f>IF(T819="Ready",ROUND(N819+P819,2),"n.a.")</x:f>
        <x:v>0</x:v>
      </x:c>
      <x:c r="R819" s="22" t="n">
        <x:f>IF(T819="Ready",ROUND(Q819-M819,2),"n.a.")</x:f>
        <x:v>0</x:v>
      </x:c>
      <x:c r="S819" s="22" t="n">
        <x:f>IF(T819="Ready",MAX(0,ROUND(I819+M819-Q819,2)),"n.a.")</x:f>
        <x:v>0</x:v>
      </x:c>
      <x:c r="T819" s="22" t="str">
        <x:f>IF(AND(COUNT($I$817:$I$821)=5,COUNT(E819:F819)=2),IF(E819&gt;=F819,"Ready","Budget below minima"),"Check inputs")</x:f>
        <x:v>Ready</x:v>
      </x:c>
      <x:c r="U819" s="22" t="n">
        <x:f>IF(COUNT(I819,M819,N819)=3,MAX(0,ROUND(I819+M819-N819,2)),"n.a.")</x:f>
        <x:v>0</x:v>
      </x:c>
    </x:row>
    <x:row r="820" ht="22" customHeight="1">
      <x:c r="A820" s="2"/>
      <x:c r="B820" s="2"/>
      <x:c r="C820" s="27" t="n">
        <x:f>163</x:f>
        <x:v>163</x:v>
      </x:c>
      <x:c r="D820" s="28" t="n">
        <x:f>IF(ISNUMBER('Inputs'!$D$7),EDATE('Inputs'!$D$7,162),"n.a.")</x:f>
        <x:v>51257</x:v>
      </x:c>
      <x:c r="E820" s="26" t="n">
        <x:f>IF('Inputs'!$D$9&lt;&gt;"Ready","n.a.",IF(ISNUMBER('Inputs'!E181),IF('Inputs'!E181&gt;=0,'Inputs'!E181,"n.a."),IF('Inputs'!E181="",'Inputs'!$D$6,"n.a.")))</x:f>
        <x:v>500</x:v>
      </x:c>
      <x:c r="F820" s="22" t="n">
        <x:f>IF(COUNT($N$817:$N$821)=5,SUM($N$817:$N$821),"n.a.")</x:f>
        <x:v>0</x:v>
      </x:c>
      <x:c r="G820" s="22" t="n">
        <x:f>IF(COUNT(E820:F820)=2,MAX(0,E820-F820),"n.a.")</x:f>
        <x:v>500</x:v>
      </x:c>
      <x:c r="H820" s="26" t="str">
        <x:f>'Inputs'!C14</x:f>
        <x:v>Unused 4</x:v>
      </x:c>
      <x:c r="I820" s="26" t="n">
        <x:f>S815</x:f>
        <x:v>0</x:v>
      </x:c>
      <x:c r="J820" s="29" t="n">
        <x:f>IF('Inputs'!$D$9="Ready",'Inputs'!E14,"n.a.")</x:f>
        <x:v>0</x:v>
      </x:c>
      <x:c r="K820" s="26" t="n">
        <x:f>IF('Inputs'!$D$9="Ready",'Inputs'!F14,"n.a.")</x:f>
        <x:v>0</x:v>
      </x:c>
      <x:c r="L820" s="29" t="n">
        <x:f>IF('Inputs'!$D$9="Ready",'Inputs'!G14,"n.a.")</x:f>
        <x:v>0</x:v>
      </x:c>
      <x:c r="M820" s="22" t="n">
        <x:f>IF(COUNT(I820:L820)=4,ROUND(I820*J820/12,2),"n.a.")</x:f>
        <x:v>0</x:v>
      </x:c>
      <x:c r="N820" s="22" t="n">
        <x:f>IF(COUNT(I820:M820)=5,MIN(I820+M820,ROUND(MAX(K820,I820*L820+M820),2)),"n.a.")</x:f>
        <x:v>0</x:v>
      </x:c>
      <x:c r="O820" s="30" t="n">
        <x:f>IF(COUNT($I$817:$I$821)&lt;&gt;5,"n.a.",IF(I820=0,6,IF('Inputs'!$D$5=1,COUNTIFS($I$817:$I$821,"&gt;0",$I$817:$I$821,"&lt;"&amp;I820)+COUNTIFS($I$817:I820,I820),COUNTIFS($I$817:$I$821,"&gt;0",$J$817:$J$821,"&gt;"&amp;J820)+COUNTIFS($I$817:I820,"&gt;0",$J$817:J820,J820))))</x:f>
        <x:v>6</x:v>
      </x:c>
      <x:c r="P820" s="22" t="n">
        <x:f>IF(T820="Ready",MIN(U820,MAX(0,G820-SUMIFS($U$817:$U$821,$O$817:$O$821,"&lt;"&amp;O820))),"n.a.")</x:f>
        <x:v>0</x:v>
      </x:c>
      <x:c r="Q820" s="22" t="n">
        <x:f>IF(T820="Ready",ROUND(N820+P820,2),"n.a.")</x:f>
        <x:v>0</x:v>
      </x:c>
      <x:c r="R820" s="22" t="n">
        <x:f>IF(T820="Ready",ROUND(Q820-M820,2),"n.a.")</x:f>
        <x:v>0</x:v>
      </x:c>
      <x:c r="S820" s="22" t="n">
        <x:f>IF(T820="Ready",MAX(0,ROUND(I820+M820-Q820,2)),"n.a.")</x:f>
        <x:v>0</x:v>
      </x:c>
      <x:c r="T820" s="22" t="str">
        <x:f>IF(AND(COUNT($I$817:$I$821)=5,COUNT(E820:F820)=2),IF(E820&gt;=F820,"Ready","Budget below minima"),"Check inputs")</x:f>
        <x:v>Ready</x:v>
      </x:c>
      <x:c r="U820" s="22" t="n">
        <x:f>IF(COUNT(I820,M820,N820)=3,MAX(0,ROUND(I820+M820-N820,2)),"n.a.")</x:f>
        <x:v>0</x:v>
      </x:c>
    </x:row>
    <x:row r="821" ht="22" customHeight="1">
      <x:c r="A821" s="2"/>
      <x:c r="B821" s="2"/>
      <x:c r="C821" s="27" t="n">
        <x:f>163</x:f>
        <x:v>163</x:v>
      </x:c>
      <x:c r="D821" s="28" t="n">
        <x:f>IF(ISNUMBER('Inputs'!$D$7),EDATE('Inputs'!$D$7,162),"n.a.")</x:f>
        <x:v>51257</x:v>
      </x:c>
      <x:c r="E821" s="26" t="n">
        <x:f>IF('Inputs'!$D$9&lt;&gt;"Ready","n.a.",IF(ISNUMBER('Inputs'!E181),IF('Inputs'!E181&gt;=0,'Inputs'!E181,"n.a."),IF('Inputs'!E181="",'Inputs'!$D$6,"n.a.")))</x:f>
        <x:v>500</x:v>
      </x:c>
      <x:c r="F821" s="22" t="n">
        <x:f>IF(COUNT($N$817:$N$821)=5,SUM($N$817:$N$821),"n.a.")</x:f>
        <x:v>0</x:v>
      </x:c>
      <x:c r="G821" s="22" t="n">
        <x:f>IF(COUNT(E821:F821)=2,MAX(0,E821-F821),"n.a.")</x:f>
        <x:v>500</x:v>
      </x:c>
      <x:c r="H821" s="26" t="str">
        <x:f>'Inputs'!C15</x:f>
        <x:v>Unused 5</x:v>
      </x:c>
      <x:c r="I821" s="26" t="n">
        <x:f>S816</x:f>
        <x:v>0</x:v>
      </x:c>
      <x:c r="J821" s="29" t="n">
        <x:f>IF('Inputs'!$D$9="Ready",'Inputs'!E15,"n.a.")</x:f>
        <x:v>0</x:v>
      </x:c>
      <x:c r="K821" s="26" t="n">
        <x:f>IF('Inputs'!$D$9="Ready",'Inputs'!F15,"n.a.")</x:f>
        <x:v>0</x:v>
      </x:c>
      <x:c r="L821" s="29" t="n">
        <x:f>IF('Inputs'!$D$9="Ready",'Inputs'!G15,"n.a.")</x:f>
        <x:v>0</x:v>
      </x:c>
      <x:c r="M821" s="22" t="n">
        <x:f>IF(COUNT(I821:L821)=4,ROUND(I821*J821/12,2),"n.a.")</x:f>
        <x:v>0</x:v>
      </x:c>
      <x:c r="N821" s="22" t="n">
        <x:f>IF(COUNT(I821:M821)=5,MIN(I821+M821,ROUND(MAX(K821,I821*L821+M821),2)),"n.a.")</x:f>
        <x:v>0</x:v>
      </x:c>
      <x:c r="O821" s="30" t="n">
        <x:f>IF(COUNT($I$817:$I$821)&lt;&gt;5,"n.a.",IF(I821=0,6,IF('Inputs'!$D$5=1,COUNTIFS($I$817:$I$821,"&gt;0",$I$817:$I$821,"&lt;"&amp;I821)+COUNTIFS($I$817:I821,I821),COUNTIFS($I$817:$I$821,"&gt;0",$J$817:$J$821,"&gt;"&amp;J821)+COUNTIFS($I$817:I821,"&gt;0",$J$817:J821,J821))))</x:f>
        <x:v>6</x:v>
      </x:c>
      <x:c r="P821" s="22" t="n">
        <x:f>IF(T821="Ready",MIN(U821,MAX(0,G821-SUMIFS($U$817:$U$821,$O$817:$O$821,"&lt;"&amp;O821))),"n.a.")</x:f>
        <x:v>0</x:v>
      </x:c>
      <x:c r="Q821" s="22" t="n">
        <x:f>IF(T821="Ready",ROUND(N821+P821,2),"n.a.")</x:f>
        <x:v>0</x:v>
      </x:c>
      <x:c r="R821" s="22" t="n">
        <x:f>IF(T821="Ready",ROUND(Q821-M821,2),"n.a.")</x:f>
        <x:v>0</x:v>
      </x:c>
      <x:c r="S821" s="22" t="n">
        <x:f>IF(T821="Ready",MAX(0,ROUND(I821+M821-Q821,2)),"n.a.")</x:f>
        <x:v>0</x:v>
      </x:c>
      <x:c r="T821" s="22" t="str">
        <x:f>IF(AND(COUNT($I$817:$I$821)=5,COUNT(E821:F821)=2),IF(E821&gt;=F821,"Ready","Budget below minima"),"Check inputs")</x:f>
        <x:v>Ready</x:v>
      </x:c>
      <x:c r="U821" s="22" t="n">
        <x:f>IF(COUNT(I821,M821,N821)=3,MAX(0,ROUND(I821+M821-N821,2)),"n.a.")</x:f>
        <x:v>0</x:v>
      </x:c>
    </x:row>
    <x:row r="822" ht="22" customHeight="1">
      <x:c r="A822" s="2"/>
      <x:c r="B822" s="2"/>
      <x:c r="C822" s="27" t="n">
        <x:f>164</x:f>
        <x:v>164</x:v>
      </x:c>
      <x:c r="D822" s="28" t="n">
        <x:f>IF(ISNUMBER('Inputs'!$D$7),EDATE('Inputs'!$D$7,163),"n.a.")</x:f>
        <x:v>51288</x:v>
      </x:c>
      <x:c r="E822" s="26" t="n">
        <x:f>IF('Inputs'!$D$9&lt;&gt;"Ready","n.a.",IF(ISNUMBER('Inputs'!E182),IF('Inputs'!E182&gt;=0,'Inputs'!E182,"n.a."),IF('Inputs'!E182="",'Inputs'!$D$6,"n.a.")))</x:f>
        <x:v>500</x:v>
      </x:c>
      <x:c r="F822" s="22" t="n">
        <x:f>IF(COUNT($N$822:$N$826)=5,SUM($N$822:$N$826),"n.a.")</x:f>
        <x:v>0</x:v>
      </x:c>
      <x:c r="G822" s="22" t="n">
        <x:f>IF(COUNT(E822:F822)=2,MAX(0,E822-F822),"n.a.")</x:f>
        <x:v>500</x:v>
      </x:c>
      <x:c r="H822" s="26" t="str">
        <x:f>'Inputs'!C11</x:f>
        <x:v>Card A</x:v>
      </x:c>
      <x:c r="I822" s="26" t="n">
        <x:f>S817</x:f>
        <x:v>0</x:v>
      </x:c>
      <x:c r="J822" s="29" t="n">
        <x:f>IF('Inputs'!$D$9="Ready",'Inputs'!E11,"n.a.")</x:f>
        <x:v>0.24</x:v>
      </x:c>
      <x:c r="K822" s="26" t="n">
        <x:f>IF('Inputs'!$D$9="Ready",'Inputs'!F11,"n.a.")</x:f>
        <x:v>35</x:v>
      </x:c>
      <x:c r="L822" s="29" t="n">
        <x:f>IF('Inputs'!$D$9="Ready",'Inputs'!G11,"n.a.")</x:f>
        <x:v>0.02</x:v>
      </x:c>
      <x:c r="M822" s="22" t="n">
        <x:f>IF(COUNT(I822:L822)=4,ROUND(I822*J822/12,2),"n.a.")</x:f>
        <x:v>0</x:v>
      </x:c>
      <x:c r="N822" s="22" t="n">
        <x:f>IF(COUNT(I822:M822)=5,MIN(I822+M822,ROUND(MAX(K822,I822*L822+M822),2)),"n.a.")</x:f>
        <x:v>0</x:v>
      </x:c>
      <x:c r="O822" s="30" t="n">
        <x:f>IF(COUNT($I$822:$I$826)&lt;&gt;5,"n.a.",IF(I822=0,6,IF('Inputs'!$D$5=1,COUNTIFS($I$822:$I$826,"&gt;0",$I$822:$I$826,"&lt;"&amp;I822)+COUNTIFS($I$822:I822,I822),COUNTIFS($I$822:$I$826,"&gt;0",$J$822:$J$826,"&gt;"&amp;J822)+COUNTIFS($I$822:I822,"&gt;0",$J$822:J822,J822))))</x:f>
        <x:v>6</x:v>
      </x:c>
      <x:c r="P822" s="22" t="n">
        <x:f>IF(T822="Ready",MIN(U822,MAX(0,G822-SUMIFS($U$822:$U$826,$O$822:$O$826,"&lt;"&amp;O822))),"n.a.")</x:f>
        <x:v>0</x:v>
      </x:c>
      <x:c r="Q822" s="22" t="n">
        <x:f>IF(T822="Ready",ROUND(N822+P822,2),"n.a.")</x:f>
        <x:v>0</x:v>
      </x:c>
      <x:c r="R822" s="22" t="n">
        <x:f>IF(T822="Ready",ROUND(Q822-M822,2),"n.a.")</x:f>
        <x:v>0</x:v>
      </x:c>
      <x:c r="S822" s="22" t="n">
        <x:f>IF(T822="Ready",MAX(0,ROUND(I822+M822-Q822,2)),"n.a.")</x:f>
        <x:v>0</x:v>
      </x:c>
      <x:c r="T822" s="22" t="str">
        <x:f>IF(AND(COUNT($I$822:$I$826)=5,COUNT(E822:F822)=2),IF(E822&gt;=F822,"Ready","Budget below minima"),"Check inputs")</x:f>
        <x:v>Ready</x:v>
      </x:c>
      <x:c r="U822" s="22" t="n">
        <x:f>IF(COUNT(I822,M822,N822)=3,MAX(0,ROUND(I822+M822-N822,2)),"n.a.")</x:f>
        <x:v>0</x:v>
      </x:c>
    </x:row>
    <x:row r="823" ht="22" customHeight="1">
      <x:c r="A823" s="2"/>
      <x:c r="B823" s="2"/>
      <x:c r="C823" s="27" t="n">
        <x:f>164</x:f>
        <x:v>164</x:v>
      </x:c>
      <x:c r="D823" s="28" t="n">
        <x:f>IF(ISNUMBER('Inputs'!$D$7),EDATE('Inputs'!$D$7,163),"n.a.")</x:f>
        <x:v>51288</x:v>
      </x:c>
      <x:c r="E823" s="26" t="n">
        <x:f>IF('Inputs'!$D$9&lt;&gt;"Ready","n.a.",IF(ISNUMBER('Inputs'!E182),IF('Inputs'!E182&gt;=0,'Inputs'!E182,"n.a."),IF('Inputs'!E182="",'Inputs'!$D$6,"n.a.")))</x:f>
        <x:v>500</x:v>
      </x:c>
      <x:c r="F823" s="22" t="n">
        <x:f>IF(COUNT($N$822:$N$826)=5,SUM($N$822:$N$826),"n.a.")</x:f>
        <x:v>0</x:v>
      </x:c>
      <x:c r="G823" s="22" t="n">
        <x:f>IF(COUNT(E823:F823)=2,MAX(0,E823-F823),"n.a.")</x:f>
        <x:v>500</x:v>
      </x:c>
      <x:c r="H823" s="26" t="str">
        <x:f>'Inputs'!C12</x:f>
        <x:v>Card B</x:v>
      </x:c>
      <x:c r="I823" s="26" t="n">
        <x:f>S818</x:f>
        <x:v>0</x:v>
      </x:c>
      <x:c r="J823" s="29" t="n">
        <x:f>IF('Inputs'!$D$9="Ready",'Inputs'!E12,"n.a.")</x:f>
        <x:v>0.18</x:v>
      </x:c>
      <x:c r="K823" s="26" t="n">
        <x:f>IF('Inputs'!$D$9="Ready",'Inputs'!F12,"n.a.")</x:f>
        <x:v>60</x:v>
      </x:c>
      <x:c r="L823" s="29" t="n">
        <x:f>IF('Inputs'!$D$9="Ready",'Inputs'!G12,"n.a.")</x:f>
        <x:v>0.02</x:v>
      </x:c>
      <x:c r="M823" s="22" t="n">
        <x:f>IF(COUNT(I823:L823)=4,ROUND(I823*J823/12,2),"n.a.")</x:f>
        <x:v>0</x:v>
      </x:c>
      <x:c r="N823" s="22" t="n">
        <x:f>IF(COUNT(I823:M823)=5,MIN(I823+M823,ROUND(MAX(K823,I823*L823+M823),2)),"n.a.")</x:f>
        <x:v>0</x:v>
      </x:c>
      <x:c r="O823" s="30" t="n">
        <x:f>IF(COUNT($I$822:$I$826)&lt;&gt;5,"n.a.",IF(I823=0,6,IF('Inputs'!$D$5=1,COUNTIFS($I$822:$I$826,"&gt;0",$I$822:$I$826,"&lt;"&amp;I823)+COUNTIFS($I$822:I823,I823),COUNTIFS($I$822:$I$826,"&gt;0",$J$822:$J$826,"&gt;"&amp;J823)+COUNTIFS($I$822:I823,"&gt;0",$J$822:J823,J823))))</x:f>
        <x:v>6</x:v>
      </x:c>
      <x:c r="P823" s="22" t="n">
        <x:f>IF(T823="Ready",MIN(U823,MAX(0,G823-SUMIFS($U$822:$U$826,$O$822:$O$826,"&lt;"&amp;O823))),"n.a.")</x:f>
        <x:v>0</x:v>
      </x:c>
      <x:c r="Q823" s="22" t="n">
        <x:f>IF(T823="Ready",ROUND(N823+P823,2),"n.a.")</x:f>
        <x:v>0</x:v>
      </x:c>
      <x:c r="R823" s="22" t="n">
        <x:f>IF(T823="Ready",ROUND(Q823-M823,2),"n.a.")</x:f>
        <x:v>0</x:v>
      </x:c>
      <x:c r="S823" s="22" t="n">
        <x:f>IF(T823="Ready",MAX(0,ROUND(I823+M823-Q823,2)),"n.a.")</x:f>
        <x:v>0</x:v>
      </x:c>
      <x:c r="T823" s="22" t="str">
        <x:f>IF(AND(COUNT($I$822:$I$826)=5,COUNT(E823:F823)=2),IF(E823&gt;=F823,"Ready","Budget below minima"),"Check inputs")</x:f>
        <x:v>Ready</x:v>
      </x:c>
      <x:c r="U823" s="22" t="n">
        <x:f>IF(COUNT(I823,M823,N823)=3,MAX(0,ROUND(I823+M823-N823,2)),"n.a.")</x:f>
        <x:v>0</x:v>
      </x:c>
    </x:row>
    <x:row r="824" ht="22" customHeight="1">
      <x:c r="A824" s="2"/>
      <x:c r="B824" s="2"/>
      <x:c r="C824" s="27" t="n">
        <x:f>164</x:f>
        <x:v>164</x:v>
      </x:c>
      <x:c r="D824" s="28" t="n">
        <x:f>IF(ISNUMBER('Inputs'!$D$7),EDATE('Inputs'!$D$7,163),"n.a.")</x:f>
        <x:v>51288</x:v>
      </x:c>
      <x:c r="E824" s="26" t="n">
        <x:f>IF('Inputs'!$D$9&lt;&gt;"Ready","n.a.",IF(ISNUMBER('Inputs'!E182),IF('Inputs'!E182&gt;=0,'Inputs'!E182,"n.a."),IF('Inputs'!E182="",'Inputs'!$D$6,"n.a.")))</x:f>
        <x:v>500</x:v>
      </x:c>
      <x:c r="F824" s="22" t="n">
        <x:f>IF(COUNT($N$822:$N$826)=5,SUM($N$822:$N$826),"n.a.")</x:f>
        <x:v>0</x:v>
      </x:c>
      <x:c r="G824" s="22" t="n">
        <x:f>IF(COUNT(E824:F824)=2,MAX(0,E824-F824),"n.a.")</x:f>
        <x:v>500</x:v>
      </x:c>
      <x:c r="H824" s="26" t="str">
        <x:f>'Inputs'!C13</x:f>
        <x:v>Loan C</x:v>
      </x:c>
      <x:c r="I824" s="26" t="n">
        <x:f>S819</x:f>
        <x:v>0</x:v>
      </x:c>
      <x:c r="J824" s="29" t="n">
        <x:f>IF('Inputs'!$D$9="Ready",'Inputs'!E13,"n.a.")</x:f>
        <x:v>0.08</x:v>
      </x:c>
      <x:c r="K824" s="26" t="n">
        <x:f>IF('Inputs'!$D$9="Ready",'Inputs'!F13,"n.a.")</x:f>
        <x:v>150</x:v>
      </x:c>
      <x:c r="L824" s="29" t="n">
        <x:f>IF('Inputs'!$D$9="Ready",'Inputs'!G13,"n.a.")</x:f>
        <x:v>0</x:v>
      </x:c>
      <x:c r="M824" s="22" t="n">
        <x:f>IF(COUNT(I824:L824)=4,ROUND(I824*J824/12,2),"n.a.")</x:f>
        <x:v>0</x:v>
      </x:c>
      <x:c r="N824" s="22" t="n">
        <x:f>IF(COUNT(I824:M824)=5,MIN(I824+M824,ROUND(MAX(K824,I824*L824+M824),2)),"n.a.")</x:f>
        <x:v>0</x:v>
      </x:c>
      <x:c r="O824" s="30" t="n">
        <x:f>IF(COUNT($I$822:$I$826)&lt;&gt;5,"n.a.",IF(I824=0,6,IF('Inputs'!$D$5=1,COUNTIFS($I$822:$I$826,"&gt;0",$I$822:$I$826,"&lt;"&amp;I824)+COUNTIFS($I$822:I824,I824),COUNTIFS($I$822:$I$826,"&gt;0",$J$822:$J$826,"&gt;"&amp;J824)+COUNTIFS($I$822:I824,"&gt;0",$J$822:J824,J824))))</x:f>
        <x:v>6</x:v>
      </x:c>
      <x:c r="P824" s="22" t="n">
        <x:f>IF(T824="Ready",MIN(U824,MAX(0,G824-SUMIFS($U$822:$U$826,$O$822:$O$826,"&lt;"&amp;O824))),"n.a.")</x:f>
        <x:v>0</x:v>
      </x:c>
      <x:c r="Q824" s="22" t="n">
        <x:f>IF(T824="Ready",ROUND(N824+P824,2),"n.a.")</x:f>
        <x:v>0</x:v>
      </x:c>
      <x:c r="R824" s="22" t="n">
        <x:f>IF(T824="Ready",ROUND(Q824-M824,2),"n.a.")</x:f>
        <x:v>0</x:v>
      </x:c>
      <x:c r="S824" s="22" t="n">
        <x:f>IF(T824="Ready",MAX(0,ROUND(I824+M824-Q824,2)),"n.a.")</x:f>
        <x:v>0</x:v>
      </x:c>
      <x:c r="T824" s="22" t="str">
        <x:f>IF(AND(COUNT($I$822:$I$826)=5,COUNT(E824:F824)=2),IF(E824&gt;=F824,"Ready","Budget below minima"),"Check inputs")</x:f>
        <x:v>Ready</x:v>
      </x:c>
      <x:c r="U824" s="22" t="n">
        <x:f>IF(COUNT(I824,M824,N824)=3,MAX(0,ROUND(I824+M824-N824,2)),"n.a.")</x:f>
        <x:v>0</x:v>
      </x:c>
    </x:row>
    <x:row r="825" ht="22" customHeight="1">
      <x:c r="A825" s="2"/>
      <x:c r="B825" s="2"/>
      <x:c r="C825" s="27" t="n">
        <x:f>164</x:f>
        <x:v>164</x:v>
      </x:c>
      <x:c r="D825" s="28" t="n">
        <x:f>IF(ISNUMBER('Inputs'!$D$7),EDATE('Inputs'!$D$7,163),"n.a.")</x:f>
        <x:v>51288</x:v>
      </x:c>
      <x:c r="E825" s="26" t="n">
        <x:f>IF('Inputs'!$D$9&lt;&gt;"Ready","n.a.",IF(ISNUMBER('Inputs'!E182),IF('Inputs'!E182&gt;=0,'Inputs'!E182,"n.a."),IF('Inputs'!E182="",'Inputs'!$D$6,"n.a.")))</x:f>
        <x:v>500</x:v>
      </x:c>
      <x:c r="F825" s="22" t="n">
        <x:f>IF(COUNT($N$822:$N$826)=5,SUM($N$822:$N$826),"n.a.")</x:f>
        <x:v>0</x:v>
      </x:c>
      <x:c r="G825" s="22" t="n">
        <x:f>IF(COUNT(E825:F825)=2,MAX(0,E825-F825),"n.a.")</x:f>
        <x:v>500</x:v>
      </x:c>
      <x:c r="H825" s="26" t="str">
        <x:f>'Inputs'!C14</x:f>
        <x:v>Unused 4</x:v>
      </x:c>
      <x:c r="I825" s="26" t="n">
        <x:f>S820</x:f>
        <x:v>0</x:v>
      </x:c>
      <x:c r="J825" s="29" t="n">
        <x:f>IF('Inputs'!$D$9="Ready",'Inputs'!E14,"n.a.")</x:f>
        <x:v>0</x:v>
      </x:c>
      <x:c r="K825" s="26" t="n">
        <x:f>IF('Inputs'!$D$9="Ready",'Inputs'!F14,"n.a.")</x:f>
        <x:v>0</x:v>
      </x:c>
      <x:c r="L825" s="29" t="n">
        <x:f>IF('Inputs'!$D$9="Ready",'Inputs'!G14,"n.a.")</x:f>
        <x:v>0</x:v>
      </x:c>
      <x:c r="M825" s="22" t="n">
        <x:f>IF(COUNT(I825:L825)=4,ROUND(I825*J825/12,2),"n.a.")</x:f>
        <x:v>0</x:v>
      </x:c>
      <x:c r="N825" s="22" t="n">
        <x:f>IF(COUNT(I825:M825)=5,MIN(I825+M825,ROUND(MAX(K825,I825*L825+M825),2)),"n.a.")</x:f>
        <x:v>0</x:v>
      </x:c>
      <x:c r="O825" s="30" t="n">
        <x:f>IF(COUNT($I$822:$I$826)&lt;&gt;5,"n.a.",IF(I825=0,6,IF('Inputs'!$D$5=1,COUNTIFS($I$822:$I$826,"&gt;0",$I$822:$I$826,"&lt;"&amp;I825)+COUNTIFS($I$822:I825,I825),COUNTIFS($I$822:$I$826,"&gt;0",$J$822:$J$826,"&gt;"&amp;J825)+COUNTIFS($I$822:I825,"&gt;0",$J$822:J825,J825))))</x:f>
        <x:v>6</x:v>
      </x:c>
      <x:c r="P825" s="22" t="n">
        <x:f>IF(T825="Ready",MIN(U825,MAX(0,G825-SUMIFS($U$822:$U$826,$O$822:$O$826,"&lt;"&amp;O825))),"n.a.")</x:f>
        <x:v>0</x:v>
      </x:c>
      <x:c r="Q825" s="22" t="n">
        <x:f>IF(T825="Ready",ROUND(N825+P825,2),"n.a.")</x:f>
        <x:v>0</x:v>
      </x:c>
      <x:c r="R825" s="22" t="n">
        <x:f>IF(T825="Ready",ROUND(Q825-M825,2),"n.a.")</x:f>
        <x:v>0</x:v>
      </x:c>
      <x:c r="S825" s="22" t="n">
        <x:f>IF(T825="Ready",MAX(0,ROUND(I825+M825-Q825,2)),"n.a.")</x:f>
        <x:v>0</x:v>
      </x:c>
      <x:c r="T825" s="22" t="str">
        <x:f>IF(AND(COUNT($I$822:$I$826)=5,COUNT(E825:F825)=2),IF(E825&gt;=F825,"Ready","Budget below minima"),"Check inputs")</x:f>
        <x:v>Ready</x:v>
      </x:c>
      <x:c r="U825" s="22" t="n">
        <x:f>IF(COUNT(I825,M825,N825)=3,MAX(0,ROUND(I825+M825-N825,2)),"n.a.")</x:f>
        <x:v>0</x:v>
      </x:c>
    </x:row>
    <x:row r="826" ht="22" customHeight="1">
      <x:c r="A826" s="2"/>
      <x:c r="B826" s="2"/>
      <x:c r="C826" s="27" t="n">
        <x:f>164</x:f>
        <x:v>164</x:v>
      </x:c>
      <x:c r="D826" s="28" t="n">
        <x:f>IF(ISNUMBER('Inputs'!$D$7),EDATE('Inputs'!$D$7,163),"n.a.")</x:f>
        <x:v>51288</x:v>
      </x:c>
      <x:c r="E826" s="26" t="n">
        <x:f>IF('Inputs'!$D$9&lt;&gt;"Ready","n.a.",IF(ISNUMBER('Inputs'!E182),IF('Inputs'!E182&gt;=0,'Inputs'!E182,"n.a."),IF('Inputs'!E182="",'Inputs'!$D$6,"n.a.")))</x:f>
        <x:v>500</x:v>
      </x:c>
      <x:c r="F826" s="22" t="n">
        <x:f>IF(COUNT($N$822:$N$826)=5,SUM($N$822:$N$826),"n.a.")</x:f>
        <x:v>0</x:v>
      </x:c>
      <x:c r="G826" s="22" t="n">
        <x:f>IF(COUNT(E826:F826)=2,MAX(0,E826-F826),"n.a.")</x:f>
        <x:v>500</x:v>
      </x:c>
      <x:c r="H826" s="26" t="str">
        <x:f>'Inputs'!C15</x:f>
        <x:v>Unused 5</x:v>
      </x:c>
      <x:c r="I826" s="26" t="n">
        <x:f>S821</x:f>
        <x:v>0</x:v>
      </x:c>
      <x:c r="J826" s="29" t="n">
        <x:f>IF('Inputs'!$D$9="Ready",'Inputs'!E15,"n.a.")</x:f>
        <x:v>0</x:v>
      </x:c>
      <x:c r="K826" s="26" t="n">
        <x:f>IF('Inputs'!$D$9="Ready",'Inputs'!F15,"n.a.")</x:f>
        <x:v>0</x:v>
      </x:c>
      <x:c r="L826" s="29" t="n">
        <x:f>IF('Inputs'!$D$9="Ready",'Inputs'!G15,"n.a.")</x:f>
        <x:v>0</x:v>
      </x:c>
      <x:c r="M826" s="22" t="n">
        <x:f>IF(COUNT(I826:L826)=4,ROUND(I826*J826/12,2),"n.a.")</x:f>
        <x:v>0</x:v>
      </x:c>
      <x:c r="N826" s="22" t="n">
        <x:f>IF(COUNT(I826:M826)=5,MIN(I826+M826,ROUND(MAX(K826,I826*L826+M826),2)),"n.a.")</x:f>
        <x:v>0</x:v>
      </x:c>
      <x:c r="O826" s="30" t="n">
        <x:f>IF(COUNT($I$822:$I$826)&lt;&gt;5,"n.a.",IF(I826=0,6,IF('Inputs'!$D$5=1,COUNTIFS($I$822:$I$826,"&gt;0",$I$822:$I$826,"&lt;"&amp;I826)+COUNTIFS($I$822:I826,I826),COUNTIFS($I$822:$I$826,"&gt;0",$J$822:$J$826,"&gt;"&amp;J826)+COUNTIFS($I$822:I826,"&gt;0",$J$822:J826,J826))))</x:f>
        <x:v>6</x:v>
      </x:c>
      <x:c r="P826" s="22" t="n">
        <x:f>IF(T826="Ready",MIN(U826,MAX(0,G826-SUMIFS($U$822:$U$826,$O$822:$O$826,"&lt;"&amp;O826))),"n.a.")</x:f>
        <x:v>0</x:v>
      </x:c>
      <x:c r="Q826" s="22" t="n">
        <x:f>IF(T826="Ready",ROUND(N826+P826,2),"n.a.")</x:f>
        <x:v>0</x:v>
      </x:c>
      <x:c r="R826" s="22" t="n">
        <x:f>IF(T826="Ready",ROUND(Q826-M826,2),"n.a.")</x:f>
        <x:v>0</x:v>
      </x:c>
      <x:c r="S826" s="22" t="n">
        <x:f>IF(T826="Ready",MAX(0,ROUND(I826+M826-Q826,2)),"n.a.")</x:f>
        <x:v>0</x:v>
      </x:c>
      <x:c r="T826" s="22" t="str">
        <x:f>IF(AND(COUNT($I$822:$I$826)=5,COUNT(E826:F826)=2),IF(E826&gt;=F826,"Ready","Budget below minima"),"Check inputs")</x:f>
        <x:v>Ready</x:v>
      </x:c>
      <x:c r="U826" s="22" t="n">
        <x:f>IF(COUNT(I826,M826,N826)=3,MAX(0,ROUND(I826+M826-N826,2)),"n.a.")</x:f>
        <x:v>0</x:v>
      </x:c>
    </x:row>
    <x:row r="827" ht="22" customHeight="1">
      <x:c r="A827" s="2"/>
      <x:c r="B827" s="2"/>
      <x:c r="C827" s="27" t="n">
        <x:f>165</x:f>
        <x:v>165</x:v>
      </x:c>
      <x:c r="D827" s="28" t="n">
        <x:f>IF(ISNUMBER('Inputs'!$D$7),EDATE('Inputs'!$D$7,164),"n.a.")</x:f>
        <x:v>51318</x:v>
      </x:c>
      <x:c r="E827" s="26" t="n">
        <x:f>IF('Inputs'!$D$9&lt;&gt;"Ready","n.a.",IF(ISNUMBER('Inputs'!E183),IF('Inputs'!E183&gt;=0,'Inputs'!E183,"n.a."),IF('Inputs'!E183="",'Inputs'!$D$6,"n.a.")))</x:f>
        <x:v>500</x:v>
      </x:c>
      <x:c r="F827" s="22" t="n">
        <x:f>IF(COUNT($N$827:$N$831)=5,SUM($N$827:$N$831),"n.a.")</x:f>
        <x:v>0</x:v>
      </x:c>
      <x:c r="G827" s="22" t="n">
        <x:f>IF(COUNT(E827:F827)=2,MAX(0,E827-F827),"n.a.")</x:f>
        <x:v>500</x:v>
      </x:c>
      <x:c r="H827" s="26" t="str">
        <x:f>'Inputs'!C11</x:f>
        <x:v>Card A</x:v>
      </x:c>
      <x:c r="I827" s="26" t="n">
        <x:f>S822</x:f>
        <x:v>0</x:v>
      </x:c>
      <x:c r="J827" s="29" t="n">
        <x:f>IF('Inputs'!$D$9="Ready",'Inputs'!E11,"n.a.")</x:f>
        <x:v>0.24</x:v>
      </x:c>
      <x:c r="K827" s="26" t="n">
        <x:f>IF('Inputs'!$D$9="Ready",'Inputs'!F11,"n.a.")</x:f>
        <x:v>35</x:v>
      </x:c>
      <x:c r="L827" s="29" t="n">
        <x:f>IF('Inputs'!$D$9="Ready",'Inputs'!G11,"n.a.")</x:f>
        <x:v>0.02</x:v>
      </x:c>
      <x:c r="M827" s="22" t="n">
        <x:f>IF(COUNT(I827:L827)=4,ROUND(I827*J827/12,2),"n.a.")</x:f>
        <x:v>0</x:v>
      </x:c>
      <x:c r="N827" s="22" t="n">
        <x:f>IF(COUNT(I827:M827)=5,MIN(I827+M827,ROUND(MAX(K827,I827*L827+M827),2)),"n.a.")</x:f>
        <x:v>0</x:v>
      </x:c>
      <x:c r="O827" s="30" t="n">
        <x:f>IF(COUNT($I$827:$I$831)&lt;&gt;5,"n.a.",IF(I827=0,6,IF('Inputs'!$D$5=1,COUNTIFS($I$827:$I$831,"&gt;0",$I$827:$I$831,"&lt;"&amp;I827)+COUNTIFS($I$827:I827,I827),COUNTIFS($I$827:$I$831,"&gt;0",$J$827:$J$831,"&gt;"&amp;J827)+COUNTIFS($I$827:I827,"&gt;0",$J$827:J827,J827))))</x:f>
        <x:v>6</x:v>
      </x:c>
      <x:c r="P827" s="22" t="n">
        <x:f>IF(T827="Ready",MIN(U827,MAX(0,G827-SUMIFS($U$827:$U$831,$O$827:$O$831,"&lt;"&amp;O827))),"n.a.")</x:f>
        <x:v>0</x:v>
      </x:c>
      <x:c r="Q827" s="22" t="n">
        <x:f>IF(T827="Ready",ROUND(N827+P827,2),"n.a.")</x:f>
        <x:v>0</x:v>
      </x:c>
      <x:c r="R827" s="22" t="n">
        <x:f>IF(T827="Ready",ROUND(Q827-M827,2),"n.a.")</x:f>
        <x:v>0</x:v>
      </x:c>
      <x:c r="S827" s="22" t="n">
        <x:f>IF(T827="Ready",MAX(0,ROUND(I827+M827-Q827,2)),"n.a.")</x:f>
        <x:v>0</x:v>
      </x:c>
      <x:c r="T827" s="22" t="str">
        <x:f>IF(AND(COUNT($I$827:$I$831)=5,COUNT(E827:F827)=2),IF(E827&gt;=F827,"Ready","Budget below minima"),"Check inputs")</x:f>
        <x:v>Ready</x:v>
      </x:c>
      <x:c r="U827" s="22" t="n">
        <x:f>IF(COUNT(I827,M827,N827)=3,MAX(0,ROUND(I827+M827-N827,2)),"n.a.")</x:f>
        <x:v>0</x:v>
      </x:c>
    </x:row>
    <x:row r="828" ht="22" customHeight="1">
      <x:c r="A828" s="2"/>
      <x:c r="B828" s="2"/>
      <x:c r="C828" s="27" t="n">
        <x:f>165</x:f>
        <x:v>165</x:v>
      </x:c>
      <x:c r="D828" s="28" t="n">
        <x:f>IF(ISNUMBER('Inputs'!$D$7),EDATE('Inputs'!$D$7,164),"n.a.")</x:f>
        <x:v>51318</x:v>
      </x:c>
      <x:c r="E828" s="26" t="n">
        <x:f>IF('Inputs'!$D$9&lt;&gt;"Ready","n.a.",IF(ISNUMBER('Inputs'!E183),IF('Inputs'!E183&gt;=0,'Inputs'!E183,"n.a."),IF('Inputs'!E183="",'Inputs'!$D$6,"n.a.")))</x:f>
        <x:v>500</x:v>
      </x:c>
      <x:c r="F828" s="22" t="n">
        <x:f>IF(COUNT($N$827:$N$831)=5,SUM($N$827:$N$831),"n.a.")</x:f>
        <x:v>0</x:v>
      </x:c>
      <x:c r="G828" s="22" t="n">
        <x:f>IF(COUNT(E828:F828)=2,MAX(0,E828-F828),"n.a.")</x:f>
        <x:v>500</x:v>
      </x:c>
      <x:c r="H828" s="26" t="str">
        <x:f>'Inputs'!C12</x:f>
        <x:v>Card B</x:v>
      </x:c>
      <x:c r="I828" s="26" t="n">
        <x:f>S823</x:f>
        <x:v>0</x:v>
      </x:c>
      <x:c r="J828" s="29" t="n">
        <x:f>IF('Inputs'!$D$9="Ready",'Inputs'!E12,"n.a.")</x:f>
        <x:v>0.18</x:v>
      </x:c>
      <x:c r="K828" s="26" t="n">
        <x:f>IF('Inputs'!$D$9="Ready",'Inputs'!F12,"n.a.")</x:f>
        <x:v>60</x:v>
      </x:c>
      <x:c r="L828" s="29" t="n">
        <x:f>IF('Inputs'!$D$9="Ready",'Inputs'!G12,"n.a.")</x:f>
        <x:v>0.02</x:v>
      </x:c>
      <x:c r="M828" s="22" t="n">
        <x:f>IF(COUNT(I828:L828)=4,ROUND(I828*J828/12,2),"n.a.")</x:f>
        <x:v>0</x:v>
      </x:c>
      <x:c r="N828" s="22" t="n">
        <x:f>IF(COUNT(I828:M828)=5,MIN(I828+M828,ROUND(MAX(K828,I828*L828+M828),2)),"n.a.")</x:f>
        <x:v>0</x:v>
      </x:c>
      <x:c r="O828" s="30" t="n">
        <x:f>IF(COUNT($I$827:$I$831)&lt;&gt;5,"n.a.",IF(I828=0,6,IF('Inputs'!$D$5=1,COUNTIFS($I$827:$I$831,"&gt;0",$I$827:$I$831,"&lt;"&amp;I828)+COUNTIFS($I$827:I828,I828),COUNTIFS($I$827:$I$831,"&gt;0",$J$827:$J$831,"&gt;"&amp;J828)+COUNTIFS($I$827:I828,"&gt;0",$J$827:J828,J828))))</x:f>
        <x:v>6</x:v>
      </x:c>
      <x:c r="P828" s="22" t="n">
        <x:f>IF(T828="Ready",MIN(U828,MAX(0,G828-SUMIFS($U$827:$U$831,$O$827:$O$831,"&lt;"&amp;O828))),"n.a.")</x:f>
        <x:v>0</x:v>
      </x:c>
      <x:c r="Q828" s="22" t="n">
        <x:f>IF(T828="Ready",ROUND(N828+P828,2),"n.a.")</x:f>
        <x:v>0</x:v>
      </x:c>
      <x:c r="R828" s="22" t="n">
        <x:f>IF(T828="Ready",ROUND(Q828-M828,2),"n.a.")</x:f>
        <x:v>0</x:v>
      </x:c>
      <x:c r="S828" s="22" t="n">
        <x:f>IF(T828="Ready",MAX(0,ROUND(I828+M828-Q828,2)),"n.a.")</x:f>
        <x:v>0</x:v>
      </x:c>
      <x:c r="T828" s="22" t="str">
        <x:f>IF(AND(COUNT($I$827:$I$831)=5,COUNT(E828:F828)=2),IF(E828&gt;=F828,"Ready","Budget below minima"),"Check inputs")</x:f>
        <x:v>Ready</x:v>
      </x:c>
      <x:c r="U828" s="22" t="n">
        <x:f>IF(COUNT(I828,M828,N828)=3,MAX(0,ROUND(I828+M828-N828,2)),"n.a.")</x:f>
        <x:v>0</x:v>
      </x:c>
    </x:row>
    <x:row r="829" ht="22" customHeight="1">
      <x:c r="A829" s="2"/>
      <x:c r="B829" s="2"/>
      <x:c r="C829" s="27" t="n">
        <x:f>165</x:f>
        <x:v>165</x:v>
      </x:c>
      <x:c r="D829" s="28" t="n">
        <x:f>IF(ISNUMBER('Inputs'!$D$7),EDATE('Inputs'!$D$7,164),"n.a.")</x:f>
        <x:v>51318</x:v>
      </x:c>
      <x:c r="E829" s="26" t="n">
        <x:f>IF('Inputs'!$D$9&lt;&gt;"Ready","n.a.",IF(ISNUMBER('Inputs'!E183),IF('Inputs'!E183&gt;=0,'Inputs'!E183,"n.a."),IF('Inputs'!E183="",'Inputs'!$D$6,"n.a.")))</x:f>
        <x:v>500</x:v>
      </x:c>
      <x:c r="F829" s="22" t="n">
        <x:f>IF(COUNT($N$827:$N$831)=5,SUM($N$827:$N$831),"n.a.")</x:f>
        <x:v>0</x:v>
      </x:c>
      <x:c r="G829" s="22" t="n">
        <x:f>IF(COUNT(E829:F829)=2,MAX(0,E829-F829),"n.a.")</x:f>
        <x:v>500</x:v>
      </x:c>
      <x:c r="H829" s="26" t="str">
        <x:f>'Inputs'!C13</x:f>
        <x:v>Loan C</x:v>
      </x:c>
      <x:c r="I829" s="26" t="n">
        <x:f>S824</x:f>
        <x:v>0</x:v>
      </x:c>
      <x:c r="J829" s="29" t="n">
        <x:f>IF('Inputs'!$D$9="Ready",'Inputs'!E13,"n.a.")</x:f>
        <x:v>0.08</x:v>
      </x:c>
      <x:c r="K829" s="26" t="n">
        <x:f>IF('Inputs'!$D$9="Ready",'Inputs'!F13,"n.a.")</x:f>
        <x:v>150</x:v>
      </x:c>
      <x:c r="L829" s="29" t="n">
        <x:f>IF('Inputs'!$D$9="Ready",'Inputs'!G13,"n.a.")</x:f>
        <x:v>0</x:v>
      </x:c>
      <x:c r="M829" s="22" t="n">
        <x:f>IF(COUNT(I829:L829)=4,ROUND(I829*J829/12,2),"n.a.")</x:f>
        <x:v>0</x:v>
      </x:c>
      <x:c r="N829" s="22" t="n">
        <x:f>IF(COUNT(I829:M829)=5,MIN(I829+M829,ROUND(MAX(K829,I829*L829+M829),2)),"n.a.")</x:f>
        <x:v>0</x:v>
      </x:c>
      <x:c r="O829" s="30" t="n">
        <x:f>IF(COUNT($I$827:$I$831)&lt;&gt;5,"n.a.",IF(I829=0,6,IF('Inputs'!$D$5=1,COUNTIFS($I$827:$I$831,"&gt;0",$I$827:$I$831,"&lt;"&amp;I829)+COUNTIFS($I$827:I829,I829),COUNTIFS($I$827:$I$831,"&gt;0",$J$827:$J$831,"&gt;"&amp;J829)+COUNTIFS($I$827:I829,"&gt;0",$J$827:J829,J829))))</x:f>
        <x:v>6</x:v>
      </x:c>
      <x:c r="P829" s="22" t="n">
        <x:f>IF(T829="Ready",MIN(U829,MAX(0,G829-SUMIFS($U$827:$U$831,$O$827:$O$831,"&lt;"&amp;O829))),"n.a.")</x:f>
        <x:v>0</x:v>
      </x:c>
      <x:c r="Q829" s="22" t="n">
        <x:f>IF(T829="Ready",ROUND(N829+P829,2),"n.a.")</x:f>
        <x:v>0</x:v>
      </x:c>
      <x:c r="R829" s="22" t="n">
        <x:f>IF(T829="Ready",ROUND(Q829-M829,2),"n.a.")</x:f>
        <x:v>0</x:v>
      </x:c>
      <x:c r="S829" s="22" t="n">
        <x:f>IF(T829="Ready",MAX(0,ROUND(I829+M829-Q829,2)),"n.a.")</x:f>
        <x:v>0</x:v>
      </x:c>
      <x:c r="T829" s="22" t="str">
        <x:f>IF(AND(COUNT($I$827:$I$831)=5,COUNT(E829:F829)=2),IF(E829&gt;=F829,"Ready","Budget below minima"),"Check inputs")</x:f>
        <x:v>Ready</x:v>
      </x:c>
      <x:c r="U829" s="22" t="n">
        <x:f>IF(COUNT(I829,M829,N829)=3,MAX(0,ROUND(I829+M829-N829,2)),"n.a.")</x:f>
        <x:v>0</x:v>
      </x:c>
    </x:row>
    <x:row r="830" ht="22" customHeight="1">
      <x:c r="A830" s="2"/>
      <x:c r="B830" s="2"/>
      <x:c r="C830" s="27" t="n">
        <x:f>165</x:f>
        <x:v>165</x:v>
      </x:c>
      <x:c r="D830" s="28" t="n">
        <x:f>IF(ISNUMBER('Inputs'!$D$7),EDATE('Inputs'!$D$7,164),"n.a.")</x:f>
        <x:v>51318</x:v>
      </x:c>
      <x:c r="E830" s="26" t="n">
        <x:f>IF('Inputs'!$D$9&lt;&gt;"Ready","n.a.",IF(ISNUMBER('Inputs'!E183),IF('Inputs'!E183&gt;=0,'Inputs'!E183,"n.a."),IF('Inputs'!E183="",'Inputs'!$D$6,"n.a.")))</x:f>
        <x:v>500</x:v>
      </x:c>
      <x:c r="F830" s="22" t="n">
        <x:f>IF(COUNT($N$827:$N$831)=5,SUM($N$827:$N$831),"n.a.")</x:f>
        <x:v>0</x:v>
      </x:c>
      <x:c r="G830" s="22" t="n">
        <x:f>IF(COUNT(E830:F830)=2,MAX(0,E830-F830),"n.a.")</x:f>
        <x:v>500</x:v>
      </x:c>
      <x:c r="H830" s="26" t="str">
        <x:f>'Inputs'!C14</x:f>
        <x:v>Unused 4</x:v>
      </x:c>
      <x:c r="I830" s="26" t="n">
        <x:f>S825</x:f>
        <x:v>0</x:v>
      </x:c>
      <x:c r="J830" s="29" t="n">
        <x:f>IF('Inputs'!$D$9="Ready",'Inputs'!E14,"n.a.")</x:f>
        <x:v>0</x:v>
      </x:c>
      <x:c r="K830" s="26" t="n">
        <x:f>IF('Inputs'!$D$9="Ready",'Inputs'!F14,"n.a.")</x:f>
        <x:v>0</x:v>
      </x:c>
      <x:c r="L830" s="29" t="n">
        <x:f>IF('Inputs'!$D$9="Ready",'Inputs'!G14,"n.a.")</x:f>
        <x:v>0</x:v>
      </x:c>
      <x:c r="M830" s="22" t="n">
        <x:f>IF(COUNT(I830:L830)=4,ROUND(I830*J830/12,2),"n.a.")</x:f>
        <x:v>0</x:v>
      </x:c>
      <x:c r="N830" s="22" t="n">
        <x:f>IF(COUNT(I830:M830)=5,MIN(I830+M830,ROUND(MAX(K830,I830*L830+M830),2)),"n.a.")</x:f>
        <x:v>0</x:v>
      </x:c>
      <x:c r="O830" s="30" t="n">
        <x:f>IF(COUNT($I$827:$I$831)&lt;&gt;5,"n.a.",IF(I830=0,6,IF('Inputs'!$D$5=1,COUNTIFS($I$827:$I$831,"&gt;0",$I$827:$I$831,"&lt;"&amp;I830)+COUNTIFS($I$827:I830,I830),COUNTIFS($I$827:$I$831,"&gt;0",$J$827:$J$831,"&gt;"&amp;J830)+COUNTIFS($I$827:I830,"&gt;0",$J$827:J830,J830))))</x:f>
        <x:v>6</x:v>
      </x:c>
      <x:c r="P830" s="22" t="n">
        <x:f>IF(T830="Ready",MIN(U830,MAX(0,G830-SUMIFS($U$827:$U$831,$O$827:$O$831,"&lt;"&amp;O830))),"n.a.")</x:f>
        <x:v>0</x:v>
      </x:c>
      <x:c r="Q830" s="22" t="n">
        <x:f>IF(T830="Ready",ROUND(N830+P830,2),"n.a.")</x:f>
        <x:v>0</x:v>
      </x:c>
      <x:c r="R830" s="22" t="n">
        <x:f>IF(T830="Ready",ROUND(Q830-M830,2),"n.a.")</x:f>
        <x:v>0</x:v>
      </x:c>
      <x:c r="S830" s="22" t="n">
        <x:f>IF(T830="Ready",MAX(0,ROUND(I830+M830-Q830,2)),"n.a.")</x:f>
        <x:v>0</x:v>
      </x:c>
      <x:c r="T830" s="22" t="str">
        <x:f>IF(AND(COUNT($I$827:$I$831)=5,COUNT(E830:F830)=2),IF(E830&gt;=F830,"Ready","Budget below minima"),"Check inputs")</x:f>
        <x:v>Ready</x:v>
      </x:c>
      <x:c r="U830" s="22" t="n">
        <x:f>IF(COUNT(I830,M830,N830)=3,MAX(0,ROUND(I830+M830-N830,2)),"n.a.")</x:f>
        <x:v>0</x:v>
      </x:c>
    </x:row>
    <x:row r="831" ht="22" customHeight="1">
      <x:c r="A831" s="2"/>
      <x:c r="B831" s="2"/>
      <x:c r="C831" s="27" t="n">
        <x:f>165</x:f>
        <x:v>165</x:v>
      </x:c>
      <x:c r="D831" s="28" t="n">
        <x:f>IF(ISNUMBER('Inputs'!$D$7),EDATE('Inputs'!$D$7,164),"n.a.")</x:f>
        <x:v>51318</x:v>
      </x:c>
      <x:c r="E831" s="26" t="n">
        <x:f>IF('Inputs'!$D$9&lt;&gt;"Ready","n.a.",IF(ISNUMBER('Inputs'!E183),IF('Inputs'!E183&gt;=0,'Inputs'!E183,"n.a."),IF('Inputs'!E183="",'Inputs'!$D$6,"n.a.")))</x:f>
        <x:v>500</x:v>
      </x:c>
      <x:c r="F831" s="22" t="n">
        <x:f>IF(COUNT($N$827:$N$831)=5,SUM($N$827:$N$831),"n.a.")</x:f>
        <x:v>0</x:v>
      </x:c>
      <x:c r="G831" s="22" t="n">
        <x:f>IF(COUNT(E831:F831)=2,MAX(0,E831-F831),"n.a.")</x:f>
        <x:v>500</x:v>
      </x:c>
      <x:c r="H831" s="26" t="str">
        <x:f>'Inputs'!C15</x:f>
        <x:v>Unused 5</x:v>
      </x:c>
      <x:c r="I831" s="26" t="n">
        <x:f>S826</x:f>
        <x:v>0</x:v>
      </x:c>
      <x:c r="J831" s="29" t="n">
        <x:f>IF('Inputs'!$D$9="Ready",'Inputs'!E15,"n.a.")</x:f>
        <x:v>0</x:v>
      </x:c>
      <x:c r="K831" s="26" t="n">
        <x:f>IF('Inputs'!$D$9="Ready",'Inputs'!F15,"n.a.")</x:f>
        <x:v>0</x:v>
      </x:c>
      <x:c r="L831" s="29" t="n">
        <x:f>IF('Inputs'!$D$9="Ready",'Inputs'!G15,"n.a.")</x:f>
        <x:v>0</x:v>
      </x:c>
      <x:c r="M831" s="22" t="n">
        <x:f>IF(COUNT(I831:L831)=4,ROUND(I831*J831/12,2),"n.a.")</x:f>
        <x:v>0</x:v>
      </x:c>
      <x:c r="N831" s="22" t="n">
        <x:f>IF(COUNT(I831:M831)=5,MIN(I831+M831,ROUND(MAX(K831,I831*L831+M831),2)),"n.a.")</x:f>
        <x:v>0</x:v>
      </x:c>
      <x:c r="O831" s="30" t="n">
        <x:f>IF(COUNT($I$827:$I$831)&lt;&gt;5,"n.a.",IF(I831=0,6,IF('Inputs'!$D$5=1,COUNTIFS($I$827:$I$831,"&gt;0",$I$827:$I$831,"&lt;"&amp;I831)+COUNTIFS($I$827:I831,I831),COUNTIFS($I$827:$I$831,"&gt;0",$J$827:$J$831,"&gt;"&amp;J831)+COUNTIFS($I$827:I831,"&gt;0",$J$827:J831,J831))))</x:f>
        <x:v>6</x:v>
      </x:c>
      <x:c r="P831" s="22" t="n">
        <x:f>IF(T831="Ready",MIN(U831,MAX(0,G831-SUMIFS($U$827:$U$831,$O$827:$O$831,"&lt;"&amp;O831))),"n.a.")</x:f>
        <x:v>0</x:v>
      </x:c>
      <x:c r="Q831" s="22" t="n">
        <x:f>IF(T831="Ready",ROUND(N831+P831,2),"n.a.")</x:f>
        <x:v>0</x:v>
      </x:c>
      <x:c r="R831" s="22" t="n">
        <x:f>IF(T831="Ready",ROUND(Q831-M831,2),"n.a.")</x:f>
        <x:v>0</x:v>
      </x:c>
      <x:c r="S831" s="22" t="n">
        <x:f>IF(T831="Ready",MAX(0,ROUND(I831+M831-Q831,2)),"n.a.")</x:f>
        <x:v>0</x:v>
      </x:c>
      <x:c r="T831" s="22" t="str">
        <x:f>IF(AND(COUNT($I$827:$I$831)=5,COUNT(E831:F831)=2),IF(E831&gt;=F831,"Ready","Budget below minima"),"Check inputs")</x:f>
        <x:v>Ready</x:v>
      </x:c>
      <x:c r="U831" s="22" t="n">
        <x:f>IF(COUNT(I831,M831,N831)=3,MAX(0,ROUND(I831+M831-N831,2)),"n.a.")</x:f>
        <x:v>0</x:v>
      </x:c>
    </x:row>
    <x:row r="832" ht="22" customHeight="1">
      <x:c r="A832" s="2"/>
      <x:c r="B832" s="2"/>
      <x:c r="C832" s="27" t="n">
        <x:f>166</x:f>
        <x:v>166</x:v>
      </x:c>
      <x:c r="D832" s="28" t="n">
        <x:f>IF(ISNUMBER('Inputs'!$D$7),EDATE('Inputs'!$D$7,165),"n.a.")</x:f>
        <x:v>51349</x:v>
      </x:c>
      <x:c r="E832" s="26" t="n">
        <x:f>IF('Inputs'!$D$9&lt;&gt;"Ready","n.a.",IF(ISNUMBER('Inputs'!E184),IF('Inputs'!E184&gt;=0,'Inputs'!E184,"n.a."),IF('Inputs'!E184="",'Inputs'!$D$6,"n.a.")))</x:f>
        <x:v>500</x:v>
      </x:c>
      <x:c r="F832" s="22" t="n">
        <x:f>IF(COUNT($N$832:$N$836)=5,SUM($N$832:$N$836),"n.a.")</x:f>
        <x:v>0</x:v>
      </x:c>
      <x:c r="G832" s="22" t="n">
        <x:f>IF(COUNT(E832:F832)=2,MAX(0,E832-F832),"n.a.")</x:f>
        <x:v>500</x:v>
      </x:c>
      <x:c r="H832" s="26" t="str">
        <x:f>'Inputs'!C11</x:f>
        <x:v>Card A</x:v>
      </x:c>
      <x:c r="I832" s="26" t="n">
        <x:f>S827</x:f>
        <x:v>0</x:v>
      </x:c>
      <x:c r="J832" s="29" t="n">
        <x:f>IF('Inputs'!$D$9="Ready",'Inputs'!E11,"n.a.")</x:f>
        <x:v>0.24</x:v>
      </x:c>
      <x:c r="K832" s="26" t="n">
        <x:f>IF('Inputs'!$D$9="Ready",'Inputs'!F11,"n.a.")</x:f>
        <x:v>35</x:v>
      </x:c>
      <x:c r="L832" s="29" t="n">
        <x:f>IF('Inputs'!$D$9="Ready",'Inputs'!G11,"n.a.")</x:f>
        <x:v>0.02</x:v>
      </x:c>
      <x:c r="M832" s="22" t="n">
        <x:f>IF(COUNT(I832:L832)=4,ROUND(I832*J832/12,2),"n.a.")</x:f>
        <x:v>0</x:v>
      </x:c>
      <x:c r="N832" s="22" t="n">
        <x:f>IF(COUNT(I832:M832)=5,MIN(I832+M832,ROUND(MAX(K832,I832*L832+M832),2)),"n.a.")</x:f>
        <x:v>0</x:v>
      </x:c>
      <x:c r="O832" s="30" t="n">
        <x:f>IF(COUNT($I$832:$I$836)&lt;&gt;5,"n.a.",IF(I832=0,6,IF('Inputs'!$D$5=1,COUNTIFS($I$832:$I$836,"&gt;0",$I$832:$I$836,"&lt;"&amp;I832)+COUNTIFS($I$832:I832,I832),COUNTIFS($I$832:$I$836,"&gt;0",$J$832:$J$836,"&gt;"&amp;J832)+COUNTIFS($I$832:I832,"&gt;0",$J$832:J832,J832))))</x:f>
        <x:v>6</x:v>
      </x:c>
      <x:c r="P832" s="22" t="n">
        <x:f>IF(T832="Ready",MIN(U832,MAX(0,G832-SUMIFS($U$832:$U$836,$O$832:$O$836,"&lt;"&amp;O832))),"n.a.")</x:f>
        <x:v>0</x:v>
      </x:c>
      <x:c r="Q832" s="22" t="n">
        <x:f>IF(T832="Ready",ROUND(N832+P832,2),"n.a.")</x:f>
        <x:v>0</x:v>
      </x:c>
      <x:c r="R832" s="22" t="n">
        <x:f>IF(T832="Ready",ROUND(Q832-M832,2),"n.a.")</x:f>
        <x:v>0</x:v>
      </x:c>
      <x:c r="S832" s="22" t="n">
        <x:f>IF(T832="Ready",MAX(0,ROUND(I832+M832-Q832,2)),"n.a.")</x:f>
        <x:v>0</x:v>
      </x:c>
      <x:c r="T832" s="22" t="str">
        <x:f>IF(AND(COUNT($I$832:$I$836)=5,COUNT(E832:F832)=2),IF(E832&gt;=F832,"Ready","Budget below minima"),"Check inputs")</x:f>
        <x:v>Ready</x:v>
      </x:c>
      <x:c r="U832" s="22" t="n">
        <x:f>IF(COUNT(I832,M832,N832)=3,MAX(0,ROUND(I832+M832-N832,2)),"n.a.")</x:f>
        <x:v>0</x:v>
      </x:c>
    </x:row>
    <x:row r="833" ht="22" customHeight="1">
      <x:c r="A833" s="2"/>
      <x:c r="B833" s="2"/>
      <x:c r="C833" s="27" t="n">
        <x:f>166</x:f>
        <x:v>166</x:v>
      </x:c>
      <x:c r="D833" s="28" t="n">
        <x:f>IF(ISNUMBER('Inputs'!$D$7),EDATE('Inputs'!$D$7,165),"n.a.")</x:f>
        <x:v>51349</x:v>
      </x:c>
      <x:c r="E833" s="26" t="n">
        <x:f>IF('Inputs'!$D$9&lt;&gt;"Ready","n.a.",IF(ISNUMBER('Inputs'!E184),IF('Inputs'!E184&gt;=0,'Inputs'!E184,"n.a."),IF('Inputs'!E184="",'Inputs'!$D$6,"n.a.")))</x:f>
        <x:v>500</x:v>
      </x:c>
      <x:c r="F833" s="22" t="n">
        <x:f>IF(COUNT($N$832:$N$836)=5,SUM($N$832:$N$836),"n.a.")</x:f>
        <x:v>0</x:v>
      </x:c>
      <x:c r="G833" s="22" t="n">
        <x:f>IF(COUNT(E833:F833)=2,MAX(0,E833-F833),"n.a.")</x:f>
        <x:v>500</x:v>
      </x:c>
      <x:c r="H833" s="26" t="str">
        <x:f>'Inputs'!C12</x:f>
        <x:v>Card B</x:v>
      </x:c>
      <x:c r="I833" s="26" t="n">
        <x:f>S828</x:f>
        <x:v>0</x:v>
      </x:c>
      <x:c r="J833" s="29" t="n">
        <x:f>IF('Inputs'!$D$9="Ready",'Inputs'!E12,"n.a.")</x:f>
        <x:v>0.18</x:v>
      </x:c>
      <x:c r="K833" s="26" t="n">
        <x:f>IF('Inputs'!$D$9="Ready",'Inputs'!F12,"n.a.")</x:f>
        <x:v>60</x:v>
      </x:c>
      <x:c r="L833" s="29" t="n">
        <x:f>IF('Inputs'!$D$9="Ready",'Inputs'!G12,"n.a.")</x:f>
        <x:v>0.02</x:v>
      </x:c>
      <x:c r="M833" s="22" t="n">
        <x:f>IF(COUNT(I833:L833)=4,ROUND(I833*J833/12,2),"n.a.")</x:f>
        <x:v>0</x:v>
      </x:c>
      <x:c r="N833" s="22" t="n">
        <x:f>IF(COUNT(I833:M833)=5,MIN(I833+M833,ROUND(MAX(K833,I833*L833+M833),2)),"n.a.")</x:f>
        <x:v>0</x:v>
      </x:c>
      <x:c r="O833" s="30" t="n">
        <x:f>IF(COUNT($I$832:$I$836)&lt;&gt;5,"n.a.",IF(I833=0,6,IF('Inputs'!$D$5=1,COUNTIFS($I$832:$I$836,"&gt;0",$I$832:$I$836,"&lt;"&amp;I833)+COUNTIFS($I$832:I833,I833),COUNTIFS($I$832:$I$836,"&gt;0",$J$832:$J$836,"&gt;"&amp;J833)+COUNTIFS($I$832:I833,"&gt;0",$J$832:J833,J833))))</x:f>
        <x:v>6</x:v>
      </x:c>
      <x:c r="P833" s="22" t="n">
        <x:f>IF(T833="Ready",MIN(U833,MAX(0,G833-SUMIFS($U$832:$U$836,$O$832:$O$836,"&lt;"&amp;O833))),"n.a.")</x:f>
        <x:v>0</x:v>
      </x:c>
      <x:c r="Q833" s="22" t="n">
        <x:f>IF(T833="Ready",ROUND(N833+P833,2),"n.a.")</x:f>
        <x:v>0</x:v>
      </x:c>
      <x:c r="R833" s="22" t="n">
        <x:f>IF(T833="Ready",ROUND(Q833-M833,2),"n.a.")</x:f>
        <x:v>0</x:v>
      </x:c>
      <x:c r="S833" s="22" t="n">
        <x:f>IF(T833="Ready",MAX(0,ROUND(I833+M833-Q833,2)),"n.a.")</x:f>
        <x:v>0</x:v>
      </x:c>
      <x:c r="T833" s="22" t="str">
        <x:f>IF(AND(COUNT($I$832:$I$836)=5,COUNT(E833:F833)=2),IF(E833&gt;=F833,"Ready","Budget below minima"),"Check inputs")</x:f>
        <x:v>Ready</x:v>
      </x:c>
      <x:c r="U833" s="22" t="n">
        <x:f>IF(COUNT(I833,M833,N833)=3,MAX(0,ROUND(I833+M833-N833,2)),"n.a.")</x:f>
        <x:v>0</x:v>
      </x:c>
    </x:row>
    <x:row r="834" ht="22" customHeight="1">
      <x:c r="A834" s="2"/>
      <x:c r="B834" s="2"/>
      <x:c r="C834" s="27" t="n">
        <x:f>166</x:f>
        <x:v>166</x:v>
      </x:c>
      <x:c r="D834" s="28" t="n">
        <x:f>IF(ISNUMBER('Inputs'!$D$7),EDATE('Inputs'!$D$7,165),"n.a.")</x:f>
        <x:v>51349</x:v>
      </x:c>
      <x:c r="E834" s="26" t="n">
        <x:f>IF('Inputs'!$D$9&lt;&gt;"Ready","n.a.",IF(ISNUMBER('Inputs'!E184),IF('Inputs'!E184&gt;=0,'Inputs'!E184,"n.a."),IF('Inputs'!E184="",'Inputs'!$D$6,"n.a.")))</x:f>
        <x:v>500</x:v>
      </x:c>
      <x:c r="F834" s="22" t="n">
        <x:f>IF(COUNT($N$832:$N$836)=5,SUM($N$832:$N$836),"n.a.")</x:f>
        <x:v>0</x:v>
      </x:c>
      <x:c r="G834" s="22" t="n">
        <x:f>IF(COUNT(E834:F834)=2,MAX(0,E834-F834),"n.a.")</x:f>
        <x:v>500</x:v>
      </x:c>
      <x:c r="H834" s="26" t="str">
        <x:f>'Inputs'!C13</x:f>
        <x:v>Loan C</x:v>
      </x:c>
      <x:c r="I834" s="26" t="n">
        <x:f>S829</x:f>
        <x:v>0</x:v>
      </x:c>
      <x:c r="J834" s="29" t="n">
        <x:f>IF('Inputs'!$D$9="Ready",'Inputs'!E13,"n.a.")</x:f>
        <x:v>0.08</x:v>
      </x:c>
      <x:c r="K834" s="26" t="n">
        <x:f>IF('Inputs'!$D$9="Ready",'Inputs'!F13,"n.a.")</x:f>
        <x:v>150</x:v>
      </x:c>
      <x:c r="L834" s="29" t="n">
        <x:f>IF('Inputs'!$D$9="Ready",'Inputs'!G13,"n.a.")</x:f>
        <x:v>0</x:v>
      </x:c>
      <x:c r="M834" s="22" t="n">
        <x:f>IF(COUNT(I834:L834)=4,ROUND(I834*J834/12,2),"n.a.")</x:f>
        <x:v>0</x:v>
      </x:c>
      <x:c r="N834" s="22" t="n">
        <x:f>IF(COUNT(I834:M834)=5,MIN(I834+M834,ROUND(MAX(K834,I834*L834+M834),2)),"n.a.")</x:f>
        <x:v>0</x:v>
      </x:c>
      <x:c r="O834" s="30" t="n">
        <x:f>IF(COUNT($I$832:$I$836)&lt;&gt;5,"n.a.",IF(I834=0,6,IF('Inputs'!$D$5=1,COUNTIFS($I$832:$I$836,"&gt;0",$I$832:$I$836,"&lt;"&amp;I834)+COUNTIFS($I$832:I834,I834),COUNTIFS($I$832:$I$836,"&gt;0",$J$832:$J$836,"&gt;"&amp;J834)+COUNTIFS($I$832:I834,"&gt;0",$J$832:J834,J834))))</x:f>
        <x:v>6</x:v>
      </x:c>
      <x:c r="P834" s="22" t="n">
        <x:f>IF(T834="Ready",MIN(U834,MAX(0,G834-SUMIFS($U$832:$U$836,$O$832:$O$836,"&lt;"&amp;O834))),"n.a.")</x:f>
        <x:v>0</x:v>
      </x:c>
      <x:c r="Q834" s="22" t="n">
        <x:f>IF(T834="Ready",ROUND(N834+P834,2),"n.a.")</x:f>
        <x:v>0</x:v>
      </x:c>
      <x:c r="R834" s="22" t="n">
        <x:f>IF(T834="Ready",ROUND(Q834-M834,2),"n.a.")</x:f>
        <x:v>0</x:v>
      </x:c>
      <x:c r="S834" s="22" t="n">
        <x:f>IF(T834="Ready",MAX(0,ROUND(I834+M834-Q834,2)),"n.a.")</x:f>
        <x:v>0</x:v>
      </x:c>
      <x:c r="T834" s="22" t="str">
        <x:f>IF(AND(COUNT($I$832:$I$836)=5,COUNT(E834:F834)=2),IF(E834&gt;=F834,"Ready","Budget below minima"),"Check inputs")</x:f>
        <x:v>Ready</x:v>
      </x:c>
      <x:c r="U834" s="22" t="n">
        <x:f>IF(COUNT(I834,M834,N834)=3,MAX(0,ROUND(I834+M834-N834,2)),"n.a.")</x:f>
        <x:v>0</x:v>
      </x:c>
    </x:row>
    <x:row r="835" ht="22" customHeight="1">
      <x:c r="A835" s="2"/>
      <x:c r="B835" s="2"/>
      <x:c r="C835" s="27" t="n">
        <x:f>166</x:f>
        <x:v>166</x:v>
      </x:c>
      <x:c r="D835" s="28" t="n">
        <x:f>IF(ISNUMBER('Inputs'!$D$7),EDATE('Inputs'!$D$7,165),"n.a.")</x:f>
        <x:v>51349</x:v>
      </x:c>
      <x:c r="E835" s="26" t="n">
        <x:f>IF('Inputs'!$D$9&lt;&gt;"Ready","n.a.",IF(ISNUMBER('Inputs'!E184),IF('Inputs'!E184&gt;=0,'Inputs'!E184,"n.a."),IF('Inputs'!E184="",'Inputs'!$D$6,"n.a.")))</x:f>
        <x:v>500</x:v>
      </x:c>
      <x:c r="F835" s="22" t="n">
        <x:f>IF(COUNT($N$832:$N$836)=5,SUM($N$832:$N$836),"n.a.")</x:f>
        <x:v>0</x:v>
      </x:c>
      <x:c r="G835" s="22" t="n">
        <x:f>IF(COUNT(E835:F835)=2,MAX(0,E835-F835),"n.a.")</x:f>
        <x:v>500</x:v>
      </x:c>
      <x:c r="H835" s="26" t="str">
        <x:f>'Inputs'!C14</x:f>
        <x:v>Unused 4</x:v>
      </x:c>
      <x:c r="I835" s="26" t="n">
        <x:f>S830</x:f>
        <x:v>0</x:v>
      </x:c>
      <x:c r="J835" s="29" t="n">
        <x:f>IF('Inputs'!$D$9="Ready",'Inputs'!E14,"n.a.")</x:f>
        <x:v>0</x:v>
      </x:c>
      <x:c r="K835" s="26" t="n">
        <x:f>IF('Inputs'!$D$9="Ready",'Inputs'!F14,"n.a.")</x:f>
        <x:v>0</x:v>
      </x:c>
      <x:c r="L835" s="29" t="n">
        <x:f>IF('Inputs'!$D$9="Ready",'Inputs'!G14,"n.a.")</x:f>
        <x:v>0</x:v>
      </x:c>
      <x:c r="M835" s="22" t="n">
        <x:f>IF(COUNT(I835:L835)=4,ROUND(I835*J835/12,2),"n.a.")</x:f>
        <x:v>0</x:v>
      </x:c>
      <x:c r="N835" s="22" t="n">
        <x:f>IF(COUNT(I835:M835)=5,MIN(I835+M835,ROUND(MAX(K835,I835*L835+M835),2)),"n.a.")</x:f>
        <x:v>0</x:v>
      </x:c>
      <x:c r="O835" s="30" t="n">
        <x:f>IF(COUNT($I$832:$I$836)&lt;&gt;5,"n.a.",IF(I835=0,6,IF('Inputs'!$D$5=1,COUNTIFS($I$832:$I$836,"&gt;0",$I$832:$I$836,"&lt;"&amp;I835)+COUNTIFS($I$832:I835,I835),COUNTIFS($I$832:$I$836,"&gt;0",$J$832:$J$836,"&gt;"&amp;J835)+COUNTIFS($I$832:I835,"&gt;0",$J$832:J835,J835))))</x:f>
        <x:v>6</x:v>
      </x:c>
      <x:c r="P835" s="22" t="n">
        <x:f>IF(T835="Ready",MIN(U835,MAX(0,G835-SUMIFS($U$832:$U$836,$O$832:$O$836,"&lt;"&amp;O835))),"n.a.")</x:f>
        <x:v>0</x:v>
      </x:c>
      <x:c r="Q835" s="22" t="n">
        <x:f>IF(T835="Ready",ROUND(N835+P835,2),"n.a.")</x:f>
        <x:v>0</x:v>
      </x:c>
      <x:c r="R835" s="22" t="n">
        <x:f>IF(T835="Ready",ROUND(Q835-M835,2),"n.a.")</x:f>
        <x:v>0</x:v>
      </x:c>
      <x:c r="S835" s="22" t="n">
        <x:f>IF(T835="Ready",MAX(0,ROUND(I835+M835-Q835,2)),"n.a.")</x:f>
        <x:v>0</x:v>
      </x:c>
      <x:c r="T835" s="22" t="str">
        <x:f>IF(AND(COUNT($I$832:$I$836)=5,COUNT(E835:F835)=2),IF(E835&gt;=F835,"Ready","Budget below minima"),"Check inputs")</x:f>
        <x:v>Ready</x:v>
      </x:c>
      <x:c r="U835" s="22" t="n">
        <x:f>IF(COUNT(I835,M835,N835)=3,MAX(0,ROUND(I835+M835-N835,2)),"n.a.")</x:f>
        <x:v>0</x:v>
      </x:c>
    </x:row>
    <x:row r="836" ht="22" customHeight="1">
      <x:c r="A836" s="2"/>
      <x:c r="B836" s="2"/>
      <x:c r="C836" s="27" t="n">
        <x:f>166</x:f>
        <x:v>166</x:v>
      </x:c>
      <x:c r="D836" s="28" t="n">
        <x:f>IF(ISNUMBER('Inputs'!$D$7),EDATE('Inputs'!$D$7,165),"n.a.")</x:f>
        <x:v>51349</x:v>
      </x:c>
      <x:c r="E836" s="26" t="n">
        <x:f>IF('Inputs'!$D$9&lt;&gt;"Ready","n.a.",IF(ISNUMBER('Inputs'!E184),IF('Inputs'!E184&gt;=0,'Inputs'!E184,"n.a."),IF('Inputs'!E184="",'Inputs'!$D$6,"n.a.")))</x:f>
        <x:v>500</x:v>
      </x:c>
      <x:c r="F836" s="22" t="n">
        <x:f>IF(COUNT($N$832:$N$836)=5,SUM($N$832:$N$836),"n.a.")</x:f>
        <x:v>0</x:v>
      </x:c>
      <x:c r="G836" s="22" t="n">
        <x:f>IF(COUNT(E836:F836)=2,MAX(0,E836-F836),"n.a.")</x:f>
        <x:v>500</x:v>
      </x:c>
      <x:c r="H836" s="26" t="str">
        <x:f>'Inputs'!C15</x:f>
        <x:v>Unused 5</x:v>
      </x:c>
      <x:c r="I836" s="26" t="n">
        <x:f>S831</x:f>
        <x:v>0</x:v>
      </x:c>
      <x:c r="J836" s="29" t="n">
        <x:f>IF('Inputs'!$D$9="Ready",'Inputs'!E15,"n.a.")</x:f>
        <x:v>0</x:v>
      </x:c>
      <x:c r="K836" s="26" t="n">
        <x:f>IF('Inputs'!$D$9="Ready",'Inputs'!F15,"n.a.")</x:f>
        <x:v>0</x:v>
      </x:c>
      <x:c r="L836" s="29" t="n">
        <x:f>IF('Inputs'!$D$9="Ready",'Inputs'!G15,"n.a.")</x:f>
        <x:v>0</x:v>
      </x:c>
      <x:c r="M836" s="22" t="n">
        <x:f>IF(COUNT(I836:L836)=4,ROUND(I836*J836/12,2),"n.a.")</x:f>
        <x:v>0</x:v>
      </x:c>
      <x:c r="N836" s="22" t="n">
        <x:f>IF(COUNT(I836:M836)=5,MIN(I836+M836,ROUND(MAX(K836,I836*L836+M836),2)),"n.a.")</x:f>
        <x:v>0</x:v>
      </x:c>
      <x:c r="O836" s="30" t="n">
        <x:f>IF(COUNT($I$832:$I$836)&lt;&gt;5,"n.a.",IF(I836=0,6,IF('Inputs'!$D$5=1,COUNTIFS($I$832:$I$836,"&gt;0",$I$832:$I$836,"&lt;"&amp;I836)+COUNTIFS($I$832:I836,I836),COUNTIFS($I$832:$I$836,"&gt;0",$J$832:$J$836,"&gt;"&amp;J836)+COUNTIFS($I$832:I836,"&gt;0",$J$832:J836,J836))))</x:f>
        <x:v>6</x:v>
      </x:c>
      <x:c r="P836" s="22" t="n">
        <x:f>IF(T836="Ready",MIN(U836,MAX(0,G836-SUMIFS($U$832:$U$836,$O$832:$O$836,"&lt;"&amp;O836))),"n.a.")</x:f>
        <x:v>0</x:v>
      </x:c>
      <x:c r="Q836" s="22" t="n">
        <x:f>IF(T836="Ready",ROUND(N836+P836,2),"n.a.")</x:f>
        <x:v>0</x:v>
      </x:c>
      <x:c r="R836" s="22" t="n">
        <x:f>IF(T836="Ready",ROUND(Q836-M836,2),"n.a.")</x:f>
        <x:v>0</x:v>
      </x:c>
      <x:c r="S836" s="22" t="n">
        <x:f>IF(T836="Ready",MAX(0,ROUND(I836+M836-Q836,2)),"n.a.")</x:f>
        <x:v>0</x:v>
      </x:c>
      <x:c r="T836" s="22" t="str">
        <x:f>IF(AND(COUNT($I$832:$I$836)=5,COUNT(E836:F836)=2),IF(E836&gt;=F836,"Ready","Budget below minima"),"Check inputs")</x:f>
        <x:v>Ready</x:v>
      </x:c>
      <x:c r="U836" s="22" t="n">
        <x:f>IF(COUNT(I836,M836,N836)=3,MAX(0,ROUND(I836+M836-N836,2)),"n.a.")</x:f>
        <x:v>0</x:v>
      </x:c>
    </x:row>
    <x:row r="837" ht="22" customHeight="1">
      <x:c r="A837" s="2"/>
      <x:c r="B837" s="2"/>
      <x:c r="C837" s="27" t="n">
        <x:f>167</x:f>
        <x:v>167</x:v>
      </x:c>
      <x:c r="D837" s="28" t="n">
        <x:f>IF(ISNUMBER('Inputs'!$D$7),EDATE('Inputs'!$D$7,166),"n.a.")</x:f>
        <x:v>51380</x:v>
      </x:c>
      <x:c r="E837" s="26" t="n">
        <x:f>IF('Inputs'!$D$9&lt;&gt;"Ready","n.a.",IF(ISNUMBER('Inputs'!E185),IF('Inputs'!E185&gt;=0,'Inputs'!E185,"n.a."),IF('Inputs'!E185="",'Inputs'!$D$6,"n.a.")))</x:f>
        <x:v>500</x:v>
      </x:c>
      <x:c r="F837" s="22" t="n">
        <x:f>IF(COUNT($N$837:$N$841)=5,SUM($N$837:$N$841),"n.a.")</x:f>
        <x:v>0</x:v>
      </x:c>
      <x:c r="G837" s="22" t="n">
        <x:f>IF(COUNT(E837:F837)=2,MAX(0,E837-F837),"n.a.")</x:f>
        <x:v>500</x:v>
      </x:c>
      <x:c r="H837" s="26" t="str">
        <x:f>'Inputs'!C11</x:f>
        <x:v>Card A</x:v>
      </x:c>
      <x:c r="I837" s="26" t="n">
        <x:f>S832</x:f>
        <x:v>0</x:v>
      </x:c>
      <x:c r="J837" s="29" t="n">
        <x:f>IF('Inputs'!$D$9="Ready",'Inputs'!E11,"n.a.")</x:f>
        <x:v>0.24</x:v>
      </x:c>
      <x:c r="K837" s="26" t="n">
        <x:f>IF('Inputs'!$D$9="Ready",'Inputs'!F11,"n.a.")</x:f>
        <x:v>35</x:v>
      </x:c>
      <x:c r="L837" s="29" t="n">
        <x:f>IF('Inputs'!$D$9="Ready",'Inputs'!G11,"n.a.")</x:f>
        <x:v>0.02</x:v>
      </x:c>
      <x:c r="M837" s="22" t="n">
        <x:f>IF(COUNT(I837:L837)=4,ROUND(I837*J837/12,2),"n.a.")</x:f>
        <x:v>0</x:v>
      </x:c>
      <x:c r="N837" s="22" t="n">
        <x:f>IF(COUNT(I837:M837)=5,MIN(I837+M837,ROUND(MAX(K837,I837*L837+M837),2)),"n.a.")</x:f>
        <x:v>0</x:v>
      </x:c>
      <x:c r="O837" s="30" t="n">
        <x:f>IF(COUNT($I$837:$I$841)&lt;&gt;5,"n.a.",IF(I837=0,6,IF('Inputs'!$D$5=1,COUNTIFS($I$837:$I$841,"&gt;0",$I$837:$I$841,"&lt;"&amp;I837)+COUNTIFS($I$837:I837,I837),COUNTIFS($I$837:$I$841,"&gt;0",$J$837:$J$841,"&gt;"&amp;J837)+COUNTIFS($I$837:I837,"&gt;0",$J$837:J837,J837))))</x:f>
        <x:v>6</x:v>
      </x:c>
      <x:c r="P837" s="22" t="n">
        <x:f>IF(T837="Ready",MIN(U837,MAX(0,G837-SUMIFS($U$837:$U$841,$O$837:$O$841,"&lt;"&amp;O837))),"n.a.")</x:f>
        <x:v>0</x:v>
      </x:c>
      <x:c r="Q837" s="22" t="n">
        <x:f>IF(T837="Ready",ROUND(N837+P837,2),"n.a.")</x:f>
        <x:v>0</x:v>
      </x:c>
      <x:c r="R837" s="22" t="n">
        <x:f>IF(T837="Ready",ROUND(Q837-M837,2),"n.a.")</x:f>
        <x:v>0</x:v>
      </x:c>
      <x:c r="S837" s="22" t="n">
        <x:f>IF(T837="Ready",MAX(0,ROUND(I837+M837-Q837,2)),"n.a.")</x:f>
        <x:v>0</x:v>
      </x:c>
      <x:c r="T837" s="22" t="str">
        <x:f>IF(AND(COUNT($I$837:$I$841)=5,COUNT(E837:F837)=2),IF(E837&gt;=F837,"Ready","Budget below minima"),"Check inputs")</x:f>
        <x:v>Ready</x:v>
      </x:c>
      <x:c r="U837" s="22" t="n">
        <x:f>IF(COUNT(I837,M837,N837)=3,MAX(0,ROUND(I837+M837-N837,2)),"n.a.")</x:f>
        <x:v>0</x:v>
      </x:c>
    </x:row>
    <x:row r="838" ht="22" customHeight="1">
      <x:c r="A838" s="2"/>
      <x:c r="B838" s="2"/>
      <x:c r="C838" s="27" t="n">
        <x:f>167</x:f>
        <x:v>167</x:v>
      </x:c>
      <x:c r="D838" s="28" t="n">
        <x:f>IF(ISNUMBER('Inputs'!$D$7),EDATE('Inputs'!$D$7,166),"n.a.")</x:f>
        <x:v>51380</x:v>
      </x:c>
      <x:c r="E838" s="26" t="n">
        <x:f>IF('Inputs'!$D$9&lt;&gt;"Ready","n.a.",IF(ISNUMBER('Inputs'!E185),IF('Inputs'!E185&gt;=0,'Inputs'!E185,"n.a."),IF('Inputs'!E185="",'Inputs'!$D$6,"n.a.")))</x:f>
        <x:v>500</x:v>
      </x:c>
      <x:c r="F838" s="22" t="n">
        <x:f>IF(COUNT($N$837:$N$841)=5,SUM($N$837:$N$841),"n.a.")</x:f>
        <x:v>0</x:v>
      </x:c>
      <x:c r="G838" s="22" t="n">
        <x:f>IF(COUNT(E838:F838)=2,MAX(0,E838-F838),"n.a.")</x:f>
        <x:v>500</x:v>
      </x:c>
      <x:c r="H838" s="26" t="str">
        <x:f>'Inputs'!C12</x:f>
        <x:v>Card B</x:v>
      </x:c>
      <x:c r="I838" s="26" t="n">
        <x:f>S833</x:f>
        <x:v>0</x:v>
      </x:c>
      <x:c r="J838" s="29" t="n">
        <x:f>IF('Inputs'!$D$9="Ready",'Inputs'!E12,"n.a.")</x:f>
        <x:v>0.18</x:v>
      </x:c>
      <x:c r="K838" s="26" t="n">
        <x:f>IF('Inputs'!$D$9="Ready",'Inputs'!F12,"n.a.")</x:f>
        <x:v>60</x:v>
      </x:c>
      <x:c r="L838" s="29" t="n">
        <x:f>IF('Inputs'!$D$9="Ready",'Inputs'!G12,"n.a.")</x:f>
        <x:v>0.02</x:v>
      </x:c>
      <x:c r="M838" s="22" t="n">
        <x:f>IF(COUNT(I838:L838)=4,ROUND(I838*J838/12,2),"n.a.")</x:f>
        <x:v>0</x:v>
      </x:c>
      <x:c r="N838" s="22" t="n">
        <x:f>IF(COUNT(I838:M838)=5,MIN(I838+M838,ROUND(MAX(K838,I838*L838+M838),2)),"n.a.")</x:f>
        <x:v>0</x:v>
      </x:c>
      <x:c r="O838" s="30" t="n">
        <x:f>IF(COUNT($I$837:$I$841)&lt;&gt;5,"n.a.",IF(I838=0,6,IF('Inputs'!$D$5=1,COUNTIFS($I$837:$I$841,"&gt;0",$I$837:$I$841,"&lt;"&amp;I838)+COUNTIFS($I$837:I838,I838),COUNTIFS($I$837:$I$841,"&gt;0",$J$837:$J$841,"&gt;"&amp;J838)+COUNTIFS($I$837:I838,"&gt;0",$J$837:J838,J838))))</x:f>
        <x:v>6</x:v>
      </x:c>
      <x:c r="P838" s="22" t="n">
        <x:f>IF(T838="Ready",MIN(U838,MAX(0,G838-SUMIFS($U$837:$U$841,$O$837:$O$841,"&lt;"&amp;O838))),"n.a.")</x:f>
        <x:v>0</x:v>
      </x:c>
      <x:c r="Q838" s="22" t="n">
        <x:f>IF(T838="Ready",ROUND(N838+P838,2),"n.a.")</x:f>
        <x:v>0</x:v>
      </x:c>
      <x:c r="R838" s="22" t="n">
        <x:f>IF(T838="Ready",ROUND(Q838-M838,2),"n.a.")</x:f>
        <x:v>0</x:v>
      </x:c>
      <x:c r="S838" s="22" t="n">
        <x:f>IF(T838="Ready",MAX(0,ROUND(I838+M838-Q838,2)),"n.a.")</x:f>
        <x:v>0</x:v>
      </x:c>
      <x:c r="T838" s="22" t="str">
        <x:f>IF(AND(COUNT($I$837:$I$841)=5,COUNT(E838:F838)=2),IF(E838&gt;=F838,"Ready","Budget below minima"),"Check inputs")</x:f>
        <x:v>Ready</x:v>
      </x:c>
      <x:c r="U838" s="22" t="n">
        <x:f>IF(COUNT(I838,M838,N838)=3,MAX(0,ROUND(I838+M838-N838,2)),"n.a.")</x:f>
        <x:v>0</x:v>
      </x:c>
    </x:row>
    <x:row r="839" ht="22" customHeight="1">
      <x:c r="A839" s="2"/>
      <x:c r="B839" s="2"/>
      <x:c r="C839" s="27" t="n">
        <x:f>167</x:f>
        <x:v>167</x:v>
      </x:c>
      <x:c r="D839" s="28" t="n">
        <x:f>IF(ISNUMBER('Inputs'!$D$7),EDATE('Inputs'!$D$7,166),"n.a.")</x:f>
        <x:v>51380</x:v>
      </x:c>
      <x:c r="E839" s="26" t="n">
        <x:f>IF('Inputs'!$D$9&lt;&gt;"Ready","n.a.",IF(ISNUMBER('Inputs'!E185),IF('Inputs'!E185&gt;=0,'Inputs'!E185,"n.a."),IF('Inputs'!E185="",'Inputs'!$D$6,"n.a.")))</x:f>
        <x:v>500</x:v>
      </x:c>
      <x:c r="F839" s="22" t="n">
        <x:f>IF(COUNT($N$837:$N$841)=5,SUM($N$837:$N$841),"n.a.")</x:f>
        <x:v>0</x:v>
      </x:c>
      <x:c r="G839" s="22" t="n">
        <x:f>IF(COUNT(E839:F839)=2,MAX(0,E839-F839),"n.a.")</x:f>
        <x:v>500</x:v>
      </x:c>
      <x:c r="H839" s="26" t="str">
        <x:f>'Inputs'!C13</x:f>
        <x:v>Loan C</x:v>
      </x:c>
      <x:c r="I839" s="26" t="n">
        <x:f>S834</x:f>
        <x:v>0</x:v>
      </x:c>
      <x:c r="J839" s="29" t="n">
        <x:f>IF('Inputs'!$D$9="Ready",'Inputs'!E13,"n.a.")</x:f>
        <x:v>0.08</x:v>
      </x:c>
      <x:c r="K839" s="26" t="n">
        <x:f>IF('Inputs'!$D$9="Ready",'Inputs'!F13,"n.a.")</x:f>
        <x:v>150</x:v>
      </x:c>
      <x:c r="L839" s="29" t="n">
        <x:f>IF('Inputs'!$D$9="Ready",'Inputs'!G13,"n.a.")</x:f>
        <x:v>0</x:v>
      </x:c>
      <x:c r="M839" s="22" t="n">
        <x:f>IF(COUNT(I839:L839)=4,ROUND(I839*J839/12,2),"n.a.")</x:f>
        <x:v>0</x:v>
      </x:c>
      <x:c r="N839" s="22" t="n">
        <x:f>IF(COUNT(I839:M839)=5,MIN(I839+M839,ROUND(MAX(K839,I839*L839+M839),2)),"n.a.")</x:f>
        <x:v>0</x:v>
      </x:c>
      <x:c r="O839" s="30" t="n">
        <x:f>IF(COUNT($I$837:$I$841)&lt;&gt;5,"n.a.",IF(I839=0,6,IF('Inputs'!$D$5=1,COUNTIFS($I$837:$I$841,"&gt;0",$I$837:$I$841,"&lt;"&amp;I839)+COUNTIFS($I$837:I839,I839),COUNTIFS($I$837:$I$841,"&gt;0",$J$837:$J$841,"&gt;"&amp;J839)+COUNTIFS($I$837:I839,"&gt;0",$J$837:J839,J839))))</x:f>
        <x:v>6</x:v>
      </x:c>
      <x:c r="P839" s="22" t="n">
        <x:f>IF(T839="Ready",MIN(U839,MAX(0,G839-SUMIFS($U$837:$U$841,$O$837:$O$841,"&lt;"&amp;O839))),"n.a.")</x:f>
        <x:v>0</x:v>
      </x:c>
      <x:c r="Q839" s="22" t="n">
        <x:f>IF(T839="Ready",ROUND(N839+P839,2),"n.a.")</x:f>
        <x:v>0</x:v>
      </x:c>
      <x:c r="R839" s="22" t="n">
        <x:f>IF(T839="Ready",ROUND(Q839-M839,2),"n.a.")</x:f>
        <x:v>0</x:v>
      </x:c>
      <x:c r="S839" s="22" t="n">
        <x:f>IF(T839="Ready",MAX(0,ROUND(I839+M839-Q839,2)),"n.a.")</x:f>
        <x:v>0</x:v>
      </x:c>
      <x:c r="T839" s="22" t="str">
        <x:f>IF(AND(COUNT($I$837:$I$841)=5,COUNT(E839:F839)=2),IF(E839&gt;=F839,"Ready","Budget below minima"),"Check inputs")</x:f>
        <x:v>Ready</x:v>
      </x:c>
      <x:c r="U839" s="22" t="n">
        <x:f>IF(COUNT(I839,M839,N839)=3,MAX(0,ROUND(I839+M839-N839,2)),"n.a.")</x:f>
        <x:v>0</x:v>
      </x:c>
    </x:row>
    <x:row r="840" ht="22" customHeight="1">
      <x:c r="A840" s="2"/>
      <x:c r="B840" s="2"/>
      <x:c r="C840" s="27" t="n">
        <x:f>167</x:f>
        <x:v>167</x:v>
      </x:c>
      <x:c r="D840" s="28" t="n">
        <x:f>IF(ISNUMBER('Inputs'!$D$7),EDATE('Inputs'!$D$7,166),"n.a.")</x:f>
        <x:v>51380</x:v>
      </x:c>
      <x:c r="E840" s="26" t="n">
        <x:f>IF('Inputs'!$D$9&lt;&gt;"Ready","n.a.",IF(ISNUMBER('Inputs'!E185),IF('Inputs'!E185&gt;=0,'Inputs'!E185,"n.a."),IF('Inputs'!E185="",'Inputs'!$D$6,"n.a.")))</x:f>
        <x:v>500</x:v>
      </x:c>
      <x:c r="F840" s="22" t="n">
        <x:f>IF(COUNT($N$837:$N$841)=5,SUM($N$837:$N$841),"n.a.")</x:f>
        <x:v>0</x:v>
      </x:c>
      <x:c r="G840" s="22" t="n">
        <x:f>IF(COUNT(E840:F840)=2,MAX(0,E840-F840),"n.a.")</x:f>
        <x:v>500</x:v>
      </x:c>
      <x:c r="H840" s="26" t="str">
        <x:f>'Inputs'!C14</x:f>
        <x:v>Unused 4</x:v>
      </x:c>
      <x:c r="I840" s="26" t="n">
        <x:f>S835</x:f>
        <x:v>0</x:v>
      </x:c>
      <x:c r="J840" s="29" t="n">
        <x:f>IF('Inputs'!$D$9="Ready",'Inputs'!E14,"n.a.")</x:f>
        <x:v>0</x:v>
      </x:c>
      <x:c r="K840" s="26" t="n">
        <x:f>IF('Inputs'!$D$9="Ready",'Inputs'!F14,"n.a.")</x:f>
        <x:v>0</x:v>
      </x:c>
      <x:c r="L840" s="29" t="n">
        <x:f>IF('Inputs'!$D$9="Ready",'Inputs'!G14,"n.a.")</x:f>
        <x:v>0</x:v>
      </x:c>
      <x:c r="M840" s="22" t="n">
        <x:f>IF(COUNT(I840:L840)=4,ROUND(I840*J840/12,2),"n.a.")</x:f>
        <x:v>0</x:v>
      </x:c>
      <x:c r="N840" s="22" t="n">
        <x:f>IF(COUNT(I840:M840)=5,MIN(I840+M840,ROUND(MAX(K840,I840*L840+M840),2)),"n.a.")</x:f>
        <x:v>0</x:v>
      </x:c>
      <x:c r="O840" s="30" t="n">
        <x:f>IF(COUNT($I$837:$I$841)&lt;&gt;5,"n.a.",IF(I840=0,6,IF('Inputs'!$D$5=1,COUNTIFS($I$837:$I$841,"&gt;0",$I$837:$I$841,"&lt;"&amp;I840)+COUNTIFS($I$837:I840,I840),COUNTIFS($I$837:$I$841,"&gt;0",$J$837:$J$841,"&gt;"&amp;J840)+COUNTIFS($I$837:I840,"&gt;0",$J$837:J840,J840))))</x:f>
        <x:v>6</x:v>
      </x:c>
      <x:c r="P840" s="22" t="n">
        <x:f>IF(T840="Ready",MIN(U840,MAX(0,G840-SUMIFS($U$837:$U$841,$O$837:$O$841,"&lt;"&amp;O840))),"n.a.")</x:f>
        <x:v>0</x:v>
      </x:c>
      <x:c r="Q840" s="22" t="n">
        <x:f>IF(T840="Ready",ROUND(N840+P840,2),"n.a.")</x:f>
        <x:v>0</x:v>
      </x:c>
      <x:c r="R840" s="22" t="n">
        <x:f>IF(T840="Ready",ROUND(Q840-M840,2),"n.a.")</x:f>
        <x:v>0</x:v>
      </x:c>
      <x:c r="S840" s="22" t="n">
        <x:f>IF(T840="Ready",MAX(0,ROUND(I840+M840-Q840,2)),"n.a.")</x:f>
        <x:v>0</x:v>
      </x:c>
      <x:c r="T840" s="22" t="str">
        <x:f>IF(AND(COUNT($I$837:$I$841)=5,COUNT(E840:F840)=2),IF(E840&gt;=F840,"Ready","Budget below minima"),"Check inputs")</x:f>
        <x:v>Ready</x:v>
      </x:c>
      <x:c r="U840" s="22" t="n">
        <x:f>IF(COUNT(I840,M840,N840)=3,MAX(0,ROUND(I840+M840-N840,2)),"n.a.")</x:f>
        <x:v>0</x:v>
      </x:c>
    </x:row>
    <x:row r="841" ht="22" customHeight="1">
      <x:c r="A841" s="2"/>
      <x:c r="B841" s="2"/>
      <x:c r="C841" s="27" t="n">
        <x:f>167</x:f>
        <x:v>167</x:v>
      </x:c>
      <x:c r="D841" s="28" t="n">
        <x:f>IF(ISNUMBER('Inputs'!$D$7),EDATE('Inputs'!$D$7,166),"n.a.")</x:f>
        <x:v>51380</x:v>
      </x:c>
      <x:c r="E841" s="26" t="n">
        <x:f>IF('Inputs'!$D$9&lt;&gt;"Ready","n.a.",IF(ISNUMBER('Inputs'!E185),IF('Inputs'!E185&gt;=0,'Inputs'!E185,"n.a."),IF('Inputs'!E185="",'Inputs'!$D$6,"n.a.")))</x:f>
        <x:v>500</x:v>
      </x:c>
      <x:c r="F841" s="22" t="n">
        <x:f>IF(COUNT($N$837:$N$841)=5,SUM($N$837:$N$841),"n.a.")</x:f>
        <x:v>0</x:v>
      </x:c>
      <x:c r="G841" s="22" t="n">
        <x:f>IF(COUNT(E841:F841)=2,MAX(0,E841-F841),"n.a.")</x:f>
        <x:v>500</x:v>
      </x:c>
      <x:c r="H841" s="26" t="str">
        <x:f>'Inputs'!C15</x:f>
        <x:v>Unused 5</x:v>
      </x:c>
      <x:c r="I841" s="26" t="n">
        <x:f>S836</x:f>
        <x:v>0</x:v>
      </x:c>
      <x:c r="J841" s="29" t="n">
        <x:f>IF('Inputs'!$D$9="Ready",'Inputs'!E15,"n.a.")</x:f>
        <x:v>0</x:v>
      </x:c>
      <x:c r="K841" s="26" t="n">
        <x:f>IF('Inputs'!$D$9="Ready",'Inputs'!F15,"n.a.")</x:f>
        <x:v>0</x:v>
      </x:c>
      <x:c r="L841" s="29" t="n">
        <x:f>IF('Inputs'!$D$9="Ready",'Inputs'!G15,"n.a.")</x:f>
        <x:v>0</x:v>
      </x:c>
      <x:c r="M841" s="22" t="n">
        <x:f>IF(COUNT(I841:L841)=4,ROUND(I841*J841/12,2),"n.a.")</x:f>
        <x:v>0</x:v>
      </x:c>
      <x:c r="N841" s="22" t="n">
        <x:f>IF(COUNT(I841:M841)=5,MIN(I841+M841,ROUND(MAX(K841,I841*L841+M841),2)),"n.a.")</x:f>
        <x:v>0</x:v>
      </x:c>
      <x:c r="O841" s="30" t="n">
        <x:f>IF(COUNT($I$837:$I$841)&lt;&gt;5,"n.a.",IF(I841=0,6,IF('Inputs'!$D$5=1,COUNTIFS($I$837:$I$841,"&gt;0",$I$837:$I$841,"&lt;"&amp;I841)+COUNTIFS($I$837:I841,I841),COUNTIFS($I$837:$I$841,"&gt;0",$J$837:$J$841,"&gt;"&amp;J841)+COUNTIFS($I$837:I841,"&gt;0",$J$837:J841,J841))))</x:f>
        <x:v>6</x:v>
      </x:c>
      <x:c r="P841" s="22" t="n">
        <x:f>IF(T841="Ready",MIN(U841,MAX(0,G841-SUMIFS($U$837:$U$841,$O$837:$O$841,"&lt;"&amp;O841))),"n.a.")</x:f>
        <x:v>0</x:v>
      </x:c>
      <x:c r="Q841" s="22" t="n">
        <x:f>IF(T841="Ready",ROUND(N841+P841,2),"n.a.")</x:f>
        <x:v>0</x:v>
      </x:c>
      <x:c r="R841" s="22" t="n">
        <x:f>IF(T841="Ready",ROUND(Q841-M841,2),"n.a.")</x:f>
        <x:v>0</x:v>
      </x:c>
      <x:c r="S841" s="22" t="n">
        <x:f>IF(T841="Ready",MAX(0,ROUND(I841+M841-Q841,2)),"n.a.")</x:f>
        <x:v>0</x:v>
      </x:c>
      <x:c r="T841" s="22" t="str">
        <x:f>IF(AND(COUNT($I$837:$I$841)=5,COUNT(E841:F841)=2),IF(E841&gt;=F841,"Ready","Budget below minima"),"Check inputs")</x:f>
        <x:v>Ready</x:v>
      </x:c>
      <x:c r="U841" s="22" t="n">
        <x:f>IF(COUNT(I841,M841,N841)=3,MAX(0,ROUND(I841+M841-N841,2)),"n.a.")</x:f>
        <x:v>0</x:v>
      </x:c>
    </x:row>
    <x:row r="842" ht="22" customHeight="1">
      <x:c r="A842" s="2"/>
      <x:c r="B842" s="2"/>
      <x:c r="C842" s="27" t="n">
        <x:f>168</x:f>
        <x:v>168</x:v>
      </x:c>
      <x:c r="D842" s="28" t="n">
        <x:f>IF(ISNUMBER('Inputs'!$D$7),EDATE('Inputs'!$D$7,167),"n.a.")</x:f>
        <x:v>51410</x:v>
      </x:c>
      <x:c r="E842" s="26" t="n">
        <x:f>IF('Inputs'!$D$9&lt;&gt;"Ready","n.a.",IF(ISNUMBER('Inputs'!E186),IF('Inputs'!E186&gt;=0,'Inputs'!E186,"n.a."),IF('Inputs'!E186="",'Inputs'!$D$6,"n.a.")))</x:f>
        <x:v>500</x:v>
      </x:c>
      <x:c r="F842" s="22" t="n">
        <x:f>IF(COUNT($N$842:$N$846)=5,SUM($N$842:$N$846),"n.a.")</x:f>
        <x:v>0</x:v>
      </x:c>
      <x:c r="G842" s="22" t="n">
        <x:f>IF(COUNT(E842:F842)=2,MAX(0,E842-F842),"n.a.")</x:f>
        <x:v>500</x:v>
      </x:c>
      <x:c r="H842" s="26" t="str">
        <x:f>'Inputs'!C11</x:f>
        <x:v>Card A</x:v>
      </x:c>
      <x:c r="I842" s="26" t="n">
        <x:f>S837</x:f>
        <x:v>0</x:v>
      </x:c>
      <x:c r="J842" s="29" t="n">
        <x:f>IF('Inputs'!$D$9="Ready",'Inputs'!E11,"n.a.")</x:f>
        <x:v>0.24</x:v>
      </x:c>
      <x:c r="K842" s="26" t="n">
        <x:f>IF('Inputs'!$D$9="Ready",'Inputs'!F11,"n.a.")</x:f>
        <x:v>35</x:v>
      </x:c>
      <x:c r="L842" s="29" t="n">
        <x:f>IF('Inputs'!$D$9="Ready",'Inputs'!G11,"n.a.")</x:f>
        <x:v>0.02</x:v>
      </x:c>
      <x:c r="M842" s="22" t="n">
        <x:f>IF(COUNT(I842:L842)=4,ROUND(I842*J842/12,2),"n.a.")</x:f>
        <x:v>0</x:v>
      </x:c>
      <x:c r="N842" s="22" t="n">
        <x:f>IF(COUNT(I842:M842)=5,MIN(I842+M842,ROUND(MAX(K842,I842*L842+M842),2)),"n.a.")</x:f>
        <x:v>0</x:v>
      </x:c>
      <x:c r="O842" s="30" t="n">
        <x:f>IF(COUNT($I$842:$I$846)&lt;&gt;5,"n.a.",IF(I842=0,6,IF('Inputs'!$D$5=1,COUNTIFS($I$842:$I$846,"&gt;0",$I$842:$I$846,"&lt;"&amp;I842)+COUNTIFS($I$842:I842,I842),COUNTIFS($I$842:$I$846,"&gt;0",$J$842:$J$846,"&gt;"&amp;J842)+COUNTIFS($I$842:I842,"&gt;0",$J$842:J842,J842))))</x:f>
        <x:v>6</x:v>
      </x:c>
      <x:c r="P842" s="22" t="n">
        <x:f>IF(T842="Ready",MIN(U842,MAX(0,G842-SUMIFS($U$842:$U$846,$O$842:$O$846,"&lt;"&amp;O842))),"n.a.")</x:f>
        <x:v>0</x:v>
      </x:c>
      <x:c r="Q842" s="22" t="n">
        <x:f>IF(T842="Ready",ROUND(N842+P842,2),"n.a.")</x:f>
        <x:v>0</x:v>
      </x:c>
      <x:c r="R842" s="22" t="n">
        <x:f>IF(T842="Ready",ROUND(Q842-M842,2),"n.a.")</x:f>
        <x:v>0</x:v>
      </x:c>
      <x:c r="S842" s="22" t="n">
        <x:f>IF(T842="Ready",MAX(0,ROUND(I842+M842-Q842,2)),"n.a.")</x:f>
        <x:v>0</x:v>
      </x:c>
      <x:c r="T842" s="22" t="str">
        <x:f>IF(AND(COUNT($I$842:$I$846)=5,COUNT(E842:F842)=2),IF(E842&gt;=F842,"Ready","Budget below minima"),"Check inputs")</x:f>
        <x:v>Ready</x:v>
      </x:c>
      <x:c r="U842" s="22" t="n">
        <x:f>IF(COUNT(I842,M842,N842)=3,MAX(0,ROUND(I842+M842-N842,2)),"n.a.")</x:f>
        <x:v>0</x:v>
      </x:c>
    </x:row>
    <x:row r="843" ht="22" customHeight="1">
      <x:c r="A843" s="2"/>
      <x:c r="B843" s="2"/>
      <x:c r="C843" s="27" t="n">
        <x:f>168</x:f>
        <x:v>168</x:v>
      </x:c>
      <x:c r="D843" s="28" t="n">
        <x:f>IF(ISNUMBER('Inputs'!$D$7),EDATE('Inputs'!$D$7,167),"n.a.")</x:f>
        <x:v>51410</x:v>
      </x:c>
      <x:c r="E843" s="26" t="n">
        <x:f>IF('Inputs'!$D$9&lt;&gt;"Ready","n.a.",IF(ISNUMBER('Inputs'!E186),IF('Inputs'!E186&gt;=0,'Inputs'!E186,"n.a."),IF('Inputs'!E186="",'Inputs'!$D$6,"n.a.")))</x:f>
        <x:v>500</x:v>
      </x:c>
      <x:c r="F843" s="22" t="n">
        <x:f>IF(COUNT($N$842:$N$846)=5,SUM($N$842:$N$846),"n.a.")</x:f>
        <x:v>0</x:v>
      </x:c>
      <x:c r="G843" s="22" t="n">
        <x:f>IF(COUNT(E843:F843)=2,MAX(0,E843-F843),"n.a.")</x:f>
        <x:v>500</x:v>
      </x:c>
      <x:c r="H843" s="26" t="str">
        <x:f>'Inputs'!C12</x:f>
        <x:v>Card B</x:v>
      </x:c>
      <x:c r="I843" s="26" t="n">
        <x:f>S838</x:f>
        <x:v>0</x:v>
      </x:c>
      <x:c r="J843" s="29" t="n">
        <x:f>IF('Inputs'!$D$9="Ready",'Inputs'!E12,"n.a.")</x:f>
        <x:v>0.18</x:v>
      </x:c>
      <x:c r="K843" s="26" t="n">
        <x:f>IF('Inputs'!$D$9="Ready",'Inputs'!F12,"n.a.")</x:f>
        <x:v>60</x:v>
      </x:c>
      <x:c r="L843" s="29" t="n">
        <x:f>IF('Inputs'!$D$9="Ready",'Inputs'!G12,"n.a.")</x:f>
        <x:v>0.02</x:v>
      </x:c>
      <x:c r="M843" s="22" t="n">
        <x:f>IF(COUNT(I843:L843)=4,ROUND(I843*J843/12,2),"n.a.")</x:f>
        <x:v>0</x:v>
      </x:c>
      <x:c r="N843" s="22" t="n">
        <x:f>IF(COUNT(I843:M843)=5,MIN(I843+M843,ROUND(MAX(K843,I843*L843+M843),2)),"n.a.")</x:f>
        <x:v>0</x:v>
      </x:c>
      <x:c r="O843" s="30" t="n">
        <x:f>IF(COUNT($I$842:$I$846)&lt;&gt;5,"n.a.",IF(I843=0,6,IF('Inputs'!$D$5=1,COUNTIFS($I$842:$I$846,"&gt;0",$I$842:$I$846,"&lt;"&amp;I843)+COUNTIFS($I$842:I843,I843),COUNTIFS($I$842:$I$846,"&gt;0",$J$842:$J$846,"&gt;"&amp;J843)+COUNTIFS($I$842:I843,"&gt;0",$J$842:J843,J843))))</x:f>
        <x:v>6</x:v>
      </x:c>
      <x:c r="P843" s="22" t="n">
        <x:f>IF(T843="Ready",MIN(U843,MAX(0,G843-SUMIFS($U$842:$U$846,$O$842:$O$846,"&lt;"&amp;O843))),"n.a.")</x:f>
        <x:v>0</x:v>
      </x:c>
      <x:c r="Q843" s="22" t="n">
        <x:f>IF(T843="Ready",ROUND(N843+P843,2),"n.a.")</x:f>
        <x:v>0</x:v>
      </x:c>
      <x:c r="R843" s="22" t="n">
        <x:f>IF(T843="Ready",ROUND(Q843-M843,2),"n.a.")</x:f>
        <x:v>0</x:v>
      </x:c>
      <x:c r="S843" s="22" t="n">
        <x:f>IF(T843="Ready",MAX(0,ROUND(I843+M843-Q843,2)),"n.a.")</x:f>
        <x:v>0</x:v>
      </x:c>
      <x:c r="T843" s="22" t="str">
        <x:f>IF(AND(COUNT($I$842:$I$846)=5,COUNT(E843:F843)=2),IF(E843&gt;=F843,"Ready","Budget below minima"),"Check inputs")</x:f>
        <x:v>Ready</x:v>
      </x:c>
      <x:c r="U843" s="22" t="n">
        <x:f>IF(COUNT(I843,M843,N843)=3,MAX(0,ROUND(I843+M843-N843,2)),"n.a.")</x:f>
        <x:v>0</x:v>
      </x:c>
    </x:row>
    <x:row r="844" ht="22" customHeight="1">
      <x:c r="A844" s="2"/>
      <x:c r="B844" s="2"/>
      <x:c r="C844" s="27" t="n">
        <x:f>168</x:f>
        <x:v>168</x:v>
      </x:c>
      <x:c r="D844" s="28" t="n">
        <x:f>IF(ISNUMBER('Inputs'!$D$7),EDATE('Inputs'!$D$7,167),"n.a.")</x:f>
        <x:v>51410</x:v>
      </x:c>
      <x:c r="E844" s="26" t="n">
        <x:f>IF('Inputs'!$D$9&lt;&gt;"Ready","n.a.",IF(ISNUMBER('Inputs'!E186),IF('Inputs'!E186&gt;=0,'Inputs'!E186,"n.a."),IF('Inputs'!E186="",'Inputs'!$D$6,"n.a.")))</x:f>
        <x:v>500</x:v>
      </x:c>
      <x:c r="F844" s="22" t="n">
        <x:f>IF(COUNT($N$842:$N$846)=5,SUM($N$842:$N$846),"n.a.")</x:f>
        <x:v>0</x:v>
      </x:c>
      <x:c r="G844" s="22" t="n">
        <x:f>IF(COUNT(E844:F844)=2,MAX(0,E844-F844),"n.a.")</x:f>
        <x:v>500</x:v>
      </x:c>
      <x:c r="H844" s="26" t="str">
        <x:f>'Inputs'!C13</x:f>
        <x:v>Loan C</x:v>
      </x:c>
      <x:c r="I844" s="26" t="n">
        <x:f>S839</x:f>
        <x:v>0</x:v>
      </x:c>
      <x:c r="J844" s="29" t="n">
        <x:f>IF('Inputs'!$D$9="Ready",'Inputs'!E13,"n.a.")</x:f>
        <x:v>0.08</x:v>
      </x:c>
      <x:c r="K844" s="26" t="n">
        <x:f>IF('Inputs'!$D$9="Ready",'Inputs'!F13,"n.a.")</x:f>
        <x:v>150</x:v>
      </x:c>
      <x:c r="L844" s="29" t="n">
        <x:f>IF('Inputs'!$D$9="Ready",'Inputs'!G13,"n.a.")</x:f>
        <x:v>0</x:v>
      </x:c>
      <x:c r="M844" s="22" t="n">
        <x:f>IF(COUNT(I844:L844)=4,ROUND(I844*J844/12,2),"n.a.")</x:f>
        <x:v>0</x:v>
      </x:c>
      <x:c r="N844" s="22" t="n">
        <x:f>IF(COUNT(I844:M844)=5,MIN(I844+M844,ROUND(MAX(K844,I844*L844+M844),2)),"n.a.")</x:f>
        <x:v>0</x:v>
      </x:c>
      <x:c r="O844" s="30" t="n">
        <x:f>IF(COUNT($I$842:$I$846)&lt;&gt;5,"n.a.",IF(I844=0,6,IF('Inputs'!$D$5=1,COUNTIFS($I$842:$I$846,"&gt;0",$I$842:$I$846,"&lt;"&amp;I844)+COUNTIFS($I$842:I844,I844),COUNTIFS($I$842:$I$846,"&gt;0",$J$842:$J$846,"&gt;"&amp;J844)+COUNTIFS($I$842:I844,"&gt;0",$J$842:J844,J844))))</x:f>
        <x:v>6</x:v>
      </x:c>
      <x:c r="P844" s="22" t="n">
        <x:f>IF(T844="Ready",MIN(U844,MAX(0,G844-SUMIFS($U$842:$U$846,$O$842:$O$846,"&lt;"&amp;O844))),"n.a.")</x:f>
        <x:v>0</x:v>
      </x:c>
      <x:c r="Q844" s="22" t="n">
        <x:f>IF(T844="Ready",ROUND(N844+P844,2),"n.a.")</x:f>
        <x:v>0</x:v>
      </x:c>
      <x:c r="R844" s="22" t="n">
        <x:f>IF(T844="Ready",ROUND(Q844-M844,2),"n.a.")</x:f>
        <x:v>0</x:v>
      </x:c>
      <x:c r="S844" s="22" t="n">
        <x:f>IF(T844="Ready",MAX(0,ROUND(I844+M844-Q844,2)),"n.a.")</x:f>
        <x:v>0</x:v>
      </x:c>
      <x:c r="T844" s="22" t="str">
        <x:f>IF(AND(COUNT($I$842:$I$846)=5,COUNT(E844:F844)=2),IF(E844&gt;=F844,"Ready","Budget below minima"),"Check inputs")</x:f>
        <x:v>Ready</x:v>
      </x:c>
      <x:c r="U844" s="22" t="n">
        <x:f>IF(COUNT(I844,M844,N844)=3,MAX(0,ROUND(I844+M844-N844,2)),"n.a.")</x:f>
        <x:v>0</x:v>
      </x:c>
    </x:row>
    <x:row r="845" ht="22" customHeight="1">
      <x:c r="A845" s="2"/>
      <x:c r="B845" s="2"/>
      <x:c r="C845" s="27" t="n">
        <x:f>168</x:f>
        <x:v>168</x:v>
      </x:c>
      <x:c r="D845" s="28" t="n">
        <x:f>IF(ISNUMBER('Inputs'!$D$7),EDATE('Inputs'!$D$7,167),"n.a.")</x:f>
        <x:v>51410</x:v>
      </x:c>
      <x:c r="E845" s="26" t="n">
        <x:f>IF('Inputs'!$D$9&lt;&gt;"Ready","n.a.",IF(ISNUMBER('Inputs'!E186),IF('Inputs'!E186&gt;=0,'Inputs'!E186,"n.a."),IF('Inputs'!E186="",'Inputs'!$D$6,"n.a.")))</x:f>
        <x:v>500</x:v>
      </x:c>
      <x:c r="F845" s="22" t="n">
        <x:f>IF(COUNT($N$842:$N$846)=5,SUM($N$842:$N$846),"n.a.")</x:f>
        <x:v>0</x:v>
      </x:c>
      <x:c r="G845" s="22" t="n">
        <x:f>IF(COUNT(E845:F845)=2,MAX(0,E845-F845),"n.a.")</x:f>
        <x:v>500</x:v>
      </x:c>
      <x:c r="H845" s="26" t="str">
        <x:f>'Inputs'!C14</x:f>
        <x:v>Unused 4</x:v>
      </x:c>
      <x:c r="I845" s="26" t="n">
        <x:f>S840</x:f>
        <x:v>0</x:v>
      </x:c>
      <x:c r="J845" s="29" t="n">
        <x:f>IF('Inputs'!$D$9="Ready",'Inputs'!E14,"n.a.")</x:f>
        <x:v>0</x:v>
      </x:c>
      <x:c r="K845" s="26" t="n">
        <x:f>IF('Inputs'!$D$9="Ready",'Inputs'!F14,"n.a.")</x:f>
        <x:v>0</x:v>
      </x:c>
      <x:c r="L845" s="29" t="n">
        <x:f>IF('Inputs'!$D$9="Ready",'Inputs'!G14,"n.a.")</x:f>
        <x:v>0</x:v>
      </x:c>
      <x:c r="M845" s="22" t="n">
        <x:f>IF(COUNT(I845:L845)=4,ROUND(I845*J845/12,2),"n.a.")</x:f>
        <x:v>0</x:v>
      </x:c>
      <x:c r="N845" s="22" t="n">
        <x:f>IF(COUNT(I845:M845)=5,MIN(I845+M845,ROUND(MAX(K845,I845*L845+M845),2)),"n.a.")</x:f>
        <x:v>0</x:v>
      </x:c>
      <x:c r="O845" s="30" t="n">
        <x:f>IF(COUNT($I$842:$I$846)&lt;&gt;5,"n.a.",IF(I845=0,6,IF('Inputs'!$D$5=1,COUNTIFS($I$842:$I$846,"&gt;0",$I$842:$I$846,"&lt;"&amp;I845)+COUNTIFS($I$842:I845,I845),COUNTIFS($I$842:$I$846,"&gt;0",$J$842:$J$846,"&gt;"&amp;J845)+COUNTIFS($I$842:I845,"&gt;0",$J$842:J845,J845))))</x:f>
        <x:v>6</x:v>
      </x:c>
      <x:c r="P845" s="22" t="n">
        <x:f>IF(T845="Ready",MIN(U845,MAX(0,G845-SUMIFS($U$842:$U$846,$O$842:$O$846,"&lt;"&amp;O845))),"n.a.")</x:f>
        <x:v>0</x:v>
      </x:c>
      <x:c r="Q845" s="22" t="n">
        <x:f>IF(T845="Ready",ROUND(N845+P845,2),"n.a.")</x:f>
        <x:v>0</x:v>
      </x:c>
      <x:c r="R845" s="22" t="n">
        <x:f>IF(T845="Ready",ROUND(Q845-M845,2),"n.a.")</x:f>
        <x:v>0</x:v>
      </x:c>
      <x:c r="S845" s="22" t="n">
        <x:f>IF(T845="Ready",MAX(0,ROUND(I845+M845-Q845,2)),"n.a.")</x:f>
        <x:v>0</x:v>
      </x:c>
      <x:c r="T845" s="22" t="str">
        <x:f>IF(AND(COUNT($I$842:$I$846)=5,COUNT(E845:F845)=2),IF(E845&gt;=F845,"Ready","Budget below minima"),"Check inputs")</x:f>
        <x:v>Ready</x:v>
      </x:c>
      <x:c r="U845" s="22" t="n">
        <x:f>IF(COUNT(I845,M845,N845)=3,MAX(0,ROUND(I845+M845-N845,2)),"n.a.")</x:f>
        <x:v>0</x:v>
      </x:c>
    </x:row>
    <x:row r="846" ht="22" customHeight="1">
      <x:c r="A846" s="2"/>
      <x:c r="B846" s="2"/>
      <x:c r="C846" s="27" t="n">
        <x:f>168</x:f>
        <x:v>168</x:v>
      </x:c>
      <x:c r="D846" s="28" t="n">
        <x:f>IF(ISNUMBER('Inputs'!$D$7),EDATE('Inputs'!$D$7,167),"n.a.")</x:f>
        <x:v>51410</x:v>
      </x:c>
      <x:c r="E846" s="26" t="n">
        <x:f>IF('Inputs'!$D$9&lt;&gt;"Ready","n.a.",IF(ISNUMBER('Inputs'!E186),IF('Inputs'!E186&gt;=0,'Inputs'!E186,"n.a."),IF('Inputs'!E186="",'Inputs'!$D$6,"n.a.")))</x:f>
        <x:v>500</x:v>
      </x:c>
      <x:c r="F846" s="22" t="n">
        <x:f>IF(COUNT($N$842:$N$846)=5,SUM($N$842:$N$846),"n.a.")</x:f>
        <x:v>0</x:v>
      </x:c>
      <x:c r="G846" s="22" t="n">
        <x:f>IF(COUNT(E846:F846)=2,MAX(0,E846-F846),"n.a.")</x:f>
        <x:v>500</x:v>
      </x:c>
      <x:c r="H846" s="26" t="str">
        <x:f>'Inputs'!C15</x:f>
        <x:v>Unused 5</x:v>
      </x:c>
      <x:c r="I846" s="26" t="n">
        <x:f>S841</x:f>
        <x:v>0</x:v>
      </x:c>
      <x:c r="J846" s="29" t="n">
        <x:f>IF('Inputs'!$D$9="Ready",'Inputs'!E15,"n.a.")</x:f>
        <x:v>0</x:v>
      </x:c>
      <x:c r="K846" s="26" t="n">
        <x:f>IF('Inputs'!$D$9="Ready",'Inputs'!F15,"n.a.")</x:f>
        <x:v>0</x:v>
      </x:c>
      <x:c r="L846" s="29" t="n">
        <x:f>IF('Inputs'!$D$9="Ready",'Inputs'!G15,"n.a.")</x:f>
        <x:v>0</x:v>
      </x:c>
      <x:c r="M846" s="22" t="n">
        <x:f>IF(COUNT(I846:L846)=4,ROUND(I846*J846/12,2),"n.a.")</x:f>
        <x:v>0</x:v>
      </x:c>
      <x:c r="N846" s="22" t="n">
        <x:f>IF(COUNT(I846:M846)=5,MIN(I846+M846,ROUND(MAX(K846,I846*L846+M846),2)),"n.a.")</x:f>
        <x:v>0</x:v>
      </x:c>
      <x:c r="O846" s="30" t="n">
        <x:f>IF(COUNT($I$842:$I$846)&lt;&gt;5,"n.a.",IF(I846=0,6,IF('Inputs'!$D$5=1,COUNTIFS($I$842:$I$846,"&gt;0",$I$842:$I$846,"&lt;"&amp;I846)+COUNTIFS($I$842:I846,I846),COUNTIFS($I$842:$I$846,"&gt;0",$J$842:$J$846,"&gt;"&amp;J846)+COUNTIFS($I$842:I846,"&gt;0",$J$842:J846,J846))))</x:f>
        <x:v>6</x:v>
      </x:c>
      <x:c r="P846" s="22" t="n">
        <x:f>IF(T846="Ready",MIN(U846,MAX(0,G846-SUMIFS($U$842:$U$846,$O$842:$O$846,"&lt;"&amp;O846))),"n.a.")</x:f>
        <x:v>0</x:v>
      </x:c>
      <x:c r="Q846" s="22" t="n">
        <x:f>IF(T846="Ready",ROUND(N846+P846,2),"n.a.")</x:f>
        <x:v>0</x:v>
      </x:c>
      <x:c r="R846" s="22" t="n">
        <x:f>IF(T846="Ready",ROUND(Q846-M846,2),"n.a.")</x:f>
        <x:v>0</x:v>
      </x:c>
      <x:c r="S846" s="22" t="n">
        <x:f>IF(T846="Ready",MAX(0,ROUND(I846+M846-Q846,2)),"n.a.")</x:f>
        <x:v>0</x:v>
      </x:c>
      <x:c r="T846" s="22" t="str">
        <x:f>IF(AND(COUNT($I$842:$I$846)=5,COUNT(E846:F846)=2),IF(E846&gt;=F846,"Ready","Budget below minima"),"Check inputs")</x:f>
        <x:v>Ready</x:v>
      </x:c>
      <x:c r="U846" s="22" t="n">
        <x:f>IF(COUNT(I846,M846,N846)=3,MAX(0,ROUND(I846+M846-N846,2)),"n.a.")</x:f>
        <x:v>0</x:v>
      </x:c>
    </x:row>
    <x:row r="847" ht="22" customHeight="1">
      <x:c r="A847" s="2"/>
      <x:c r="B847" s="2"/>
      <x:c r="C847" s="27" t="n">
        <x:f>169</x:f>
        <x:v>169</x:v>
      </x:c>
      <x:c r="D847" s="28" t="n">
        <x:f>IF(ISNUMBER('Inputs'!$D$7),EDATE('Inputs'!$D$7,168),"n.a.")</x:f>
        <x:v>51441</x:v>
      </x:c>
      <x:c r="E847" s="26" t="n">
        <x:f>IF('Inputs'!$D$9&lt;&gt;"Ready","n.a.",IF(ISNUMBER('Inputs'!E187),IF('Inputs'!E187&gt;=0,'Inputs'!E187,"n.a."),IF('Inputs'!E187="",'Inputs'!$D$6,"n.a.")))</x:f>
        <x:v>500</x:v>
      </x:c>
      <x:c r="F847" s="22" t="n">
        <x:f>IF(COUNT($N$847:$N$851)=5,SUM($N$847:$N$851),"n.a.")</x:f>
        <x:v>0</x:v>
      </x:c>
      <x:c r="G847" s="22" t="n">
        <x:f>IF(COUNT(E847:F847)=2,MAX(0,E847-F847),"n.a.")</x:f>
        <x:v>500</x:v>
      </x:c>
      <x:c r="H847" s="26" t="str">
        <x:f>'Inputs'!C11</x:f>
        <x:v>Card A</x:v>
      </x:c>
      <x:c r="I847" s="26" t="n">
        <x:f>S842</x:f>
        <x:v>0</x:v>
      </x:c>
      <x:c r="J847" s="29" t="n">
        <x:f>IF('Inputs'!$D$9="Ready",'Inputs'!E11,"n.a.")</x:f>
        <x:v>0.24</x:v>
      </x:c>
      <x:c r="K847" s="26" t="n">
        <x:f>IF('Inputs'!$D$9="Ready",'Inputs'!F11,"n.a.")</x:f>
        <x:v>35</x:v>
      </x:c>
      <x:c r="L847" s="29" t="n">
        <x:f>IF('Inputs'!$D$9="Ready",'Inputs'!G11,"n.a.")</x:f>
        <x:v>0.02</x:v>
      </x:c>
      <x:c r="M847" s="22" t="n">
        <x:f>IF(COUNT(I847:L847)=4,ROUND(I847*J847/12,2),"n.a.")</x:f>
        <x:v>0</x:v>
      </x:c>
      <x:c r="N847" s="22" t="n">
        <x:f>IF(COUNT(I847:M847)=5,MIN(I847+M847,ROUND(MAX(K847,I847*L847+M847),2)),"n.a.")</x:f>
        <x:v>0</x:v>
      </x:c>
      <x:c r="O847" s="30" t="n">
        <x:f>IF(COUNT($I$847:$I$851)&lt;&gt;5,"n.a.",IF(I847=0,6,IF('Inputs'!$D$5=1,COUNTIFS($I$847:$I$851,"&gt;0",$I$847:$I$851,"&lt;"&amp;I847)+COUNTIFS($I$847:I847,I847),COUNTIFS($I$847:$I$851,"&gt;0",$J$847:$J$851,"&gt;"&amp;J847)+COUNTIFS($I$847:I847,"&gt;0",$J$847:J847,J847))))</x:f>
        <x:v>6</x:v>
      </x:c>
      <x:c r="P847" s="22" t="n">
        <x:f>IF(T847="Ready",MIN(U847,MAX(0,G847-SUMIFS($U$847:$U$851,$O$847:$O$851,"&lt;"&amp;O847))),"n.a.")</x:f>
        <x:v>0</x:v>
      </x:c>
      <x:c r="Q847" s="22" t="n">
        <x:f>IF(T847="Ready",ROUND(N847+P847,2),"n.a.")</x:f>
        <x:v>0</x:v>
      </x:c>
      <x:c r="R847" s="22" t="n">
        <x:f>IF(T847="Ready",ROUND(Q847-M847,2),"n.a.")</x:f>
        <x:v>0</x:v>
      </x:c>
      <x:c r="S847" s="22" t="n">
        <x:f>IF(T847="Ready",MAX(0,ROUND(I847+M847-Q847,2)),"n.a.")</x:f>
        <x:v>0</x:v>
      </x:c>
      <x:c r="T847" s="22" t="str">
        <x:f>IF(AND(COUNT($I$847:$I$851)=5,COUNT(E847:F847)=2),IF(E847&gt;=F847,"Ready","Budget below minima"),"Check inputs")</x:f>
        <x:v>Ready</x:v>
      </x:c>
      <x:c r="U847" s="22" t="n">
        <x:f>IF(COUNT(I847,M847,N847)=3,MAX(0,ROUND(I847+M847-N847,2)),"n.a.")</x:f>
        <x:v>0</x:v>
      </x:c>
    </x:row>
    <x:row r="848" ht="22" customHeight="1">
      <x:c r="A848" s="2"/>
      <x:c r="B848" s="2"/>
      <x:c r="C848" s="27" t="n">
        <x:f>169</x:f>
        <x:v>169</x:v>
      </x:c>
      <x:c r="D848" s="28" t="n">
        <x:f>IF(ISNUMBER('Inputs'!$D$7),EDATE('Inputs'!$D$7,168),"n.a.")</x:f>
        <x:v>51441</x:v>
      </x:c>
      <x:c r="E848" s="26" t="n">
        <x:f>IF('Inputs'!$D$9&lt;&gt;"Ready","n.a.",IF(ISNUMBER('Inputs'!E187),IF('Inputs'!E187&gt;=0,'Inputs'!E187,"n.a."),IF('Inputs'!E187="",'Inputs'!$D$6,"n.a.")))</x:f>
        <x:v>500</x:v>
      </x:c>
      <x:c r="F848" s="22" t="n">
        <x:f>IF(COUNT($N$847:$N$851)=5,SUM($N$847:$N$851),"n.a.")</x:f>
        <x:v>0</x:v>
      </x:c>
      <x:c r="G848" s="22" t="n">
        <x:f>IF(COUNT(E848:F848)=2,MAX(0,E848-F848),"n.a.")</x:f>
        <x:v>500</x:v>
      </x:c>
      <x:c r="H848" s="26" t="str">
        <x:f>'Inputs'!C12</x:f>
        <x:v>Card B</x:v>
      </x:c>
      <x:c r="I848" s="26" t="n">
        <x:f>S843</x:f>
        <x:v>0</x:v>
      </x:c>
      <x:c r="J848" s="29" t="n">
        <x:f>IF('Inputs'!$D$9="Ready",'Inputs'!E12,"n.a.")</x:f>
        <x:v>0.18</x:v>
      </x:c>
      <x:c r="K848" s="26" t="n">
        <x:f>IF('Inputs'!$D$9="Ready",'Inputs'!F12,"n.a.")</x:f>
        <x:v>60</x:v>
      </x:c>
      <x:c r="L848" s="29" t="n">
        <x:f>IF('Inputs'!$D$9="Ready",'Inputs'!G12,"n.a.")</x:f>
        <x:v>0.02</x:v>
      </x:c>
      <x:c r="M848" s="22" t="n">
        <x:f>IF(COUNT(I848:L848)=4,ROUND(I848*J848/12,2),"n.a.")</x:f>
        <x:v>0</x:v>
      </x:c>
      <x:c r="N848" s="22" t="n">
        <x:f>IF(COUNT(I848:M848)=5,MIN(I848+M848,ROUND(MAX(K848,I848*L848+M848),2)),"n.a.")</x:f>
        <x:v>0</x:v>
      </x:c>
      <x:c r="O848" s="30" t="n">
        <x:f>IF(COUNT($I$847:$I$851)&lt;&gt;5,"n.a.",IF(I848=0,6,IF('Inputs'!$D$5=1,COUNTIFS($I$847:$I$851,"&gt;0",$I$847:$I$851,"&lt;"&amp;I848)+COUNTIFS($I$847:I848,I848),COUNTIFS($I$847:$I$851,"&gt;0",$J$847:$J$851,"&gt;"&amp;J848)+COUNTIFS($I$847:I848,"&gt;0",$J$847:J848,J848))))</x:f>
        <x:v>6</x:v>
      </x:c>
      <x:c r="P848" s="22" t="n">
        <x:f>IF(T848="Ready",MIN(U848,MAX(0,G848-SUMIFS($U$847:$U$851,$O$847:$O$851,"&lt;"&amp;O848))),"n.a.")</x:f>
        <x:v>0</x:v>
      </x:c>
      <x:c r="Q848" s="22" t="n">
        <x:f>IF(T848="Ready",ROUND(N848+P848,2),"n.a.")</x:f>
        <x:v>0</x:v>
      </x:c>
      <x:c r="R848" s="22" t="n">
        <x:f>IF(T848="Ready",ROUND(Q848-M848,2),"n.a.")</x:f>
        <x:v>0</x:v>
      </x:c>
      <x:c r="S848" s="22" t="n">
        <x:f>IF(T848="Ready",MAX(0,ROUND(I848+M848-Q848,2)),"n.a.")</x:f>
        <x:v>0</x:v>
      </x:c>
      <x:c r="T848" s="22" t="str">
        <x:f>IF(AND(COUNT($I$847:$I$851)=5,COUNT(E848:F848)=2),IF(E848&gt;=F848,"Ready","Budget below minima"),"Check inputs")</x:f>
        <x:v>Ready</x:v>
      </x:c>
      <x:c r="U848" s="22" t="n">
        <x:f>IF(COUNT(I848,M848,N848)=3,MAX(0,ROUND(I848+M848-N848,2)),"n.a.")</x:f>
        <x:v>0</x:v>
      </x:c>
    </x:row>
    <x:row r="849" ht="22" customHeight="1">
      <x:c r="A849" s="2"/>
      <x:c r="B849" s="2"/>
      <x:c r="C849" s="27" t="n">
        <x:f>169</x:f>
        <x:v>169</x:v>
      </x:c>
      <x:c r="D849" s="28" t="n">
        <x:f>IF(ISNUMBER('Inputs'!$D$7),EDATE('Inputs'!$D$7,168),"n.a.")</x:f>
        <x:v>51441</x:v>
      </x:c>
      <x:c r="E849" s="26" t="n">
        <x:f>IF('Inputs'!$D$9&lt;&gt;"Ready","n.a.",IF(ISNUMBER('Inputs'!E187),IF('Inputs'!E187&gt;=0,'Inputs'!E187,"n.a."),IF('Inputs'!E187="",'Inputs'!$D$6,"n.a.")))</x:f>
        <x:v>500</x:v>
      </x:c>
      <x:c r="F849" s="22" t="n">
        <x:f>IF(COUNT($N$847:$N$851)=5,SUM($N$847:$N$851),"n.a.")</x:f>
        <x:v>0</x:v>
      </x:c>
      <x:c r="G849" s="22" t="n">
        <x:f>IF(COUNT(E849:F849)=2,MAX(0,E849-F849),"n.a.")</x:f>
        <x:v>500</x:v>
      </x:c>
      <x:c r="H849" s="26" t="str">
        <x:f>'Inputs'!C13</x:f>
        <x:v>Loan C</x:v>
      </x:c>
      <x:c r="I849" s="26" t="n">
        <x:f>S844</x:f>
        <x:v>0</x:v>
      </x:c>
      <x:c r="J849" s="29" t="n">
        <x:f>IF('Inputs'!$D$9="Ready",'Inputs'!E13,"n.a.")</x:f>
        <x:v>0.08</x:v>
      </x:c>
      <x:c r="K849" s="26" t="n">
        <x:f>IF('Inputs'!$D$9="Ready",'Inputs'!F13,"n.a.")</x:f>
        <x:v>150</x:v>
      </x:c>
      <x:c r="L849" s="29" t="n">
        <x:f>IF('Inputs'!$D$9="Ready",'Inputs'!G13,"n.a.")</x:f>
        <x:v>0</x:v>
      </x:c>
      <x:c r="M849" s="22" t="n">
        <x:f>IF(COUNT(I849:L849)=4,ROUND(I849*J849/12,2),"n.a.")</x:f>
        <x:v>0</x:v>
      </x:c>
      <x:c r="N849" s="22" t="n">
        <x:f>IF(COUNT(I849:M849)=5,MIN(I849+M849,ROUND(MAX(K849,I849*L849+M849),2)),"n.a.")</x:f>
        <x:v>0</x:v>
      </x:c>
      <x:c r="O849" s="30" t="n">
        <x:f>IF(COUNT($I$847:$I$851)&lt;&gt;5,"n.a.",IF(I849=0,6,IF('Inputs'!$D$5=1,COUNTIFS($I$847:$I$851,"&gt;0",$I$847:$I$851,"&lt;"&amp;I849)+COUNTIFS($I$847:I849,I849),COUNTIFS($I$847:$I$851,"&gt;0",$J$847:$J$851,"&gt;"&amp;J849)+COUNTIFS($I$847:I849,"&gt;0",$J$847:J849,J849))))</x:f>
        <x:v>6</x:v>
      </x:c>
      <x:c r="P849" s="22" t="n">
        <x:f>IF(T849="Ready",MIN(U849,MAX(0,G849-SUMIFS($U$847:$U$851,$O$847:$O$851,"&lt;"&amp;O849))),"n.a.")</x:f>
        <x:v>0</x:v>
      </x:c>
      <x:c r="Q849" s="22" t="n">
        <x:f>IF(T849="Ready",ROUND(N849+P849,2),"n.a.")</x:f>
        <x:v>0</x:v>
      </x:c>
      <x:c r="R849" s="22" t="n">
        <x:f>IF(T849="Ready",ROUND(Q849-M849,2),"n.a.")</x:f>
        <x:v>0</x:v>
      </x:c>
      <x:c r="S849" s="22" t="n">
        <x:f>IF(T849="Ready",MAX(0,ROUND(I849+M849-Q849,2)),"n.a.")</x:f>
        <x:v>0</x:v>
      </x:c>
      <x:c r="T849" s="22" t="str">
        <x:f>IF(AND(COUNT($I$847:$I$851)=5,COUNT(E849:F849)=2),IF(E849&gt;=F849,"Ready","Budget below minima"),"Check inputs")</x:f>
        <x:v>Ready</x:v>
      </x:c>
      <x:c r="U849" s="22" t="n">
        <x:f>IF(COUNT(I849,M849,N849)=3,MAX(0,ROUND(I849+M849-N849,2)),"n.a.")</x:f>
        <x:v>0</x:v>
      </x:c>
    </x:row>
    <x:row r="850" ht="22" customHeight="1">
      <x:c r="A850" s="2"/>
      <x:c r="B850" s="2"/>
      <x:c r="C850" s="27" t="n">
        <x:f>169</x:f>
        <x:v>169</x:v>
      </x:c>
      <x:c r="D850" s="28" t="n">
        <x:f>IF(ISNUMBER('Inputs'!$D$7),EDATE('Inputs'!$D$7,168),"n.a.")</x:f>
        <x:v>51441</x:v>
      </x:c>
      <x:c r="E850" s="26" t="n">
        <x:f>IF('Inputs'!$D$9&lt;&gt;"Ready","n.a.",IF(ISNUMBER('Inputs'!E187),IF('Inputs'!E187&gt;=0,'Inputs'!E187,"n.a."),IF('Inputs'!E187="",'Inputs'!$D$6,"n.a.")))</x:f>
        <x:v>500</x:v>
      </x:c>
      <x:c r="F850" s="22" t="n">
        <x:f>IF(COUNT($N$847:$N$851)=5,SUM($N$847:$N$851),"n.a.")</x:f>
        <x:v>0</x:v>
      </x:c>
      <x:c r="G850" s="22" t="n">
        <x:f>IF(COUNT(E850:F850)=2,MAX(0,E850-F850),"n.a.")</x:f>
        <x:v>500</x:v>
      </x:c>
      <x:c r="H850" s="26" t="str">
        <x:f>'Inputs'!C14</x:f>
        <x:v>Unused 4</x:v>
      </x:c>
      <x:c r="I850" s="26" t="n">
        <x:f>S845</x:f>
        <x:v>0</x:v>
      </x:c>
      <x:c r="J850" s="29" t="n">
        <x:f>IF('Inputs'!$D$9="Ready",'Inputs'!E14,"n.a.")</x:f>
        <x:v>0</x:v>
      </x:c>
      <x:c r="K850" s="26" t="n">
        <x:f>IF('Inputs'!$D$9="Ready",'Inputs'!F14,"n.a.")</x:f>
        <x:v>0</x:v>
      </x:c>
      <x:c r="L850" s="29" t="n">
        <x:f>IF('Inputs'!$D$9="Ready",'Inputs'!G14,"n.a.")</x:f>
        <x:v>0</x:v>
      </x:c>
      <x:c r="M850" s="22" t="n">
        <x:f>IF(COUNT(I850:L850)=4,ROUND(I850*J850/12,2),"n.a.")</x:f>
        <x:v>0</x:v>
      </x:c>
      <x:c r="N850" s="22" t="n">
        <x:f>IF(COUNT(I850:M850)=5,MIN(I850+M850,ROUND(MAX(K850,I850*L850+M850),2)),"n.a.")</x:f>
        <x:v>0</x:v>
      </x:c>
      <x:c r="O850" s="30" t="n">
        <x:f>IF(COUNT($I$847:$I$851)&lt;&gt;5,"n.a.",IF(I850=0,6,IF('Inputs'!$D$5=1,COUNTIFS($I$847:$I$851,"&gt;0",$I$847:$I$851,"&lt;"&amp;I850)+COUNTIFS($I$847:I850,I850),COUNTIFS($I$847:$I$851,"&gt;0",$J$847:$J$851,"&gt;"&amp;J850)+COUNTIFS($I$847:I850,"&gt;0",$J$847:J850,J850))))</x:f>
        <x:v>6</x:v>
      </x:c>
      <x:c r="P850" s="22" t="n">
        <x:f>IF(T850="Ready",MIN(U850,MAX(0,G850-SUMIFS($U$847:$U$851,$O$847:$O$851,"&lt;"&amp;O850))),"n.a.")</x:f>
        <x:v>0</x:v>
      </x:c>
      <x:c r="Q850" s="22" t="n">
        <x:f>IF(T850="Ready",ROUND(N850+P850,2),"n.a.")</x:f>
        <x:v>0</x:v>
      </x:c>
      <x:c r="R850" s="22" t="n">
        <x:f>IF(T850="Ready",ROUND(Q850-M850,2),"n.a.")</x:f>
        <x:v>0</x:v>
      </x:c>
      <x:c r="S850" s="22" t="n">
        <x:f>IF(T850="Ready",MAX(0,ROUND(I850+M850-Q850,2)),"n.a.")</x:f>
        <x:v>0</x:v>
      </x:c>
      <x:c r="T850" s="22" t="str">
        <x:f>IF(AND(COUNT($I$847:$I$851)=5,COUNT(E850:F850)=2),IF(E850&gt;=F850,"Ready","Budget below minima"),"Check inputs")</x:f>
        <x:v>Ready</x:v>
      </x:c>
      <x:c r="U850" s="22" t="n">
        <x:f>IF(COUNT(I850,M850,N850)=3,MAX(0,ROUND(I850+M850-N850,2)),"n.a.")</x:f>
        <x:v>0</x:v>
      </x:c>
    </x:row>
    <x:row r="851" ht="22" customHeight="1">
      <x:c r="A851" s="2"/>
      <x:c r="B851" s="2"/>
      <x:c r="C851" s="27" t="n">
        <x:f>169</x:f>
        <x:v>169</x:v>
      </x:c>
      <x:c r="D851" s="28" t="n">
        <x:f>IF(ISNUMBER('Inputs'!$D$7),EDATE('Inputs'!$D$7,168),"n.a.")</x:f>
        <x:v>51441</x:v>
      </x:c>
      <x:c r="E851" s="26" t="n">
        <x:f>IF('Inputs'!$D$9&lt;&gt;"Ready","n.a.",IF(ISNUMBER('Inputs'!E187),IF('Inputs'!E187&gt;=0,'Inputs'!E187,"n.a."),IF('Inputs'!E187="",'Inputs'!$D$6,"n.a.")))</x:f>
        <x:v>500</x:v>
      </x:c>
      <x:c r="F851" s="22" t="n">
        <x:f>IF(COUNT($N$847:$N$851)=5,SUM($N$847:$N$851),"n.a.")</x:f>
        <x:v>0</x:v>
      </x:c>
      <x:c r="G851" s="22" t="n">
        <x:f>IF(COUNT(E851:F851)=2,MAX(0,E851-F851),"n.a.")</x:f>
        <x:v>500</x:v>
      </x:c>
      <x:c r="H851" s="26" t="str">
        <x:f>'Inputs'!C15</x:f>
        <x:v>Unused 5</x:v>
      </x:c>
      <x:c r="I851" s="26" t="n">
        <x:f>S846</x:f>
        <x:v>0</x:v>
      </x:c>
      <x:c r="J851" s="29" t="n">
        <x:f>IF('Inputs'!$D$9="Ready",'Inputs'!E15,"n.a.")</x:f>
        <x:v>0</x:v>
      </x:c>
      <x:c r="K851" s="26" t="n">
        <x:f>IF('Inputs'!$D$9="Ready",'Inputs'!F15,"n.a.")</x:f>
        <x:v>0</x:v>
      </x:c>
      <x:c r="L851" s="29" t="n">
        <x:f>IF('Inputs'!$D$9="Ready",'Inputs'!G15,"n.a.")</x:f>
        <x:v>0</x:v>
      </x:c>
      <x:c r="M851" s="22" t="n">
        <x:f>IF(COUNT(I851:L851)=4,ROUND(I851*J851/12,2),"n.a.")</x:f>
        <x:v>0</x:v>
      </x:c>
      <x:c r="N851" s="22" t="n">
        <x:f>IF(COUNT(I851:M851)=5,MIN(I851+M851,ROUND(MAX(K851,I851*L851+M851),2)),"n.a.")</x:f>
        <x:v>0</x:v>
      </x:c>
      <x:c r="O851" s="30" t="n">
        <x:f>IF(COUNT($I$847:$I$851)&lt;&gt;5,"n.a.",IF(I851=0,6,IF('Inputs'!$D$5=1,COUNTIFS($I$847:$I$851,"&gt;0",$I$847:$I$851,"&lt;"&amp;I851)+COUNTIFS($I$847:I851,I851),COUNTIFS($I$847:$I$851,"&gt;0",$J$847:$J$851,"&gt;"&amp;J851)+COUNTIFS($I$847:I851,"&gt;0",$J$847:J851,J851))))</x:f>
        <x:v>6</x:v>
      </x:c>
      <x:c r="P851" s="22" t="n">
        <x:f>IF(T851="Ready",MIN(U851,MAX(0,G851-SUMIFS($U$847:$U$851,$O$847:$O$851,"&lt;"&amp;O851))),"n.a.")</x:f>
        <x:v>0</x:v>
      </x:c>
      <x:c r="Q851" s="22" t="n">
        <x:f>IF(T851="Ready",ROUND(N851+P851,2),"n.a.")</x:f>
        <x:v>0</x:v>
      </x:c>
      <x:c r="R851" s="22" t="n">
        <x:f>IF(T851="Ready",ROUND(Q851-M851,2),"n.a.")</x:f>
        <x:v>0</x:v>
      </x:c>
      <x:c r="S851" s="22" t="n">
        <x:f>IF(T851="Ready",MAX(0,ROUND(I851+M851-Q851,2)),"n.a.")</x:f>
        <x:v>0</x:v>
      </x:c>
      <x:c r="T851" s="22" t="str">
        <x:f>IF(AND(COUNT($I$847:$I$851)=5,COUNT(E851:F851)=2),IF(E851&gt;=F851,"Ready","Budget below minima"),"Check inputs")</x:f>
        <x:v>Ready</x:v>
      </x:c>
      <x:c r="U851" s="22" t="n">
        <x:f>IF(COUNT(I851,M851,N851)=3,MAX(0,ROUND(I851+M851-N851,2)),"n.a.")</x:f>
        <x:v>0</x:v>
      </x:c>
    </x:row>
    <x:row r="852" ht="22" customHeight="1">
      <x:c r="A852" s="2"/>
      <x:c r="B852" s="2"/>
      <x:c r="C852" s="27" t="n">
        <x:f>170</x:f>
        <x:v>170</x:v>
      </x:c>
      <x:c r="D852" s="28" t="n">
        <x:f>IF(ISNUMBER('Inputs'!$D$7),EDATE('Inputs'!$D$7,169),"n.a.")</x:f>
        <x:v>51471</x:v>
      </x:c>
      <x:c r="E852" s="26" t="n">
        <x:f>IF('Inputs'!$D$9&lt;&gt;"Ready","n.a.",IF(ISNUMBER('Inputs'!E188),IF('Inputs'!E188&gt;=0,'Inputs'!E188,"n.a."),IF('Inputs'!E188="",'Inputs'!$D$6,"n.a.")))</x:f>
        <x:v>500</x:v>
      </x:c>
      <x:c r="F852" s="22" t="n">
        <x:f>IF(COUNT($N$852:$N$856)=5,SUM($N$852:$N$856),"n.a.")</x:f>
        <x:v>0</x:v>
      </x:c>
      <x:c r="G852" s="22" t="n">
        <x:f>IF(COUNT(E852:F852)=2,MAX(0,E852-F852),"n.a.")</x:f>
        <x:v>500</x:v>
      </x:c>
      <x:c r="H852" s="26" t="str">
        <x:f>'Inputs'!C11</x:f>
        <x:v>Card A</x:v>
      </x:c>
      <x:c r="I852" s="26" t="n">
        <x:f>S847</x:f>
        <x:v>0</x:v>
      </x:c>
      <x:c r="J852" s="29" t="n">
        <x:f>IF('Inputs'!$D$9="Ready",'Inputs'!E11,"n.a.")</x:f>
        <x:v>0.24</x:v>
      </x:c>
      <x:c r="K852" s="26" t="n">
        <x:f>IF('Inputs'!$D$9="Ready",'Inputs'!F11,"n.a.")</x:f>
        <x:v>35</x:v>
      </x:c>
      <x:c r="L852" s="29" t="n">
        <x:f>IF('Inputs'!$D$9="Ready",'Inputs'!G11,"n.a.")</x:f>
        <x:v>0.02</x:v>
      </x:c>
      <x:c r="M852" s="22" t="n">
        <x:f>IF(COUNT(I852:L852)=4,ROUND(I852*J852/12,2),"n.a.")</x:f>
        <x:v>0</x:v>
      </x:c>
      <x:c r="N852" s="22" t="n">
        <x:f>IF(COUNT(I852:M852)=5,MIN(I852+M852,ROUND(MAX(K852,I852*L852+M852),2)),"n.a.")</x:f>
        <x:v>0</x:v>
      </x:c>
      <x:c r="O852" s="30" t="n">
        <x:f>IF(COUNT($I$852:$I$856)&lt;&gt;5,"n.a.",IF(I852=0,6,IF('Inputs'!$D$5=1,COUNTIFS($I$852:$I$856,"&gt;0",$I$852:$I$856,"&lt;"&amp;I852)+COUNTIFS($I$852:I852,I852),COUNTIFS($I$852:$I$856,"&gt;0",$J$852:$J$856,"&gt;"&amp;J852)+COUNTIFS($I$852:I852,"&gt;0",$J$852:J852,J852))))</x:f>
        <x:v>6</x:v>
      </x:c>
      <x:c r="P852" s="22" t="n">
        <x:f>IF(T852="Ready",MIN(U852,MAX(0,G852-SUMIFS($U$852:$U$856,$O$852:$O$856,"&lt;"&amp;O852))),"n.a.")</x:f>
        <x:v>0</x:v>
      </x:c>
      <x:c r="Q852" s="22" t="n">
        <x:f>IF(T852="Ready",ROUND(N852+P852,2),"n.a.")</x:f>
        <x:v>0</x:v>
      </x:c>
      <x:c r="R852" s="22" t="n">
        <x:f>IF(T852="Ready",ROUND(Q852-M852,2),"n.a.")</x:f>
        <x:v>0</x:v>
      </x:c>
      <x:c r="S852" s="22" t="n">
        <x:f>IF(T852="Ready",MAX(0,ROUND(I852+M852-Q852,2)),"n.a.")</x:f>
        <x:v>0</x:v>
      </x:c>
      <x:c r="T852" s="22" t="str">
        <x:f>IF(AND(COUNT($I$852:$I$856)=5,COUNT(E852:F852)=2),IF(E852&gt;=F852,"Ready","Budget below minima"),"Check inputs")</x:f>
        <x:v>Ready</x:v>
      </x:c>
      <x:c r="U852" s="22" t="n">
        <x:f>IF(COUNT(I852,M852,N852)=3,MAX(0,ROUND(I852+M852-N852,2)),"n.a.")</x:f>
        <x:v>0</x:v>
      </x:c>
    </x:row>
    <x:row r="853" ht="22" customHeight="1">
      <x:c r="A853" s="2"/>
      <x:c r="B853" s="2"/>
      <x:c r="C853" s="27" t="n">
        <x:f>170</x:f>
        <x:v>170</x:v>
      </x:c>
      <x:c r="D853" s="28" t="n">
        <x:f>IF(ISNUMBER('Inputs'!$D$7),EDATE('Inputs'!$D$7,169),"n.a.")</x:f>
        <x:v>51471</x:v>
      </x:c>
      <x:c r="E853" s="26" t="n">
        <x:f>IF('Inputs'!$D$9&lt;&gt;"Ready","n.a.",IF(ISNUMBER('Inputs'!E188),IF('Inputs'!E188&gt;=0,'Inputs'!E188,"n.a."),IF('Inputs'!E188="",'Inputs'!$D$6,"n.a.")))</x:f>
        <x:v>500</x:v>
      </x:c>
      <x:c r="F853" s="22" t="n">
        <x:f>IF(COUNT($N$852:$N$856)=5,SUM($N$852:$N$856),"n.a.")</x:f>
        <x:v>0</x:v>
      </x:c>
      <x:c r="G853" s="22" t="n">
        <x:f>IF(COUNT(E853:F853)=2,MAX(0,E853-F853),"n.a.")</x:f>
        <x:v>500</x:v>
      </x:c>
      <x:c r="H853" s="26" t="str">
        <x:f>'Inputs'!C12</x:f>
        <x:v>Card B</x:v>
      </x:c>
      <x:c r="I853" s="26" t="n">
        <x:f>S848</x:f>
        <x:v>0</x:v>
      </x:c>
      <x:c r="J853" s="29" t="n">
        <x:f>IF('Inputs'!$D$9="Ready",'Inputs'!E12,"n.a.")</x:f>
        <x:v>0.18</x:v>
      </x:c>
      <x:c r="K853" s="26" t="n">
        <x:f>IF('Inputs'!$D$9="Ready",'Inputs'!F12,"n.a.")</x:f>
        <x:v>60</x:v>
      </x:c>
      <x:c r="L853" s="29" t="n">
        <x:f>IF('Inputs'!$D$9="Ready",'Inputs'!G12,"n.a.")</x:f>
        <x:v>0.02</x:v>
      </x:c>
      <x:c r="M853" s="22" t="n">
        <x:f>IF(COUNT(I853:L853)=4,ROUND(I853*J853/12,2),"n.a.")</x:f>
        <x:v>0</x:v>
      </x:c>
      <x:c r="N853" s="22" t="n">
        <x:f>IF(COUNT(I853:M853)=5,MIN(I853+M853,ROUND(MAX(K853,I853*L853+M853),2)),"n.a.")</x:f>
        <x:v>0</x:v>
      </x:c>
      <x:c r="O853" s="30" t="n">
        <x:f>IF(COUNT($I$852:$I$856)&lt;&gt;5,"n.a.",IF(I853=0,6,IF('Inputs'!$D$5=1,COUNTIFS($I$852:$I$856,"&gt;0",$I$852:$I$856,"&lt;"&amp;I853)+COUNTIFS($I$852:I853,I853),COUNTIFS($I$852:$I$856,"&gt;0",$J$852:$J$856,"&gt;"&amp;J853)+COUNTIFS($I$852:I853,"&gt;0",$J$852:J853,J853))))</x:f>
        <x:v>6</x:v>
      </x:c>
      <x:c r="P853" s="22" t="n">
        <x:f>IF(T853="Ready",MIN(U853,MAX(0,G853-SUMIFS($U$852:$U$856,$O$852:$O$856,"&lt;"&amp;O853))),"n.a.")</x:f>
        <x:v>0</x:v>
      </x:c>
      <x:c r="Q853" s="22" t="n">
        <x:f>IF(T853="Ready",ROUND(N853+P853,2),"n.a.")</x:f>
        <x:v>0</x:v>
      </x:c>
      <x:c r="R853" s="22" t="n">
        <x:f>IF(T853="Ready",ROUND(Q853-M853,2),"n.a.")</x:f>
        <x:v>0</x:v>
      </x:c>
      <x:c r="S853" s="22" t="n">
        <x:f>IF(T853="Ready",MAX(0,ROUND(I853+M853-Q853,2)),"n.a.")</x:f>
        <x:v>0</x:v>
      </x:c>
      <x:c r="T853" s="22" t="str">
        <x:f>IF(AND(COUNT($I$852:$I$856)=5,COUNT(E853:F853)=2),IF(E853&gt;=F853,"Ready","Budget below minima"),"Check inputs")</x:f>
        <x:v>Ready</x:v>
      </x:c>
      <x:c r="U853" s="22" t="n">
        <x:f>IF(COUNT(I853,M853,N853)=3,MAX(0,ROUND(I853+M853-N853,2)),"n.a.")</x:f>
        <x:v>0</x:v>
      </x:c>
    </x:row>
    <x:row r="854" ht="22" customHeight="1">
      <x:c r="A854" s="2"/>
      <x:c r="B854" s="2"/>
      <x:c r="C854" s="27" t="n">
        <x:f>170</x:f>
        <x:v>170</x:v>
      </x:c>
      <x:c r="D854" s="28" t="n">
        <x:f>IF(ISNUMBER('Inputs'!$D$7),EDATE('Inputs'!$D$7,169),"n.a.")</x:f>
        <x:v>51471</x:v>
      </x:c>
      <x:c r="E854" s="26" t="n">
        <x:f>IF('Inputs'!$D$9&lt;&gt;"Ready","n.a.",IF(ISNUMBER('Inputs'!E188),IF('Inputs'!E188&gt;=0,'Inputs'!E188,"n.a."),IF('Inputs'!E188="",'Inputs'!$D$6,"n.a.")))</x:f>
        <x:v>500</x:v>
      </x:c>
      <x:c r="F854" s="22" t="n">
        <x:f>IF(COUNT($N$852:$N$856)=5,SUM($N$852:$N$856),"n.a.")</x:f>
        <x:v>0</x:v>
      </x:c>
      <x:c r="G854" s="22" t="n">
        <x:f>IF(COUNT(E854:F854)=2,MAX(0,E854-F854),"n.a.")</x:f>
        <x:v>500</x:v>
      </x:c>
      <x:c r="H854" s="26" t="str">
        <x:f>'Inputs'!C13</x:f>
        <x:v>Loan C</x:v>
      </x:c>
      <x:c r="I854" s="26" t="n">
        <x:f>S849</x:f>
        <x:v>0</x:v>
      </x:c>
      <x:c r="J854" s="29" t="n">
        <x:f>IF('Inputs'!$D$9="Ready",'Inputs'!E13,"n.a.")</x:f>
        <x:v>0.08</x:v>
      </x:c>
      <x:c r="K854" s="26" t="n">
        <x:f>IF('Inputs'!$D$9="Ready",'Inputs'!F13,"n.a.")</x:f>
        <x:v>150</x:v>
      </x:c>
      <x:c r="L854" s="29" t="n">
        <x:f>IF('Inputs'!$D$9="Ready",'Inputs'!G13,"n.a.")</x:f>
        <x:v>0</x:v>
      </x:c>
      <x:c r="M854" s="22" t="n">
        <x:f>IF(COUNT(I854:L854)=4,ROUND(I854*J854/12,2),"n.a.")</x:f>
        <x:v>0</x:v>
      </x:c>
      <x:c r="N854" s="22" t="n">
        <x:f>IF(COUNT(I854:M854)=5,MIN(I854+M854,ROUND(MAX(K854,I854*L854+M854),2)),"n.a.")</x:f>
        <x:v>0</x:v>
      </x:c>
      <x:c r="O854" s="30" t="n">
        <x:f>IF(COUNT($I$852:$I$856)&lt;&gt;5,"n.a.",IF(I854=0,6,IF('Inputs'!$D$5=1,COUNTIFS($I$852:$I$856,"&gt;0",$I$852:$I$856,"&lt;"&amp;I854)+COUNTIFS($I$852:I854,I854),COUNTIFS($I$852:$I$856,"&gt;0",$J$852:$J$856,"&gt;"&amp;J854)+COUNTIFS($I$852:I854,"&gt;0",$J$852:J854,J854))))</x:f>
        <x:v>6</x:v>
      </x:c>
      <x:c r="P854" s="22" t="n">
        <x:f>IF(T854="Ready",MIN(U854,MAX(0,G854-SUMIFS($U$852:$U$856,$O$852:$O$856,"&lt;"&amp;O854))),"n.a.")</x:f>
        <x:v>0</x:v>
      </x:c>
      <x:c r="Q854" s="22" t="n">
        <x:f>IF(T854="Ready",ROUND(N854+P854,2),"n.a.")</x:f>
        <x:v>0</x:v>
      </x:c>
      <x:c r="R854" s="22" t="n">
        <x:f>IF(T854="Ready",ROUND(Q854-M854,2),"n.a.")</x:f>
        <x:v>0</x:v>
      </x:c>
      <x:c r="S854" s="22" t="n">
        <x:f>IF(T854="Ready",MAX(0,ROUND(I854+M854-Q854,2)),"n.a.")</x:f>
        <x:v>0</x:v>
      </x:c>
      <x:c r="T854" s="22" t="str">
        <x:f>IF(AND(COUNT($I$852:$I$856)=5,COUNT(E854:F854)=2),IF(E854&gt;=F854,"Ready","Budget below minima"),"Check inputs")</x:f>
        <x:v>Ready</x:v>
      </x:c>
      <x:c r="U854" s="22" t="n">
        <x:f>IF(COUNT(I854,M854,N854)=3,MAX(0,ROUND(I854+M854-N854,2)),"n.a.")</x:f>
        <x:v>0</x:v>
      </x:c>
    </x:row>
    <x:row r="855" ht="22" customHeight="1">
      <x:c r="A855" s="2"/>
      <x:c r="B855" s="2"/>
      <x:c r="C855" s="27" t="n">
        <x:f>170</x:f>
        <x:v>170</x:v>
      </x:c>
      <x:c r="D855" s="28" t="n">
        <x:f>IF(ISNUMBER('Inputs'!$D$7),EDATE('Inputs'!$D$7,169),"n.a.")</x:f>
        <x:v>51471</x:v>
      </x:c>
      <x:c r="E855" s="26" t="n">
        <x:f>IF('Inputs'!$D$9&lt;&gt;"Ready","n.a.",IF(ISNUMBER('Inputs'!E188),IF('Inputs'!E188&gt;=0,'Inputs'!E188,"n.a."),IF('Inputs'!E188="",'Inputs'!$D$6,"n.a.")))</x:f>
        <x:v>500</x:v>
      </x:c>
      <x:c r="F855" s="22" t="n">
        <x:f>IF(COUNT($N$852:$N$856)=5,SUM($N$852:$N$856),"n.a.")</x:f>
        <x:v>0</x:v>
      </x:c>
      <x:c r="G855" s="22" t="n">
        <x:f>IF(COUNT(E855:F855)=2,MAX(0,E855-F855),"n.a.")</x:f>
        <x:v>500</x:v>
      </x:c>
      <x:c r="H855" s="26" t="str">
        <x:f>'Inputs'!C14</x:f>
        <x:v>Unused 4</x:v>
      </x:c>
      <x:c r="I855" s="26" t="n">
        <x:f>S850</x:f>
        <x:v>0</x:v>
      </x:c>
      <x:c r="J855" s="29" t="n">
        <x:f>IF('Inputs'!$D$9="Ready",'Inputs'!E14,"n.a.")</x:f>
        <x:v>0</x:v>
      </x:c>
      <x:c r="K855" s="26" t="n">
        <x:f>IF('Inputs'!$D$9="Ready",'Inputs'!F14,"n.a.")</x:f>
        <x:v>0</x:v>
      </x:c>
      <x:c r="L855" s="29" t="n">
        <x:f>IF('Inputs'!$D$9="Ready",'Inputs'!G14,"n.a.")</x:f>
        <x:v>0</x:v>
      </x:c>
      <x:c r="M855" s="22" t="n">
        <x:f>IF(COUNT(I855:L855)=4,ROUND(I855*J855/12,2),"n.a.")</x:f>
        <x:v>0</x:v>
      </x:c>
      <x:c r="N855" s="22" t="n">
        <x:f>IF(COUNT(I855:M855)=5,MIN(I855+M855,ROUND(MAX(K855,I855*L855+M855),2)),"n.a.")</x:f>
        <x:v>0</x:v>
      </x:c>
      <x:c r="O855" s="30" t="n">
        <x:f>IF(COUNT($I$852:$I$856)&lt;&gt;5,"n.a.",IF(I855=0,6,IF('Inputs'!$D$5=1,COUNTIFS($I$852:$I$856,"&gt;0",$I$852:$I$856,"&lt;"&amp;I855)+COUNTIFS($I$852:I855,I855),COUNTIFS($I$852:$I$856,"&gt;0",$J$852:$J$856,"&gt;"&amp;J855)+COUNTIFS($I$852:I855,"&gt;0",$J$852:J855,J855))))</x:f>
        <x:v>6</x:v>
      </x:c>
      <x:c r="P855" s="22" t="n">
        <x:f>IF(T855="Ready",MIN(U855,MAX(0,G855-SUMIFS($U$852:$U$856,$O$852:$O$856,"&lt;"&amp;O855))),"n.a.")</x:f>
        <x:v>0</x:v>
      </x:c>
      <x:c r="Q855" s="22" t="n">
        <x:f>IF(T855="Ready",ROUND(N855+P855,2),"n.a.")</x:f>
        <x:v>0</x:v>
      </x:c>
      <x:c r="R855" s="22" t="n">
        <x:f>IF(T855="Ready",ROUND(Q855-M855,2),"n.a.")</x:f>
        <x:v>0</x:v>
      </x:c>
      <x:c r="S855" s="22" t="n">
        <x:f>IF(T855="Ready",MAX(0,ROUND(I855+M855-Q855,2)),"n.a.")</x:f>
        <x:v>0</x:v>
      </x:c>
      <x:c r="T855" s="22" t="str">
        <x:f>IF(AND(COUNT($I$852:$I$856)=5,COUNT(E855:F855)=2),IF(E855&gt;=F855,"Ready","Budget below minima"),"Check inputs")</x:f>
        <x:v>Ready</x:v>
      </x:c>
      <x:c r="U855" s="22" t="n">
        <x:f>IF(COUNT(I855,M855,N855)=3,MAX(0,ROUND(I855+M855-N855,2)),"n.a.")</x:f>
        <x:v>0</x:v>
      </x:c>
    </x:row>
    <x:row r="856" ht="22" customHeight="1">
      <x:c r="A856" s="2"/>
      <x:c r="B856" s="2"/>
      <x:c r="C856" s="27" t="n">
        <x:f>170</x:f>
        <x:v>170</x:v>
      </x:c>
      <x:c r="D856" s="28" t="n">
        <x:f>IF(ISNUMBER('Inputs'!$D$7),EDATE('Inputs'!$D$7,169),"n.a.")</x:f>
        <x:v>51471</x:v>
      </x:c>
      <x:c r="E856" s="26" t="n">
        <x:f>IF('Inputs'!$D$9&lt;&gt;"Ready","n.a.",IF(ISNUMBER('Inputs'!E188),IF('Inputs'!E188&gt;=0,'Inputs'!E188,"n.a."),IF('Inputs'!E188="",'Inputs'!$D$6,"n.a.")))</x:f>
        <x:v>500</x:v>
      </x:c>
      <x:c r="F856" s="22" t="n">
        <x:f>IF(COUNT($N$852:$N$856)=5,SUM($N$852:$N$856),"n.a.")</x:f>
        <x:v>0</x:v>
      </x:c>
      <x:c r="G856" s="22" t="n">
        <x:f>IF(COUNT(E856:F856)=2,MAX(0,E856-F856),"n.a.")</x:f>
        <x:v>500</x:v>
      </x:c>
      <x:c r="H856" s="26" t="str">
        <x:f>'Inputs'!C15</x:f>
        <x:v>Unused 5</x:v>
      </x:c>
      <x:c r="I856" s="26" t="n">
        <x:f>S851</x:f>
        <x:v>0</x:v>
      </x:c>
      <x:c r="J856" s="29" t="n">
        <x:f>IF('Inputs'!$D$9="Ready",'Inputs'!E15,"n.a.")</x:f>
        <x:v>0</x:v>
      </x:c>
      <x:c r="K856" s="26" t="n">
        <x:f>IF('Inputs'!$D$9="Ready",'Inputs'!F15,"n.a.")</x:f>
        <x:v>0</x:v>
      </x:c>
      <x:c r="L856" s="29" t="n">
        <x:f>IF('Inputs'!$D$9="Ready",'Inputs'!G15,"n.a.")</x:f>
        <x:v>0</x:v>
      </x:c>
      <x:c r="M856" s="22" t="n">
        <x:f>IF(COUNT(I856:L856)=4,ROUND(I856*J856/12,2),"n.a.")</x:f>
        <x:v>0</x:v>
      </x:c>
      <x:c r="N856" s="22" t="n">
        <x:f>IF(COUNT(I856:M856)=5,MIN(I856+M856,ROUND(MAX(K856,I856*L856+M856),2)),"n.a.")</x:f>
        <x:v>0</x:v>
      </x:c>
      <x:c r="O856" s="30" t="n">
        <x:f>IF(COUNT($I$852:$I$856)&lt;&gt;5,"n.a.",IF(I856=0,6,IF('Inputs'!$D$5=1,COUNTIFS($I$852:$I$856,"&gt;0",$I$852:$I$856,"&lt;"&amp;I856)+COUNTIFS($I$852:I856,I856),COUNTIFS($I$852:$I$856,"&gt;0",$J$852:$J$856,"&gt;"&amp;J856)+COUNTIFS($I$852:I856,"&gt;0",$J$852:J856,J856))))</x:f>
        <x:v>6</x:v>
      </x:c>
      <x:c r="P856" s="22" t="n">
        <x:f>IF(T856="Ready",MIN(U856,MAX(0,G856-SUMIFS($U$852:$U$856,$O$852:$O$856,"&lt;"&amp;O856))),"n.a.")</x:f>
        <x:v>0</x:v>
      </x:c>
      <x:c r="Q856" s="22" t="n">
        <x:f>IF(T856="Ready",ROUND(N856+P856,2),"n.a.")</x:f>
        <x:v>0</x:v>
      </x:c>
      <x:c r="R856" s="22" t="n">
        <x:f>IF(T856="Ready",ROUND(Q856-M856,2),"n.a.")</x:f>
        <x:v>0</x:v>
      </x:c>
      <x:c r="S856" s="22" t="n">
        <x:f>IF(T856="Ready",MAX(0,ROUND(I856+M856-Q856,2)),"n.a.")</x:f>
        <x:v>0</x:v>
      </x:c>
      <x:c r="T856" s="22" t="str">
        <x:f>IF(AND(COUNT($I$852:$I$856)=5,COUNT(E856:F856)=2),IF(E856&gt;=F856,"Ready","Budget below minima"),"Check inputs")</x:f>
        <x:v>Ready</x:v>
      </x:c>
      <x:c r="U856" s="22" t="n">
        <x:f>IF(COUNT(I856,M856,N856)=3,MAX(0,ROUND(I856+M856-N856,2)),"n.a.")</x:f>
        <x:v>0</x:v>
      </x:c>
    </x:row>
    <x:row r="857" ht="22" customHeight="1">
      <x:c r="A857" s="2"/>
      <x:c r="B857" s="2"/>
      <x:c r="C857" s="27" t="n">
        <x:f>171</x:f>
        <x:v>171</x:v>
      </x:c>
      <x:c r="D857" s="28" t="n">
        <x:f>IF(ISNUMBER('Inputs'!$D$7),EDATE('Inputs'!$D$7,170),"n.a.")</x:f>
        <x:v>51502</x:v>
      </x:c>
      <x:c r="E857" s="26" t="n">
        <x:f>IF('Inputs'!$D$9&lt;&gt;"Ready","n.a.",IF(ISNUMBER('Inputs'!E189),IF('Inputs'!E189&gt;=0,'Inputs'!E189,"n.a."),IF('Inputs'!E189="",'Inputs'!$D$6,"n.a.")))</x:f>
        <x:v>500</x:v>
      </x:c>
      <x:c r="F857" s="22" t="n">
        <x:f>IF(COUNT($N$857:$N$861)=5,SUM($N$857:$N$861),"n.a.")</x:f>
        <x:v>0</x:v>
      </x:c>
      <x:c r="G857" s="22" t="n">
        <x:f>IF(COUNT(E857:F857)=2,MAX(0,E857-F857),"n.a.")</x:f>
        <x:v>500</x:v>
      </x:c>
      <x:c r="H857" s="26" t="str">
        <x:f>'Inputs'!C11</x:f>
        <x:v>Card A</x:v>
      </x:c>
      <x:c r="I857" s="26" t="n">
        <x:f>S852</x:f>
        <x:v>0</x:v>
      </x:c>
      <x:c r="J857" s="29" t="n">
        <x:f>IF('Inputs'!$D$9="Ready",'Inputs'!E11,"n.a.")</x:f>
        <x:v>0.24</x:v>
      </x:c>
      <x:c r="K857" s="26" t="n">
        <x:f>IF('Inputs'!$D$9="Ready",'Inputs'!F11,"n.a.")</x:f>
        <x:v>35</x:v>
      </x:c>
      <x:c r="L857" s="29" t="n">
        <x:f>IF('Inputs'!$D$9="Ready",'Inputs'!G11,"n.a.")</x:f>
        <x:v>0.02</x:v>
      </x:c>
      <x:c r="M857" s="22" t="n">
        <x:f>IF(COUNT(I857:L857)=4,ROUND(I857*J857/12,2),"n.a.")</x:f>
        <x:v>0</x:v>
      </x:c>
      <x:c r="N857" s="22" t="n">
        <x:f>IF(COUNT(I857:M857)=5,MIN(I857+M857,ROUND(MAX(K857,I857*L857+M857),2)),"n.a.")</x:f>
        <x:v>0</x:v>
      </x:c>
      <x:c r="O857" s="30" t="n">
        <x:f>IF(COUNT($I$857:$I$861)&lt;&gt;5,"n.a.",IF(I857=0,6,IF('Inputs'!$D$5=1,COUNTIFS($I$857:$I$861,"&gt;0",$I$857:$I$861,"&lt;"&amp;I857)+COUNTIFS($I$857:I857,I857),COUNTIFS($I$857:$I$861,"&gt;0",$J$857:$J$861,"&gt;"&amp;J857)+COUNTIFS($I$857:I857,"&gt;0",$J$857:J857,J857))))</x:f>
        <x:v>6</x:v>
      </x:c>
      <x:c r="P857" s="22" t="n">
        <x:f>IF(T857="Ready",MIN(U857,MAX(0,G857-SUMIFS($U$857:$U$861,$O$857:$O$861,"&lt;"&amp;O857))),"n.a.")</x:f>
        <x:v>0</x:v>
      </x:c>
      <x:c r="Q857" s="22" t="n">
        <x:f>IF(T857="Ready",ROUND(N857+P857,2),"n.a.")</x:f>
        <x:v>0</x:v>
      </x:c>
      <x:c r="R857" s="22" t="n">
        <x:f>IF(T857="Ready",ROUND(Q857-M857,2),"n.a.")</x:f>
        <x:v>0</x:v>
      </x:c>
      <x:c r="S857" s="22" t="n">
        <x:f>IF(T857="Ready",MAX(0,ROUND(I857+M857-Q857,2)),"n.a.")</x:f>
        <x:v>0</x:v>
      </x:c>
      <x:c r="T857" s="22" t="str">
        <x:f>IF(AND(COUNT($I$857:$I$861)=5,COUNT(E857:F857)=2),IF(E857&gt;=F857,"Ready","Budget below minima"),"Check inputs")</x:f>
        <x:v>Ready</x:v>
      </x:c>
      <x:c r="U857" s="22" t="n">
        <x:f>IF(COUNT(I857,M857,N857)=3,MAX(0,ROUND(I857+M857-N857,2)),"n.a.")</x:f>
        <x:v>0</x:v>
      </x:c>
    </x:row>
    <x:row r="858" ht="22" customHeight="1">
      <x:c r="A858" s="2"/>
      <x:c r="B858" s="2"/>
      <x:c r="C858" s="27" t="n">
        <x:f>171</x:f>
        <x:v>171</x:v>
      </x:c>
      <x:c r="D858" s="28" t="n">
        <x:f>IF(ISNUMBER('Inputs'!$D$7),EDATE('Inputs'!$D$7,170),"n.a.")</x:f>
        <x:v>51502</x:v>
      </x:c>
      <x:c r="E858" s="26" t="n">
        <x:f>IF('Inputs'!$D$9&lt;&gt;"Ready","n.a.",IF(ISNUMBER('Inputs'!E189),IF('Inputs'!E189&gt;=0,'Inputs'!E189,"n.a."),IF('Inputs'!E189="",'Inputs'!$D$6,"n.a.")))</x:f>
        <x:v>500</x:v>
      </x:c>
      <x:c r="F858" s="22" t="n">
        <x:f>IF(COUNT($N$857:$N$861)=5,SUM($N$857:$N$861),"n.a.")</x:f>
        <x:v>0</x:v>
      </x:c>
      <x:c r="G858" s="22" t="n">
        <x:f>IF(COUNT(E858:F858)=2,MAX(0,E858-F858),"n.a.")</x:f>
        <x:v>500</x:v>
      </x:c>
      <x:c r="H858" s="26" t="str">
        <x:f>'Inputs'!C12</x:f>
        <x:v>Card B</x:v>
      </x:c>
      <x:c r="I858" s="26" t="n">
        <x:f>S853</x:f>
        <x:v>0</x:v>
      </x:c>
      <x:c r="J858" s="29" t="n">
        <x:f>IF('Inputs'!$D$9="Ready",'Inputs'!E12,"n.a.")</x:f>
        <x:v>0.18</x:v>
      </x:c>
      <x:c r="K858" s="26" t="n">
        <x:f>IF('Inputs'!$D$9="Ready",'Inputs'!F12,"n.a.")</x:f>
        <x:v>60</x:v>
      </x:c>
      <x:c r="L858" s="29" t="n">
        <x:f>IF('Inputs'!$D$9="Ready",'Inputs'!G12,"n.a.")</x:f>
        <x:v>0.02</x:v>
      </x:c>
      <x:c r="M858" s="22" t="n">
        <x:f>IF(COUNT(I858:L858)=4,ROUND(I858*J858/12,2),"n.a.")</x:f>
        <x:v>0</x:v>
      </x:c>
      <x:c r="N858" s="22" t="n">
        <x:f>IF(COUNT(I858:M858)=5,MIN(I858+M858,ROUND(MAX(K858,I858*L858+M858),2)),"n.a.")</x:f>
        <x:v>0</x:v>
      </x:c>
      <x:c r="O858" s="30" t="n">
        <x:f>IF(COUNT($I$857:$I$861)&lt;&gt;5,"n.a.",IF(I858=0,6,IF('Inputs'!$D$5=1,COUNTIFS($I$857:$I$861,"&gt;0",$I$857:$I$861,"&lt;"&amp;I858)+COUNTIFS($I$857:I858,I858),COUNTIFS($I$857:$I$861,"&gt;0",$J$857:$J$861,"&gt;"&amp;J858)+COUNTIFS($I$857:I858,"&gt;0",$J$857:J858,J858))))</x:f>
        <x:v>6</x:v>
      </x:c>
      <x:c r="P858" s="22" t="n">
        <x:f>IF(T858="Ready",MIN(U858,MAX(0,G858-SUMIFS($U$857:$U$861,$O$857:$O$861,"&lt;"&amp;O858))),"n.a.")</x:f>
        <x:v>0</x:v>
      </x:c>
      <x:c r="Q858" s="22" t="n">
        <x:f>IF(T858="Ready",ROUND(N858+P858,2),"n.a.")</x:f>
        <x:v>0</x:v>
      </x:c>
      <x:c r="R858" s="22" t="n">
        <x:f>IF(T858="Ready",ROUND(Q858-M858,2),"n.a.")</x:f>
        <x:v>0</x:v>
      </x:c>
      <x:c r="S858" s="22" t="n">
        <x:f>IF(T858="Ready",MAX(0,ROUND(I858+M858-Q858,2)),"n.a.")</x:f>
        <x:v>0</x:v>
      </x:c>
      <x:c r="T858" s="22" t="str">
        <x:f>IF(AND(COUNT($I$857:$I$861)=5,COUNT(E858:F858)=2),IF(E858&gt;=F858,"Ready","Budget below minima"),"Check inputs")</x:f>
        <x:v>Ready</x:v>
      </x:c>
      <x:c r="U858" s="22" t="n">
        <x:f>IF(COUNT(I858,M858,N858)=3,MAX(0,ROUND(I858+M858-N858,2)),"n.a.")</x:f>
        <x:v>0</x:v>
      </x:c>
    </x:row>
    <x:row r="859" ht="22" customHeight="1">
      <x:c r="A859" s="2"/>
      <x:c r="B859" s="2"/>
      <x:c r="C859" s="27" t="n">
        <x:f>171</x:f>
        <x:v>171</x:v>
      </x:c>
      <x:c r="D859" s="28" t="n">
        <x:f>IF(ISNUMBER('Inputs'!$D$7),EDATE('Inputs'!$D$7,170),"n.a.")</x:f>
        <x:v>51502</x:v>
      </x:c>
      <x:c r="E859" s="26" t="n">
        <x:f>IF('Inputs'!$D$9&lt;&gt;"Ready","n.a.",IF(ISNUMBER('Inputs'!E189),IF('Inputs'!E189&gt;=0,'Inputs'!E189,"n.a."),IF('Inputs'!E189="",'Inputs'!$D$6,"n.a.")))</x:f>
        <x:v>500</x:v>
      </x:c>
      <x:c r="F859" s="22" t="n">
        <x:f>IF(COUNT($N$857:$N$861)=5,SUM($N$857:$N$861),"n.a.")</x:f>
        <x:v>0</x:v>
      </x:c>
      <x:c r="G859" s="22" t="n">
        <x:f>IF(COUNT(E859:F859)=2,MAX(0,E859-F859),"n.a.")</x:f>
        <x:v>500</x:v>
      </x:c>
      <x:c r="H859" s="26" t="str">
        <x:f>'Inputs'!C13</x:f>
        <x:v>Loan C</x:v>
      </x:c>
      <x:c r="I859" s="26" t="n">
        <x:f>S854</x:f>
        <x:v>0</x:v>
      </x:c>
      <x:c r="J859" s="29" t="n">
        <x:f>IF('Inputs'!$D$9="Ready",'Inputs'!E13,"n.a.")</x:f>
        <x:v>0.08</x:v>
      </x:c>
      <x:c r="K859" s="26" t="n">
        <x:f>IF('Inputs'!$D$9="Ready",'Inputs'!F13,"n.a.")</x:f>
        <x:v>150</x:v>
      </x:c>
      <x:c r="L859" s="29" t="n">
        <x:f>IF('Inputs'!$D$9="Ready",'Inputs'!G13,"n.a.")</x:f>
        <x:v>0</x:v>
      </x:c>
      <x:c r="M859" s="22" t="n">
        <x:f>IF(COUNT(I859:L859)=4,ROUND(I859*J859/12,2),"n.a.")</x:f>
        <x:v>0</x:v>
      </x:c>
      <x:c r="N859" s="22" t="n">
        <x:f>IF(COUNT(I859:M859)=5,MIN(I859+M859,ROUND(MAX(K859,I859*L859+M859),2)),"n.a.")</x:f>
        <x:v>0</x:v>
      </x:c>
      <x:c r="O859" s="30" t="n">
        <x:f>IF(COUNT($I$857:$I$861)&lt;&gt;5,"n.a.",IF(I859=0,6,IF('Inputs'!$D$5=1,COUNTIFS($I$857:$I$861,"&gt;0",$I$857:$I$861,"&lt;"&amp;I859)+COUNTIFS($I$857:I859,I859),COUNTIFS($I$857:$I$861,"&gt;0",$J$857:$J$861,"&gt;"&amp;J859)+COUNTIFS($I$857:I859,"&gt;0",$J$857:J859,J859))))</x:f>
        <x:v>6</x:v>
      </x:c>
      <x:c r="P859" s="22" t="n">
        <x:f>IF(T859="Ready",MIN(U859,MAX(0,G859-SUMIFS($U$857:$U$861,$O$857:$O$861,"&lt;"&amp;O859))),"n.a.")</x:f>
        <x:v>0</x:v>
      </x:c>
      <x:c r="Q859" s="22" t="n">
        <x:f>IF(T859="Ready",ROUND(N859+P859,2),"n.a.")</x:f>
        <x:v>0</x:v>
      </x:c>
      <x:c r="R859" s="22" t="n">
        <x:f>IF(T859="Ready",ROUND(Q859-M859,2),"n.a.")</x:f>
        <x:v>0</x:v>
      </x:c>
      <x:c r="S859" s="22" t="n">
        <x:f>IF(T859="Ready",MAX(0,ROUND(I859+M859-Q859,2)),"n.a.")</x:f>
        <x:v>0</x:v>
      </x:c>
      <x:c r="T859" s="22" t="str">
        <x:f>IF(AND(COUNT($I$857:$I$861)=5,COUNT(E859:F859)=2),IF(E859&gt;=F859,"Ready","Budget below minima"),"Check inputs")</x:f>
        <x:v>Ready</x:v>
      </x:c>
      <x:c r="U859" s="22" t="n">
        <x:f>IF(COUNT(I859,M859,N859)=3,MAX(0,ROUND(I859+M859-N859,2)),"n.a.")</x:f>
        <x:v>0</x:v>
      </x:c>
    </x:row>
    <x:row r="860" ht="22" customHeight="1">
      <x:c r="A860" s="2"/>
      <x:c r="B860" s="2"/>
      <x:c r="C860" s="27" t="n">
        <x:f>171</x:f>
        <x:v>171</x:v>
      </x:c>
      <x:c r="D860" s="28" t="n">
        <x:f>IF(ISNUMBER('Inputs'!$D$7),EDATE('Inputs'!$D$7,170),"n.a.")</x:f>
        <x:v>51502</x:v>
      </x:c>
      <x:c r="E860" s="26" t="n">
        <x:f>IF('Inputs'!$D$9&lt;&gt;"Ready","n.a.",IF(ISNUMBER('Inputs'!E189),IF('Inputs'!E189&gt;=0,'Inputs'!E189,"n.a."),IF('Inputs'!E189="",'Inputs'!$D$6,"n.a.")))</x:f>
        <x:v>500</x:v>
      </x:c>
      <x:c r="F860" s="22" t="n">
        <x:f>IF(COUNT($N$857:$N$861)=5,SUM($N$857:$N$861),"n.a.")</x:f>
        <x:v>0</x:v>
      </x:c>
      <x:c r="G860" s="22" t="n">
        <x:f>IF(COUNT(E860:F860)=2,MAX(0,E860-F860),"n.a.")</x:f>
        <x:v>500</x:v>
      </x:c>
      <x:c r="H860" s="26" t="str">
        <x:f>'Inputs'!C14</x:f>
        <x:v>Unused 4</x:v>
      </x:c>
      <x:c r="I860" s="26" t="n">
        <x:f>S855</x:f>
        <x:v>0</x:v>
      </x:c>
      <x:c r="J860" s="29" t="n">
        <x:f>IF('Inputs'!$D$9="Ready",'Inputs'!E14,"n.a.")</x:f>
        <x:v>0</x:v>
      </x:c>
      <x:c r="K860" s="26" t="n">
        <x:f>IF('Inputs'!$D$9="Ready",'Inputs'!F14,"n.a.")</x:f>
        <x:v>0</x:v>
      </x:c>
      <x:c r="L860" s="29" t="n">
        <x:f>IF('Inputs'!$D$9="Ready",'Inputs'!G14,"n.a.")</x:f>
        <x:v>0</x:v>
      </x:c>
      <x:c r="M860" s="22" t="n">
        <x:f>IF(COUNT(I860:L860)=4,ROUND(I860*J860/12,2),"n.a.")</x:f>
        <x:v>0</x:v>
      </x:c>
      <x:c r="N860" s="22" t="n">
        <x:f>IF(COUNT(I860:M860)=5,MIN(I860+M860,ROUND(MAX(K860,I860*L860+M860),2)),"n.a.")</x:f>
        <x:v>0</x:v>
      </x:c>
      <x:c r="O860" s="30" t="n">
        <x:f>IF(COUNT($I$857:$I$861)&lt;&gt;5,"n.a.",IF(I860=0,6,IF('Inputs'!$D$5=1,COUNTIFS($I$857:$I$861,"&gt;0",$I$857:$I$861,"&lt;"&amp;I860)+COUNTIFS($I$857:I860,I860),COUNTIFS($I$857:$I$861,"&gt;0",$J$857:$J$861,"&gt;"&amp;J860)+COUNTIFS($I$857:I860,"&gt;0",$J$857:J860,J860))))</x:f>
        <x:v>6</x:v>
      </x:c>
      <x:c r="P860" s="22" t="n">
        <x:f>IF(T860="Ready",MIN(U860,MAX(0,G860-SUMIFS($U$857:$U$861,$O$857:$O$861,"&lt;"&amp;O860))),"n.a.")</x:f>
        <x:v>0</x:v>
      </x:c>
      <x:c r="Q860" s="22" t="n">
        <x:f>IF(T860="Ready",ROUND(N860+P860,2),"n.a.")</x:f>
        <x:v>0</x:v>
      </x:c>
      <x:c r="R860" s="22" t="n">
        <x:f>IF(T860="Ready",ROUND(Q860-M860,2),"n.a.")</x:f>
        <x:v>0</x:v>
      </x:c>
      <x:c r="S860" s="22" t="n">
        <x:f>IF(T860="Ready",MAX(0,ROUND(I860+M860-Q860,2)),"n.a.")</x:f>
        <x:v>0</x:v>
      </x:c>
      <x:c r="T860" s="22" t="str">
        <x:f>IF(AND(COUNT($I$857:$I$861)=5,COUNT(E860:F860)=2),IF(E860&gt;=F860,"Ready","Budget below minima"),"Check inputs")</x:f>
        <x:v>Ready</x:v>
      </x:c>
      <x:c r="U860" s="22" t="n">
        <x:f>IF(COUNT(I860,M860,N860)=3,MAX(0,ROUND(I860+M860-N860,2)),"n.a.")</x:f>
        <x:v>0</x:v>
      </x:c>
    </x:row>
    <x:row r="861" ht="22" customHeight="1">
      <x:c r="A861" s="2"/>
      <x:c r="B861" s="2"/>
      <x:c r="C861" s="27" t="n">
        <x:f>171</x:f>
        <x:v>171</x:v>
      </x:c>
      <x:c r="D861" s="28" t="n">
        <x:f>IF(ISNUMBER('Inputs'!$D$7),EDATE('Inputs'!$D$7,170),"n.a.")</x:f>
        <x:v>51502</x:v>
      </x:c>
      <x:c r="E861" s="26" t="n">
        <x:f>IF('Inputs'!$D$9&lt;&gt;"Ready","n.a.",IF(ISNUMBER('Inputs'!E189),IF('Inputs'!E189&gt;=0,'Inputs'!E189,"n.a."),IF('Inputs'!E189="",'Inputs'!$D$6,"n.a.")))</x:f>
        <x:v>500</x:v>
      </x:c>
      <x:c r="F861" s="22" t="n">
        <x:f>IF(COUNT($N$857:$N$861)=5,SUM($N$857:$N$861),"n.a.")</x:f>
        <x:v>0</x:v>
      </x:c>
      <x:c r="G861" s="22" t="n">
        <x:f>IF(COUNT(E861:F861)=2,MAX(0,E861-F861),"n.a.")</x:f>
        <x:v>500</x:v>
      </x:c>
      <x:c r="H861" s="26" t="str">
        <x:f>'Inputs'!C15</x:f>
        <x:v>Unused 5</x:v>
      </x:c>
      <x:c r="I861" s="26" t="n">
        <x:f>S856</x:f>
        <x:v>0</x:v>
      </x:c>
      <x:c r="J861" s="29" t="n">
        <x:f>IF('Inputs'!$D$9="Ready",'Inputs'!E15,"n.a.")</x:f>
        <x:v>0</x:v>
      </x:c>
      <x:c r="K861" s="26" t="n">
        <x:f>IF('Inputs'!$D$9="Ready",'Inputs'!F15,"n.a.")</x:f>
        <x:v>0</x:v>
      </x:c>
      <x:c r="L861" s="29" t="n">
        <x:f>IF('Inputs'!$D$9="Ready",'Inputs'!G15,"n.a.")</x:f>
        <x:v>0</x:v>
      </x:c>
      <x:c r="M861" s="22" t="n">
        <x:f>IF(COUNT(I861:L861)=4,ROUND(I861*J861/12,2),"n.a.")</x:f>
        <x:v>0</x:v>
      </x:c>
      <x:c r="N861" s="22" t="n">
        <x:f>IF(COUNT(I861:M861)=5,MIN(I861+M861,ROUND(MAX(K861,I861*L861+M861),2)),"n.a.")</x:f>
        <x:v>0</x:v>
      </x:c>
      <x:c r="O861" s="30" t="n">
        <x:f>IF(COUNT($I$857:$I$861)&lt;&gt;5,"n.a.",IF(I861=0,6,IF('Inputs'!$D$5=1,COUNTIFS($I$857:$I$861,"&gt;0",$I$857:$I$861,"&lt;"&amp;I861)+COUNTIFS($I$857:I861,I861),COUNTIFS($I$857:$I$861,"&gt;0",$J$857:$J$861,"&gt;"&amp;J861)+COUNTIFS($I$857:I861,"&gt;0",$J$857:J861,J861))))</x:f>
        <x:v>6</x:v>
      </x:c>
      <x:c r="P861" s="22" t="n">
        <x:f>IF(T861="Ready",MIN(U861,MAX(0,G861-SUMIFS($U$857:$U$861,$O$857:$O$861,"&lt;"&amp;O861))),"n.a.")</x:f>
        <x:v>0</x:v>
      </x:c>
      <x:c r="Q861" s="22" t="n">
        <x:f>IF(T861="Ready",ROUND(N861+P861,2),"n.a.")</x:f>
        <x:v>0</x:v>
      </x:c>
      <x:c r="R861" s="22" t="n">
        <x:f>IF(T861="Ready",ROUND(Q861-M861,2),"n.a.")</x:f>
        <x:v>0</x:v>
      </x:c>
      <x:c r="S861" s="22" t="n">
        <x:f>IF(T861="Ready",MAX(0,ROUND(I861+M861-Q861,2)),"n.a.")</x:f>
        <x:v>0</x:v>
      </x:c>
      <x:c r="T861" s="22" t="str">
        <x:f>IF(AND(COUNT($I$857:$I$861)=5,COUNT(E861:F861)=2),IF(E861&gt;=F861,"Ready","Budget below minima"),"Check inputs")</x:f>
        <x:v>Ready</x:v>
      </x:c>
      <x:c r="U861" s="22" t="n">
        <x:f>IF(COUNT(I861,M861,N861)=3,MAX(0,ROUND(I861+M861-N861,2)),"n.a.")</x:f>
        <x:v>0</x:v>
      </x:c>
    </x:row>
    <x:row r="862" ht="22" customHeight="1">
      <x:c r="A862" s="2"/>
      <x:c r="B862" s="2"/>
      <x:c r="C862" s="27" t="n">
        <x:f>172</x:f>
        <x:v>172</x:v>
      </x:c>
      <x:c r="D862" s="28" t="n">
        <x:f>IF(ISNUMBER('Inputs'!$D$7),EDATE('Inputs'!$D$7,171),"n.a.")</x:f>
        <x:v>51533</x:v>
      </x:c>
      <x:c r="E862" s="26" t="n">
        <x:f>IF('Inputs'!$D$9&lt;&gt;"Ready","n.a.",IF(ISNUMBER('Inputs'!E190),IF('Inputs'!E190&gt;=0,'Inputs'!E190,"n.a."),IF('Inputs'!E190="",'Inputs'!$D$6,"n.a.")))</x:f>
        <x:v>500</x:v>
      </x:c>
      <x:c r="F862" s="22" t="n">
        <x:f>IF(COUNT($N$862:$N$866)=5,SUM($N$862:$N$866),"n.a.")</x:f>
        <x:v>0</x:v>
      </x:c>
      <x:c r="G862" s="22" t="n">
        <x:f>IF(COUNT(E862:F862)=2,MAX(0,E862-F862),"n.a.")</x:f>
        <x:v>500</x:v>
      </x:c>
      <x:c r="H862" s="26" t="str">
        <x:f>'Inputs'!C11</x:f>
        <x:v>Card A</x:v>
      </x:c>
      <x:c r="I862" s="26" t="n">
        <x:f>S857</x:f>
        <x:v>0</x:v>
      </x:c>
      <x:c r="J862" s="29" t="n">
        <x:f>IF('Inputs'!$D$9="Ready",'Inputs'!E11,"n.a.")</x:f>
        <x:v>0.24</x:v>
      </x:c>
      <x:c r="K862" s="26" t="n">
        <x:f>IF('Inputs'!$D$9="Ready",'Inputs'!F11,"n.a.")</x:f>
        <x:v>35</x:v>
      </x:c>
      <x:c r="L862" s="29" t="n">
        <x:f>IF('Inputs'!$D$9="Ready",'Inputs'!G11,"n.a.")</x:f>
        <x:v>0.02</x:v>
      </x:c>
      <x:c r="M862" s="22" t="n">
        <x:f>IF(COUNT(I862:L862)=4,ROUND(I862*J862/12,2),"n.a.")</x:f>
        <x:v>0</x:v>
      </x:c>
      <x:c r="N862" s="22" t="n">
        <x:f>IF(COUNT(I862:M862)=5,MIN(I862+M862,ROUND(MAX(K862,I862*L862+M862),2)),"n.a.")</x:f>
        <x:v>0</x:v>
      </x:c>
      <x:c r="O862" s="30" t="n">
        <x:f>IF(COUNT($I$862:$I$866)&lt;&gt;5,"n.a.",IF(I862=0,6,IF('Inputs'!$D$5=1,COUNTIFS($I$862:$I$866,"&gt;0",$I$862:$I$866,"&lt;"&amp;I862)+COUNTIFS($I$862:I862,I862),COUNTIFS($I$862:$I$866,"&gt;0",$J$862:$J$866,"&gt;"&amp;J862)+COUNTIFS($I$862:I862,"&gt;0",$J$862:J862,J862))))</x:f>
        <x:v>6</x:v>
      </x:c>
      <x:c r="P862" s="22" t="n">
        <x:f>IF(T862="Ready",MIN(U862,MAX(0,G862-SUMIFS($U$862:$U$866,$O$862:$O$866,"&lt;"&amp;O862))),"n.a.")</x:f>
        <x:v>0</x:v>
      </x:c>
      <x:c r="Q862" s="22" t="n">
        <x:f>IF(T862="Ready",ROUND(N862+P862,2),"n.a.")</x:f>
        <x:v>0</x:v>
      </x:c>
      <x:c r="R862" s="22" t="n">
        <x:f>IF(T862="Ready",ROUND(Q862-M862,2),"n.a.")</x:f>
        <x:v>0</x:v>
      </x:c>
      <x:c r="S862" s="22" t="n">
        <x:f>IF(T862="Ready",MAX(0,ROUND(I862+M862-Q862,2)),"n.a.")</x:f>
        <x:v>0</x:v>
      </x:c>
      <x:c r="T862" s="22" t="str">
        <x:f>IF(AND(COUNT($I$862:$I$866)=5,COUNT(E862:F862)=2),IF(E862&gt;=F862,"Ready","Budget below minima"),"Check inputs")</x:f>
        <x:v>Ready</x:v>
      </x:c>
      <x:c r="U862" s="22" t="n">
        <x:f>IF(COUNT(I862,M862,N862)=3,MAX(0,ROUND(I862+M862-N862,2)),"n.a.")</x:f>
        <x:v>0</x:v>
      </x:c>
    </x:row>
    <x:row r="863" ht="22" customHeight="1">
      <x:c r="A863" s="2"/>
      <x:c r="B863" s="2"/>
      <x:c r="C863" s="27" t="n">
        <x:f>172</x:f>
        <x:v>172</x:v>
      </x:c>
      <x:c r="D863" s="28" t="n">
        <x:f>IF(ISNUMBER('Inputs'!$D$7),EDATE('Inputs'!$D$7,171),"n.a.")</x:f>
        <x:v>51533</x:v>
      </x:c>
      <x:c r="E863" s="26" t="n">
        <x:f>IF('Inputs'!$D$9&lt;&gt;"Ready","n.a.",IF(ISNUMBER('Inputs'!E190),IF('Inputs'!E190&gt;=0,'Inputs'!E190,"n.a."),IF('Inputs'!E190="",'Inputs'!$D$6,"n.a.")))</x:f>
        <x:v>500</x:v>
      </x:c>
      <x:c r="F863" s="22" t="n">
        <x:f>IF(COUNT($N$862:$N$866)=5,SUM($N$862:$N$866),"n.a.")</x:f>
        <x:v>0</x:v>
      </x:c>
      <x:c r="G863" s="22" t="n">
        <x:f>IF(COUNT(E863:F863)=2,MAX(0,E863-F863),"n.a.")</x:f>
        <x:v>500</x:v>
      </x:c>
      <x:c r="H863" s="26" t="str">
        <x:f>'Inputs'!C12</x:f>
        <x:v>Card B</x:v>
      </x:c>
      <x:c r="I863" s="26" t="n">
        <x:f>S858</x:f>
        <x:v>0</x:v>
      </x:c>
      <x:c r="J863" s="29" t="n">
        <x:f>IF('Inputs'!$D$9="Ready",'Inputs'!E12,"n.a.")</x:f>
        <x:v>0.18</x:v>
      </x:c>
      <x:c r="K863" s="26" t="n">
        <x:f>IF('Inputs'!$D$9="Ready",'Inputs'!F12,"n.a.")</x:f>
        <x:v>60</x:v>
      </x:c>
      <x:c r="L863" s="29" t="n">
        <x:f>IF('Inputs'!$D$9="Ready",'Inputs'!G12,"n.a.")</x:f>
        <x:v>0.02</x:v>
      </x:c>
      <x:c r="M863" s="22" t="n">
        <x:f>IF(COUNT(I863:L863)=4,ROUND(I863*J863/12,2),"n.a.")</x:f>
        <x:v>0</x:v>
      </x:c>
      <x:c r="N863" s="22" t="n">
        <x:f>IF(COUNT(I863:M863)=5,MIN(I863+M863,ROUND(MAX(K863,I863*L863+M863),2)),"n.a.")</x:f>
        <x:v>0</x:v>
      </x:c>
      <x:c r="O863" s="30" t="n">
        <x:f>IF(COUNT($I$862:$I$866)&lt;&gt;5,"n.a.",IF(I863=0,6,IF('Inputs'!$D$5=1,COUNTIFS($I$862:$I$866,"&gt;0",$I$862:$I$866,"&lt;"&amp;I863)+COUNTIFS($I$862:I863,I863),COUNTIFS($I$862:$I$866,"&gt;0",$J$862:$J$866,"&gt;"&amp;J863)+COUNTIFS($I$862:I863,"&gt;0",$J$862:J863,J863))))</x:f>
        <x:v>6</x:v>
      </x:c>
      <x:c r="P863" s="22" t="n">
        <x:f>IF(T863="Ready",MIN(U863,MAX(0,G863-SUMIFS($U$862:$U$866,$O$862:$O$866,"&lt;"&amp;O863))),"n.a.")</x:f>
        <x:v>0</x:v>
      </x:c>
      <x:c r="Q863" s="22" t="n">
        <x:f>IF(T863="Ready",ROUND(N863+P863,2),"n.a.")</x:f>
        <x:v>0</x:v>
      </x:c>
      <x:c r="R863" s="22" t="n">
        <x:f>IF(T863="Ready",ROUND(Q863-M863,2),"n.a.")</x:f>
        <x:v>0</x:v>
      </x:c>
      <x:c r="S863" s="22" t="n">
        <x:f>IF(T863="Ready",MAX(0,ROUND(I863+M863-Q863,2)),"n.a.")</x:f>
        <x:v>0</x:v>
      </x:c>
      <x:c r="T863" s="22" t="str">
        <x:f>IF(AND(COUNT($I$862:$I$866)=5,COUNT(E863:F863)=2),IF(E863&gt;=F863,"Ready","Budget below minima"),"Check inputs")</x:f>
        <x:v>Ready</x:v>
      </x:c>
      <x:c r="U863" s="22" t="n">
        <x:f>IF(COUNT(I863,M863,N863)=3,MAX(0,ROUND(I863+M863-N863,2)),"n.a.")</x:f>
        <x:v>0</x:v>
      </x:c>
    </x:row>
    <x:row r="864" ht="22" customHeight="1">
      <x:c r="A864" s="2"/>
      <x:c r="B864" s="2"/>
      <x:c r="C864" s="27" t="n">
        <x:f>172</x:f>
        <x:v>172</x:v>
      </x:c>
      <x:c r="D864" s="28" t="n">
        <x:f>IF(ISNUMBER('Inputs'!$D$7),EDATE('Inputs'!$D$7,171),"n.a.")</x:f>
        <x:v>51533</x:v>
      </x:c>
      <x:c r="E864" s="26" t="n">
        <x:f>IF('Inputs'!$D$9&lt;&gt;"Ready","n.a.",IF(ISNUMBER('Inputs'!E190),IF('Inputs'!E190&gt;=0,'Inputs'!E190,"n.a."),IF('Inputs'!E190="",'Inputs'!$D$6,"n.a.")))</x:f>
        <x:v>500</x:v>
      </x:c>
      <x:c r="F864" s="22" t="n">
        <x:f>IF(COUNT($N$862:$N$866)=5,SUM($N$862:$N$866),"n.a.")</x:f>
        <x:v>0</x:v>
      </x:c>
      <x:c r="G864" s="22" t="n">
        <x:f>IF(COUNT(E864:F864)=2,MAX(0,E864-F864),"n.a.")</x:f>
        <x:v>500</x:v>
      </x:c>
      <x:c r="H864" s="26" t="str">
        <x:f>'Inputs'!C13</x:f>
        <x:v>Loan C</x:v>
      </x:c>
      <x:c r="I864" s="26" t="n">
        <x:f>S859</x:f>
        <x:v>0</x:v>
      </x:c>
      <x:c r="J864" s="29" t="n">
        <x:f>IF('Inputs'!$D$9="Ready",'Inputs'!E13,"n.a.")</x:f>
        <x:v>0.08</x:v>
      </x:c>
      <x:c r="K864" s="26" t="n">
        <x:f>IF('Inputs'!$D$9="Ready",'Inputs'!F13,"n.a.")</x:f>
        <x:v>150</x:v>
      </x:c>
      <x:c r="L864" s="29" t="n">
        <x:f>IF('Inputs'!$D$9="Ready",'Inputs'!G13,"n.a.")</x:f>
        <x:v>0</x:v>
      </x:c>
      <x:c r="M864" s="22" t="n">
        <x:f>IF(COUNT(I864:L864)=4,ROUND(I864*J864/12,2),"n.a.")</x:f>
        <x:v>0</x:v>
      </x:c>
      <x:c r="N864" s="22" t="n">
        <x:f>IF(COUNT(I864:M864)=5,MIN(I864+M864,ROUND(MAX(K864,I864*L864+M864),2)),"n.a.")</x:f>
        <x:v>0</x:v>
      </x:c>
      <x:c r="O864" s="30" t="n">
        <x:f>IF(COUNT($I$862:$I$866)&lt;&gt;5,"n.a.",IF(I864=0,6,IF('Inputs'!$D$5=1,COUNTIFS($I$862:$I$866,"&gt;0",$I$862:$I$866,"&lt;"&amp;I864)+COUNTIFS($I$862:I864,I864),COUNTIFS($I$862:$I$866,"&gt;0",$J$862:$J$866,"&gt;"&amp;J864)+COUNTIFS($I$862:I864,"&gt;0",$J$862:J864,J864))))</x:f>
        <x:v>6</x:v>
      </x:c>
      <x:c r="P864" s="22" t="n">
        <x:f>IF(T864="Ready",MIN(U864,MAX(0,G864-SUMIFS($U$862:$U$866,$O$862:$O$866,"&lt;"&amp;O864))),"n.a.")</x:f>
        <x:v>0</x:v>
      </x:c>
      <x:c r="Q864" s="22" t="n">
        <x:f>IF(T864="Ready",ROUND(N864+P864,2),"n.a.")</x:f>
        <x:v>0</x:v>
      </x:c>
      <x:c r="R864" s="22" t="n">
        <x:f>IF(T864="Ready",ROUND(Q864-M864,2),"n.a.")</x:f>
        <x:v>0</x:v>
      </x:c>
      <x:c r="S864" s="22" t="n">
        <x:f>IF(T864="Ready",MAX(0,ROUND(I864+M864-Q864,2)),"n.a.")</x:f>
        <x:v>0</x:v>
      </x:c>
      <x:c r="T864" s="22" t="str">
        <x:f>IF(AND(COUNT($I$862:$I$866)=5,COUNT(E864:F864)=2),IF(E864&gt;=F864,"Ready","Budget below minima"),"Check inputs")</x:f>
        <x:v>Ready</x:v>
      </x:c>
      <x:c r="U864" s="22" t="n">
        <x:f>IF(COUNT(I864,M864,N864)=3,MAX(0,ROUND(I864+M864-N864,2)),"n.a.")</x:f>
        <x:v>0</x:v>
      </x:c>
    </x:row>
    <x:row r="865" ht="22" customHeight="1">
      <x:c r="A865" s="2"/>
      <x:c r="B865" s="2"/>
      <x:c r="C865" s="27" t="n">
        <x:f>172</x:f>
        <x:v>172</x:v>
      </x:c>
      <x:c r="D865" s="28" t="n">
        <x:f>IF(ISNUMBER('Inputs'!$D$7),EDATE('Inputs'!$D$7,171),"n.a.")</x:f>
        <x:v>51533</x:v>
      </x:c>
      <x:c r="E865" s="26" t="n">
        <x:f>IF('Inputs'!$D$9&lt;&gt;"Ready","n.a.",IF(ISNUMBER('Inputs'!E190),IF('Inputs'!E190&gt;=0,'Inputs'!E190,"n.a."),IF('Inputs'!E190="",'Inputs'!$D$6,"n.a.")))</x:f>
        <x:v>500</x:v>
      </x:c>
      <x:c r="F865" s="22" t="n">
        <x:f>IF(COUNT($N$862:$N$866)=5,SUM($N$862:$N$866),"n.a.")</x:f>
        <x:v>0</x:v>
      </x:c>
      <x:c r="G865" s="22" t="n">
        <x:f>IF(COUNT(E865:F865)=2,MAX(0,E865-F865),"n.a.")</x:f>
        <x:v>500</x:v>
      </x:c>
      <x:c r="H865" s="26" t="str">
        <x:f>'Inputs'!C14</x:f>
        <x:v>Unused 4</x:v>
      </x:c>
      <x:c r="I865" s="26" t="n">
        <x:f>S860</x:f>
        <x:v>0</x:v>
      </x:c>
      <x:c r="J865" s="29" t="n">
        <x:f>IF('Inputs'!$D$9="Ready",'Inputs'!E14,"n.a.")</x:f>
        <x:v>0</x:v>
      </x:c>
      <x:c r="K865" s="26" t="n">
        <x:f>IF('Inputs'!$D$9="Ready",'Inputs'!F14,"n.a.")</x:f>
        <x:v>0</x:v>
      </x:c>
      <x:c r="L865" s="29" t="n">
        <x:f>IF('Inputs'!$D$9="Ready",'Inputs'!G14,"n.a.")</x:f>
        <x:v>0</x:v>
      </x:c>
      <x:c r="M865" s="22" t="n">
        <x:f>IF(COUNT(I865:L865)=4,ROUND(I865*J865/12,2),"n.a.")</x:f>
        <x:v>0</x:v>
      </x:c>
      <x:c r="N865" s="22" t="n">
        <x:f>IF(COUNT(I865:M865)=5,MIN(I865+M865,ROUND(MAX(K865,I865*L865+M865),2)),"n.a.")</x:f>
        <x:v>0</x:v>
      </x:c>
      <x:c r="O865" s="30" t="n">
        <x:f>IF(COUNT($I$862:$I$866)&lt;&gt;5,"n.a.",IF(I865=0,6,IF('Inputs'!$D$5=1,COUNTIFS($I$862:$I$866,"&gt;0",$I$862:$I$866,"&lt;"&amp;I865)+COUNTIFS($I$862:I865,I865),COUNTIFS($I$862:$I$866,"&gt;0",$J$862:$J$866,"&gt;"&amp;J865)+COUNTIFS($I$862:I865,"&gt;0",$J$862:J865,J865))))</x:f>
        <x:v>6</x:v>
      </x:c>
      <x:c r="P865" s="22" t="n">
        <x:f>IF(T865="Ready",MIN(U865,MAX(0,G865-SUMIFS($U$862:$U$866,$O$862:$O$866,"&lt;"&amp;O865))),"n.a.")</x:f>
        <x:v>0</x:v>
      </x:c>
      <x:c r="Q865" s="22" t="n">
        <x:f>IF(T865="Ready",ROUND(N865+P865,2),"n.a.")</x:f>
        <x:v>0</x:v>
      </x:c>
      <x:c r="R865" s="22" t="n">
        <x:f>IF(T865="Ready",ROUND(Q865-M865,2),"n.a.")</x:f>
        <x:v>0</x:v>
      </x:c>
      <x:c r="S865" s="22" t="n">
        <x:f>IF(T865="Ready",MAX(0,ROUND(I865+M865-Q865,2)),"n.a.")</x:f>
        <x:v>0</x:v>
      </x:c>
      <x:c r="T865" s="22" t="str">
        <x:f>IF(AND(COUNT($I$862:$I$866)=5,COUNT(E865:F865)=2),IF(E865&gt;=F865,"Ready","Budget below minima"),"Check inputs")</x:f>
        <x:v>Ready</x:v>
      </x:c>
      <x:c r="U865" s="22" t="n">
        <x:f>IF(COUNT(I865,M865,N865)=3,MAX(0,ROUND(I865+M865-N865,2)),"n.a.")</x:f>
        <x:v>0</x:v>
      </x:c>
    </x:row>
    <x:row r="866" ht="22" customHeight="1">
      <x:c r="A866" s="2"/>
      <x:c r="B866" s="2"/>
      <x:c r="C866" s="27" t="n">
        <x:f>172</x:f>
        <x:v>172</x:v>
      </x:c>
      <x:c r="D866" s="28" t="n">
        <x:f>IF(ISNUMBER('Inputs'!$D$7),EDATE('Inputs'!$D$7,171),"n.a.")</x:f>
        <x:v>51533</x:v>
      </x:c>
      <x:c r="E866" s="26" t="n">
        <x:f>IF('Inputs'!$D$9&lt;&gt;"Ready","n.a.",IF(ISNUMBER('Inputs'!E190),IF('Inputs'!E190&gt;=0,'Inputs'!E190,"n.a."),IF('Inputs'!E190="",'Inputs'!$D$6,"n.a.")))</x:f>
        <x:v>500</x:v>
      </x:c>
      <x:c r="F866" s="22" t="n">
        <x:f>IF(COUNT($N$862:$N$866)=5,SUM($N$862:$N$866),"n.a.")</x:f>
        <x:v>0</x:v>
      </x:c>
      <x:c r="G866" s="22" t="n">
        <x:f>IF(COUNT(E866:F866)=2,MAX(0,E866-F866),"n.a.")</x:f>
        <x:v>500</x:v>
      </x:c>
      <x:c r="H866" s="26" t="str">
        <x:f>'Inputs'!C15</x:f>
        <x:v>Unused 5</x:v>
      </x:c>
      <x:c r="I866" s="26" t="n">
        <x:f>S861</x:f>
        <x:v>0</x:v>
      </x:c>
      <x:c r="J866" s="29" t="n">
        <x:f>IF('Inputs'!$D$9="Ready",'Inputs'!E15,"n.a.")</x:f>
        <x:v>0</x:v>
      </x:c>
      <x:c r="K866" s="26" t="n">
        <x:f>IF('Inputs'!$D$9="Ready",'Inputs'!F15,"n.a.")</x:f>
        <x:v>0</x:v>
      </x:c>
      <x:c r="L866" s="29" t="n">
        <x:f>IF('Inputs'!$D$9="Ready",'Inputs'!G15,"n.a.")</x:f>
        <x:v>0</x:v>
      </x:c>
      <x:c r="M866" s="22" t="n">
        <x:f>IF(COUNT(I866:L866)=4,ROUND(I866*J866/12,2),"n.a.")</x:f>
        <x:v>0</x:v>
      </x:c>
      <x:c r="N866" s="22" t="n">
        <x:f>IF(COUNT(I866:M866)=5,MIN(I866+M866,ROUND(MAX(K866,I866*L866+M866),2)),"n.a.")</x:f>
        <x:v>0</x:v>
      </x:c>
      <x:c r="O866" s="30" t="n">
        <x:f>IF(COUNT($I$862:$I$866)&lt;&gt;5,"n.a.",IF(I866=0,6,IF('Inputs'!$D$5=1,COUNTIFS($I$862:$I$866,"&gt;0",$I$862:$I$866,"&lt;"&amp;I866)+COUNTIFS($I$862:I866,I866),COUNTIFS($I$862:$I$866,"&gt;0",$J$862:$J$866,"&gt;"&amp;J866)+COUNTIFS($I$862:I866,"&gt;0",$J$862:J866,J866))))</x:f>
        <x:v>6</x:v>
      </x:c>
      <x:c r="P866" s="22" t="n">
        <x:f>IF(T866="Ready",MIN(U866,MAX(0,G866-SUMIFS($U$862:$U$866,$O$862:$O$866,"&lt;"&amp;O866))),"n.a.")</x:f>
        <x:v>0</x:v>
      </x:c>
      <x:c r="Q866" s="22" t="n">
        <x:f>IF(T866="Ready",ROUND(N866+P866,2),"n.a.")</x:f>
        <x:v>0</x:v>
      </x:c>
      <x:c r="R866" s="22" t="n">
        <x:f>IF(T866="Ready",ROUND(Q866-M866,2),"n.a.")</x:f>
        <x:v>0</x:v>
      </x:c>
      <x:c r="S866" s="22" t="n">
        <x:f>IF(T866="Ready",MAX(0,ROUND(I866+M866-Q866,2)),"n.a.")</x:f>
        <x:v>0</x:v>
      </x:c>
      <x:c r="T866" s="22" t="str">
        <x:f>IF(AND(COUNT($I$862:$I$866)=5,COUNT(E866:F866)=2),IF(E866&gt;=F866,"Ready","Budget below minima"),"Check inputs")</x:f>
        <x:v>Ready</x:v>
      </x:c>
      <x:c r="U866" s="22" t="n">
        <x:f>IF(COUNT(I866,M866,N866)=3,MAX(0,ROUND(I866+M866-N866,2)),"n.a.")</x:f>
        <x:v>0</x:v>
      </x:c>
    </x:row>
    <x:row r="867" ht="22" customHeight="1">
      <x:c r="A867" s="2"/>
      <x:c r="B867" s="2"/>
      <x:c r="C867" s="27" t="n">
        <x:f>173</x:f>
        <x:v>173</x:v>
      </x:c>
      <x:c r="D867" s="28" t="n">
        <x:f>IF(ISNUMBER('Inputs'!$D$7),EDATE('Inputs'!$D$7,172),"n.a.")</x:f>
        <x:v>51561</x:v>
      </x:c>
      <x:c r="E867" s="26" t="n">
        <x:f>IF('Inputs'!$D$9&lt;&gt;"Ready","n.a.",IF(ISNUMBER('Inputs'!E191),IF('Inputs'!E191&gt;=0,'Inputs'!E191,"n.a."),IF('Inputs'!E191="",'Inputs'!$D$6,"n.a.")))</x:f>
        <x:v>500</x:v>
      </x:c>
      <x:c r="F867" s="22" t="n">
        <x:f>IF(COUNT($N$867:$N$871)=5,SUM($N$867:$N$871),"n.a.")</x:f>
        <x:v>0</x:v>
      </x:c>
      <x:c r="G867" s="22" t="n">
        <x:f>IF(COUNT(E867:F867)=2,MAX(0,E867-F867),"n.a.")</x:f>
        <x:v>500</x:v>
      </x:c>
      <x:c r="H867" s="26" t="str">
        <x:f>'Inputs'!C11</x:f>
        <x:v>Card A</x:v>
      </x:c>
      <x:c r="I867" s="26" t="n">
        <x:f>S862</x:f>
        <x:v>0</x:v>
      </x:c>
      <x:c r="J867" s="29" t="n">
        <x:f>IF('Inputs'!$D$9="Ready",'Inputs'!E11,"n.a.")</x:f>
        <x:v>0.24</x:v>
      </x:c>
      <x:c r="K867" s="26" t="n">
        <x:f>IF('Inputs'!$D$9="Ready",'Inputs'!F11,"n.a.")</x:f>
        <x:v>35</x:v>
      </x:c>
      <x:c r="L867" s="29" t="n">
        <x:f>IF('Inputs'!$D$9="Ready",'Inputs'!G11,"n.a.")</x:f>
        <x:v>0.02</x:v>
      </x:c>
      <x:c r="M867" s="22" t="n">
        <x:f>IF(COUNT(I867:L867)=4,ROUND(I867*J867/12,2),"n.a.")</x:f>
        <x:v>0</x:v>
      </x:c>
      <x:c r="N867" s="22" t="n">
        <x:f>IF(COUNT(I867:M867)=5,MIN(I867+M867,ROUND(MAX(K867,I867*L867+M867),2)),"n.a.")</x:f>
        <x:v>0</x:v>
      </x:c>
      <x:c r="O867" s="30" t="n">
        <x:f>IF(COUNT($I$867:$I$871)&lt;&gt;5,"n.a.",IF(I867=0,6,IF('Inputs'!$D$5=1,COUNTIFS($I$867:$I$871,"&gt;0",$I$867:$I$871,"&lt;"&amp;I867)+COUNTIFS($I$867:I867,I867),COUNTIFS($I$867:$I$871,"&gt;0",$J$867:$J$871,"&gt;"&amp;J867)+COUNTIFS($I$867:I867,"&gt;0",$J$867:J867,J867))))</x:f>
        <x:v>6</x:v>
      </x:c>
      <x:c r="P867" s="22" t="n">
        <x:f>IF(T867="Ready",MIN(U867,MAX(0,G867-SUMIFS($U$867:$U$871,$O$867:$O$871,"&lt;"&amp;O867))),"n.a.")</x:f>
        <x:v>0</x:v>
      </x:c>
      <x:c r="Q867" s="22" t="n">
        <x:f>IF(T867="Ready",ROUND(N867+P867,2),"n.a.")</x:f>
        <x:v>0</x:v>
      </x:c>
      <x:c r="R867" s="22" t="n">
        <x:f>IF(T867="Ready",ROUND(Q867-M867,2),"n.a.")</x:f>
        <x:v>0</x:v>
      </x:c>
      <x:c r="S867" s="22" t="n">
        <x:f>IF(T867="Ready",MAX(0,ROUND(I867+M867-Q867,2)),"n.a.")</x:f>
        <x:v>0</x:v>
      </x:c>
      <x:c r="T867" s="22" t="str">
        <x:f>IF(AND(COUNT($I$867:$I$871)=5,COUNT(E867:F867)=2),IF(E867&gt;=F867,"Ready","Budget below minima"),"Check inputs")</x:f>
        <x:v>Ready</x:v>
      </x:c>
      <x:c r="U867" s="22" t="n">
        <x:f>IF(COUNT(I867,M867,N867)=3,MAX(0,ROUND(I867+M867-N867,2)),"n.a.")</x:f>
        <x:v>0</x:v>
      </x:c>
    </x:row>
    <x:row r="868" ht="22" customHeight="1">
      <x:c r="A868" s="2"/>
      <x:c r="B868" s="2"/>
      <x:c r="C868" s="27" t="n">
        <x:f>173</x:f>
        <x:v>173</x:v>
      </x:c>
      <x:c r="D868" s="28" t="n">
        <x:f>IF(ISNUMBER('Inputs'!$D$7),EDATE('Inputs'!$D$7,172),"n.a.")</x:f>
        <x:v>51561</x:v>
      </x:c>
      <x:c r="E868" s="26" t="n">
        <x:f>IF('Inputs'!$D$9&lt;&gt;"Ready","n.a.",IF(ISNUMBER('Inputs'!E191),IF('Inputs'!E191&gt;=0,'Inputs'!E191,"n.a."),IF('Inputs'!E191="",'Inputs'!$D$6,"n.a.")))</x:f>
        <x:v>500</x:v>
      </x:c>
      <x:c r="F868" s="22" t="n">
        <x:f>IF(COUNT($N$867:$N$871)=5,SUM($N$867:$N$871),"n.a.")</x:f>
        <x:v>0</x:v>
      </x:c>
      <x:c r="G868" s="22" t="n">
        <x:f>IF(COUNT(E868:F868)=2,MAX(0,E868-F868),"n.a.")</x:f>
        <x:v>500</x:v>
      </x:c>
      <x:c r="H868" s="26" t="str">
        <x:f>'Inputs'!C12</x:f>
        <x:v>Card B</x:v>
      </x:c>
      <x:c r="I868" s="26" t="n">
        <x:f>S863</x:f>
        <x:v>0</x:v>
      </x:c>
      <x:c r="J868" s="29" t="n">
        <x:f>IF('Inputs'!$D$9="Ready",'Inputs'!E12,"n.a.")</x:f>
        <x:v>0.18</x:v>
      </x:c>
      <x:c r="K868" s="26" t="n">
        <x:f>IF('Inputs'!$D$9="Ready",'Inputs'!F12,"n.a.")</x:f>
        <x:v>60</x:v>
      </x:c>
      <x:c r="L868" s="29" t="n">
        <x:f>IF('Inputs'!$D$9="Ready",'Inputs'!G12,"n.a.")</x:f>
        <x:v>0.02</x:v>
      </x:c>
      <x:c r="M868" s="22" t="n">
        <x:f>IF(COUNT(I868:L868)=4,ROUND(I868*J868/12,2),"n.a.")</x:f>
        <x:v>0</x:v>
      </x:c>
      <x:c r="N868" s="22" t="n">
        <x:f>IF(COUNT(I868:M868)=5,MIN(I868+M868,ROUND(MAX(K868,I868*L868+M868),2)),"n.a.")</x:f>
        <x:v>0</x:v>
      </x:c>
      <x:c r="O868" s="30" t="n">
        <x:f>IF(COUNT($I$867:$I$871)&lt;&gt;5,"n.a.",IF(I868=0,6,IF('Inputs'!$D$5=1,COUNTIFS($I$867:$I$871,"&gt;0",$I$867:$I$871,"&lt;"&amp;I868)+COUNTIFS($I$867:I868,I868),COUNTIFS($I$867:$I$871,"&gt;0",$J$867:$J$871,"&gt;"&amp;J868)+COUNTIFS($I$867:I868,"&gt;0",$J$867:J868,J868))))</x:f>
        <x:v>6</x:v>
      </x:c>
      <x:c r="P868" s="22" t="n">
        <x:f>IF(T868="Ready",MIN(U868,MAX(0,G868-SUMIFS($U$867:$U$871,$O$867:$O$871,"&lt;"&amp;O868))),"n.a.")</x:f>
        <x:v>0</x:v>
      </x:c>
      <x:c r="Q868" s="22" t="n">
        <x:f>IF(T868="Ready",ROUND(N868+P868,2),"n.a.")</x:f>
        <x:v>0</x:v>
      </x:c>
      <x:c r="R868" s="22" t="n">
        <x:f>IF(T868="Ready",ROUND(Q868-M868,2),"n.a.")</x:f>
        <x:v>0</x:v>
      </x:c>
      <x:c r="S868" s="22" t="n">
        <x:f>IF(T868="Ready",MAX(0,ROUND(I868+M868-Q868,2)),"n.a.")</x:f>
        <x:v>0</x:v>
      </x:c>
      <x:c r="T868" s="22" t="str">
        <x:f>IF(AND(COUNT($I$867:$I$871)=5,COUNT(E868:F868)=2),IF(E868&gt;=F868,"Ready","Budget below minima"),"Check inputs")</x:f>
        <x:v>Ready</x:v>
      </x:c>
      <x:c r="U868" s="22" t="n">
        <x:f>IF(COUNT(I868,M868,N868)=3,MAX(0,ROUND(I868+M868-N868,2)),"n.a.")</x:f>
        <x:v>0</x:v>
      </x:c>
    </x:row>
    <x:row r="869" ht="22" customHeight="1">
      <x:c r="A869" s="2"/>
      <x:c r="B869" s="2"/>
      <x:c r="C869" s="27" t="n">
        <x:f>173</x:f>
        <x:v>173</x:v>
      </x:c>
      <x:c r="D869" s="28" t="n">
        <x:f>IF(ISNUMBER('Inputs'!$D$7),EDATE('Inputs'!$D$7,172),"n.a.")</x:f>
        <x:v>51561</x:v>
      </x:c>
      <x:c r="E869" s="26" t="n">
        <x:f>IF('Inputs'!$D$9&lt;&gt;"Ready","n.a.",IF(ISNUMBER('Inputs'!E191),IF('Inputs'!E191&gt;=0,'Inputs'!E191,"n.a."),IF('Inputs'!E191="",'Inputs'!$D$6,"n.a.")))</x:f>
        <x:v>500</x:v>
      </x:c>
      <x:c r="F869" s="22" t="n">
        <x:f>IF(COUNT($N$867:$N$871)=5,SUM($N$867:$N$871),"n.a.")</x:f>
        <x:v>0</x:v>
      </x:c>
      <x:c r="G869" s="22" t="n">
        <x:f>IF(COUNT(E869:F869)=2,MAX(0,E869-F869),"n.a.")</x:f>
        <x:v>500</x:v>
      </x:c>
      <x:c r="H869" s="26" t="str">
        <x:f>'Inputs'!C13</x:f>
        <x:v>Loan C</x:v>
      </x:c>
      <x:c r="I869" s="26" t="n">
        <x:f>S864</x:f>
        <x:v>0</x:v>
      </x:c>
      <x:c r="J869" s="29" t="n">
        <x:f>IF('Inputs'!$D$9="Ready",'Inputs'!E13,"n.a.")</x:f>
        <x:v>0.08</x:v>
      </x:c>
      <x:c r="K869" s="26" t="n">
        <x:f>IF('Inputs'!$D$9="Ready",'Inputs'!F13,"n.a.")</x:f>
        <x:v>150</x:v>
      </x:c>
      <x:c r="L869" s="29" t="n">
        <x:f>IF('Inputs'!$D$9="Ready",'Inputs'!G13,"n.a.")</x:f>
        <x:v>0</x:v>
      </x:c>
      <x:c r="M869" s="22" t="n">
        <x:f>IF(COUNT(I869:L869)=4,ROUND(I869*J869/12,2),"n.a.")</x:f>
        <x:v>0</x:v>
      </x:c>
      <x:c r="N869" s="22" t="n">
        <x:f>IF(COUNT(I869:M869)=5,MIN(I869+M869,ROUND(MAX(K869,I869*L869+M869),2)),"n.a.")</x:f>
        <x:v>0</x:v>
      </x:c>
      <x:c r="O869" s="30" t="n">
        <x:f>IF(COUNT($I$867:$I$871)&lt;&gt;5,"n.a.",IF(I869=0,6,IF('Inputs'!$D$5=1,COUNTIFS($I$867:$I$871,"&gt;0",$I$867:$I$871,"&lt;"&amp;I869)+COUNTIFS($I$867:I869,I869),COUNTIFS($I$867:$I$871,"&gt;0",$J$867:$J$871,"&gt;"&amp;J869)+COUNTIFS($I$867:I869,"&gt;0",$J$867:J869,J869))))</x:f>
        <x:v>6</x:v>
      </x:c>
      <x:c r="P869" s="22" t="n">
        <x:f>IF(T869="Ready",MIN(U869,MAX(0,G869-SUMIFS($U$867:$U$871,$O$867:$O$871,"&lt;"&amp;O869))),"n.a.")</x:f>
        <x:v>0</x:v>
      </x:c>
      <x:c r="Q869" s="22" t="n">
        <x:f>IF(T869="Ready",ROUND(N869+P869,2),"n.a.")</x:f>
        <x:v>0</x:v>
      </x:c>
      <x:c r="R869" s="22" t="n">
        <x:f>IF(T869="Ready",ROUND(Q869-M869,2),"n.a.")</x:f>
        <x:v>0</x:v>
      </x:c>
      <x:c r="S869" s="22" t="n">
        <x:f>IF(T869="Ready",MAX(0,ROUND(I869+M869-Q869,2)),"n.a.")</x:f>
        <x:v>0</x:v>
      </x:c>
      <x:c r="T869" s="22" t="str">
        <x:f>IF(AND(COUNT($I$867:$I$871)=5,COUNT(E869:F869)=2),IF(E869&gt;=F869,"Ready","Budget below minima"),"Check inputs")</x:f>
        <x:v>Ready</x:v>
      </x:c>
      <x:c r="U869" s="22" t="n">
        <x:f>IF(COUNT(I869,M869,N869)=3,MAX(0,ROUND(I869+M869-N869,2)),"n.a.")</x:f>
        <x:v>0</x:v>
      </x:c>
    </x:row>
    <x:row r="870" ht="22" customHeight="1">
      <x:c r="A870" s="2"/>
      <x:c r="B870" s="2"/>
      <x:c r="C870" s="27" t="n">
        <x:f>173</x:f>
        <x:v>173</x:v>
      </x:c>
      <x:c r="D870" s="28" t="n">
        <x:f>IF(ISNUMBER('Inputs'!$D$7),EDATE('Inputs'!$D$7,172),"n.a.")</x:f>
        <x:v>51561</x:v>
      </x:c>
      <x:c r="E870" s="26" t="n">
        <x:f>IF('Inputs'!$D$9&lt;&gt;"Ready","n.a.",IF(ISNUMBER('Inputs'!E191),IF('Inputs'!E191&gt;=0,'Inputs'!E191,"n.a."),IF('Inputs'!E191="",'Inputs'!$D$6,"n.a.")))</x:f>
        <x:v>500</x:v>
      </x:c>
      <x:c r="F870" s="22" t="n">
        <x:f>IF(COUNT($N$867:$N$871)=5,SUM($N$867:$N$871),"n.a.")</x:f>
        <x:v>0</x:v>
      </x:c>
      <x:c r="G870" s="22" t="n">
        <x:f>IF(COUNT(E870:F870)=2,MAX(0,E870-F870),"n.a.")</x:f>
        <x:v>500</x:v>
      </x:c>
      <x:c r="H870" s="26" t="str">
        <x:f>'Inputs'!C14</x:f>
        <x:v>Unused 4</x:v>
      </x:c>
      <x:c r="I870" s="26" t="n">
        <x:f>S865</x:f>
        <x:v>0</x:v>
      </x:c>
      <x:c r="J870" s="29" t="n">
        <x:f>IF('Inputs'!$D$9="Ready",'Inputs'!E14,"n.a.")</x:f>
        <x:v>0</x:v>
      </x:c>
      <x:c r="K870" s="26" t="n">
        <x:f>IF('Inputs'!$D$9="Ready",'Inputs'!F14,"n.a.")</x:f>
        <x:v>0</x:v>
      </x:c>
      <x:c r="L870" s="29" t="n">
        <x:f>IF('Inputs'!$D$9="Ready",'Inputs'!G14,"n.a.")</x:f>
        <x:v>0</x:v>
      </x:c>
      <x:c r="M870" s="22" t="n">
        <x:f>IF(COUNT(I870:L870)=4,ROUND(I870*J870/12,2),"n.a.")</x:f>
        <x:v>0</x:v>
      </x:c>
      <x:c r="N870" s="22" t="n">
        <x:f>IF(COUNT(I870:M870)=5,MIN(I870+M870,ROUND(MAX(K870,I870*L870+M870),2)),"n.a.")</x:f>
        <x:v>0</x:v>
      </x:c>
      <x:c r="O870" s="30" t="n">
        <x:f>IF(COUNT($I$867:$I$871)&lt;&gt;5,"n.a.",IF(I870=0,6,IF('Inputs'!$D$5=1,COUNTIFS($I$867:$I$871,"&gt;0",$I$867:$I$871,"&lt;"&amp;I870)+COUNTIFS($I$867:I870,I870),COUNTIFS($I$867:$I$871,"&gt;0",$J$867:$J$871,"&gt;"&amp;J870)+COUNTIFS($I$867:I870,"&gt;0",$J$867:J870,J870))))</x:f>
        <x:v>6</x:v>
      </x:c>
      <x:c r="P870" s="22" t="n">
        <x:f>IF(T870="Ready",MIN(U870,MAX(0,G870-SUMIFS($U$867:$U$871,$O$867:$O$871,"&lt;"&amp;O870))),"n.a.")</x:f>
        <x:v>0</x:v>
      </x:c>
      <x:c r="Q870" s="22" t="n">
        <x:f>IF(T870="Ready",ROUND(N870+P870,2),"n.a.")</x:f>
        <x:v>0</x:v>
      </x:c>
      <x:c r="R870" s="22" t="n">
        <x:f>IF(T870="Ready",ROUND(Q870-M870,2),"n.a.")</x:f>
        <x:v>0</x:v>
      </x:c>
      <x:c r="S870" s="22" t="n">
        <x:f>IF(T870="Ready",MAX(0,ROUND(I870+M870-Q870,2)),"n.a.")</x:f>
        <x:v>0</x:v>
      </x:c>
      <x:c r="T870" s="22" t="str">
        <x:f>IF(AND(COUNT($I$867:$I$871)=5,COUNT(E870:F870)=2),IF(E870&gt;=F870,"Ready","Budget below minima"),"Check inputs")</x:f>
        <x:v>Ready</x:v>
      </x:c>
      <x:c r="U870" s="22" t="n">
        <x:f>IF(COUNT(I870,M870,N870)=3,MAX(0,ROUND(I870+M870-N870,2)),"n.a.")</x:f>
        <x:v>0</x:v>
      </x:c>
    </x:row>
    <x:row r="871" ht="22" customHeight="1">
      <x:c r="A871" s="2"/>
      <x:c r="B871" s="2"/>
      <x:c r="C871" s="27" t="n">
        <x:f>173</x:f>
        <x:v>173</x:v>
      </x:c>
      <x:c r="D871" s="28" t="n">
        <x:f>IF(ISNUMBER('Inputs'!$D$7),EDATE('Inputs'!$D$7,172),"n.a.")</x:f>
        <x:v>51561</x:v>
      </x:c>
      <x:c r="E871" s="26" t="n">
        <x:f>IF('Inputs'!$D$9&lt;&gt;"Ready","n.a.",IF(ISNUMBER('Inputs'!E191),IF('Inputs'!E191&gt;=0,'Inputs'!E191,"n.a."),IF('Inputs'!E191="",'Inputs'!$D$6,"n.a.")))</x:f>
        <x:v>500</x:v>
      </x:c>
      <x:c r="F871" s="22" t="n">
        <x:f>IF(COUNT($N$867:$N$871)=5,SUM($N$867:$N$871),"n.a.")</x:f>
        <x:v>0</x:v>
      </x:c>
      <x:c r="G871" s="22" t="n">
        <x:f>IF(COUNT(E871:F871)=2,MAX(0,E871-F871),"n.a.")</x:f>
        <x:v>500</x:v>
      </x:c>
      <x:c r="H871" s="26" t="str">
        <x:f>'Inputs'!C15</x:f>
        <x:v>Unused 5</x:v>
      </x:c>
      <x:c r="I871" s="26" t="n">
        <x:f>S866</x:f>
        <x:v>0</x:v>
      </x:c>
      <x:c r="J871" s="29" t="n">
        <x:f>IF('Inputs'!$D$9="Ready",'Inputs'!E15,"n.a.")</x:f>
        <x:v>0</x:v>
      </x:c>
      <x:c r="K871" s="26" t="n">
        <x:f>IF('Inputs'!$D$9="Ready",'Inputs'!F15,"n.a.")</x:f>
        <x:v>0</x:v>
      </x:c>
      <x:c r="L871" s="29" t="n">
        <x:f>IF('Inputs'!$D$9="Ready",'Inputs'!G15,"n.a.")</x:f>
        <x:v>0</x:v>
      </x:c>
      <x:c r="M871" s="22" t="n">
        <x:f>IF(COUNT(I871:L871)=4,ROUND(I871*J871/12,2),"n.a.")</x:f>
        <x:v>0</x:v>
      </x:c>
      <x:c r="N871" s="22" t="n">
        <x:f>IF(COUNT(I871:M871)=5,MIN(I871+M871,ROUND(MAX(K871,I871*L871+M871),2)),"n.a.")</x:f>
        <x:v>0</x:v>
      </x:c>
      <x:c r="O871" s="30" t="n">
        <x:f>IF(COUNT($I$867:$I$871)&lt;&gt;5,"n.a.",IF(I871=0,6,IF('Inputs'!$D$5=1,COUNTIFS($I$867:$I$871,"&gt;0",$I$867:$I$871,"&lt;"&amp;I871)+COUNTIFS($I$867:I871,I871),COUNTIFS($I$867:$I$871,"&gt;0",$J$867:$J$871,"&gt;"&amp;J871)+COUNTIFS($I$867:I871,"&gt;0",$J$867:J871,J871))))</x:f>
        <x:v>6</x:v>
      </x:c>
      <x:c r="P871" s="22" t="n">
        <x:f>IF(T871="Ready",MIN(U871,MAX(0,G871-SUMIFS($U$867:$U$871,$O$867:$O$871,"&lt;"&amp;O871))),"n.a.")</x:f>
        <x:v>0</x:v>
      </x:c>
      <x:c r="Q871" s="22" t="n">
        <x:f>IF(T871="Ready",ROUND(N871+P871,2),"n.a.")</x:f>
        <x:v>0</x:v>
      </x:c>
      <x:c r="R871" s="22" t="n">
        <x:f>IF(T871="Ready",ROUND(Q871-M871,2),"n.a.")</x:f>
        <x:v>0</x:v>
      </x:c>
      <x:c r="S871" s="22" t="n">
        <x:f>IF(T871="Ready",MAX(0,ROUND(I871+M871-Q871,2)),"n.a.")</x:f>
        <x:v>0</x:v>
      </x:c>
      <x:c r="T871" s="22" t="str">
        <x:f>IF(AND(COUNT($I$867:$I$871)=5,COUNT(E871:F871)=2),IF(E871&gt;=F871,"Ready","Budget below minima"),"Check inputs")</x:f>
        <x:v>Ready</x:v>
      </x:c>
      <x:c r="U871" s="22" t="n">
        <x:f>IF(COUNT(I871,M871,N871)=3,MAX(0,ROUND(I871+M871-N871,2)),"n.a.")</x:f>
        <x:v>0</x:v>
      </x:c>
    </x:row>
    <x:row r="872" ht="22" customHeight="1">
      <x:c r="A872" s="2"/>
      <x:c r="B872" s="2"/>
      <x:c r="C872" s="27" t="n">
        <x:f>174</x:f>
        <x:v>174</x:v>
      </x:c>
      <x:c r="D872" s="28" t="n">
        <x:f>IF(ISNUMBER('Inputs'!$D$7),EDATE('Inputs'!$D$7,173),"n.a.")</x:f>
        <x:v>51592</x:v>
      </x:c>
      <x:c r="E872" s="26" t="n">
        <x:f>IF('Inputs'!$D$9&lt;&gt;"Ready","n.a.",IF(ISNUMBER('Inputs'!E192),IF('Inputs'!E192&gt;=0,'Inputs'!E192,"n.a."),IF('Inputs'!E192="",'Inputs'!$D$6,"n.a.")))</x:f>
        <x:v>500</x:v>
      </x:c>
      <x:c r="F872" s="22" t="n">
        <x:f>IF(COUNT($N$872:$N$876)=5,SUM($N$872:$N$876),"n.a.")</x:f>
        <x:v>0</x:v>
      </x:c>
      <x:c r="G872" s="22" t="n">
        <x:f>IF(COUNT(E872:F872)=2,MAX(0,E872-F872),"n.a.")</x:f>
        <x:v>500</x:v>
      </x:c>
      <x:c r="H872" s="26" t="str">
        <x:f>'Inputs'!C11</x:f>
        <x:v>Card A</x:v>
      </x:c>
      <x:c r="I872" s="26" t="n">
        <x:f>S867</x:f>
        <x:v>0</x:v>
      </x:c>
      <x:c r="J872" s="29" t="n">
        <x:f>IF('Inputs'!$D$9="Ready",'Inputs'!E11,"n.a.")</x:f>
        <x:v>0.24</x:v>
      </x:c>
      <x:c r="K872" s="26" t="n">
        <x:f>IF('Inputs'!$D$9="Ready",'Inputs'!F11,"n.a.")</x:f>
        <x:v>35</x:v>
      </x:c>
      <x:c r="L872" s="29" t="n">
        <x:f>IF('Inputs'!$D$9="Ready",'Inputs'!G11,"n.a.")</x:f>
        <x:v>0.02</x:v>
      </x:c>
      <x:c r="M872" s="22" t="n">
        <x:f>IF(COUNT(I872:L872)=4,ROUND(I872*J872/12,2),"n.a.")</x:f>
        <x:v>0</x:v>
      </x:c>
      <x:c r="N872" s="22" t="n">
        <x:f>IF(COUNT(I872:M872)=5,MIN(I872+M872,ROUND(MAX(K872,I872*L872+M872),2)),"n.a.")</x:f>
        <x:v>0</x:v>
      </x:c>
      <x:c r="O872" s="30" t="n">
        <x:f>IF(COUNT($I$872:$I$876)&lt;&gt;5,"n.a.",IF(I872=0,6,IF('Inputs'!$D$5=1,COUNTIFS($I$872:$I$876,"&gt;0",$I$872:$I$876,"&lt;"&amp;I872)+COUNTIFS($I$872:I872,I872),COUNTIFS($I$872:$I$876,"&gt;0",$J$872:$J$876,"&gt;"&amp;J872)+COUNTIFS($I$872:I872,"&gt;0",$J$872:J872,J872))))</x:f>
        <x:v>6</x:v>
      </x:c>
      <x:c r="P872" s="22" t="n">
        <x:f>IF(T872="Ready",MIN(U872,MAX(0,G872-SUMIFS($U$872:$U$876,$O$872:$O$876,"&lt;"&amp;O872))),"n.a.")</x:f>
        <x:v>0</x:v>
      </x:c>
      <x:c r="Q872" s="22" t="n">
        <x:f>IF(T872="Ready",ROUND(N872+P872,2),"n.a.")</x:f>
        <x:v>0</x:v>
      </x:c>
      <x:c r="R872" s="22" t="n">
        <x:f>IF(T872="Ready",ROUND(Q872-M872,2),"n.a.")</x:f>
        <x:v>0</x:v>
      </x:c>
      <x:c r="S872" s="22" t="n">
        <x:f>IF(T872="Ready",MAX(0,ROUND(I872+M872-Q872,2)),"n.a.")</x:f>
        <x:v>0</x:v>
      </x:c>
      <x:c r="T872" s="22" t="str">
        <x:f>IF(AND(COUNT($I$872:$I$876)=5,COUNT(E872:F872)=2),IF(E872&gt;=F872,"Ready","Budget below minima"),"Check inputs")</x:f>
        <x:v>Ready</x:v>
      </x:c>
      <x:c r="U872" s="22" t="n">
        <x:f>IF(COUNT(I872,M872,N872)=3,MAX(0,ROUND(I872+M872-N872,2)),"n.a.")</x:f>
        <x:v>0</x:v>
      </x:c>
    </x:row>
    <x:row r="873" ht="22" customHeight="1">
      <x:c r="A873" s="2"/>
      <x:c r="B873" s="2"/>
      <x:c r="C873" s="27" t="n">
        <x:f>174</x:f>
        <x:v>174</x:v>
      </x:c>
      <x:c r="D873" s="28" t="n">
        <x:f>IF(ISNUMBER('Inputs'!$D$7),EDATE('Inputs'!$D$7,173),"n.a.")</x:f>
        <x:v>51592</x:v>
      </x:c>
      <x:c r="E873" s="26" t="n">
        <x:f>IF('Inputs'!$D$9&lt;&gt;"Ready","n.a.",IF(ISNUMBER('Inputs'!E192),IF('Inputs'!E192&gt;=0,'Inputs'!E192,"n.a."),IF('Inputs'!E192="",'Inputs'!$D$6,"n.a.")))</x:f>
        <x:v>500</x:v>
      </x:c>
      <x:c r="F873" s="22" t="n">
        <x:f>IF(COUNT($N$872:$N$876)=5,SUM($N$872:$N$876),"n.a.")</x:f>
        <x:v>0</x:v>
      </x:c>
      <x:c r="G873" s="22" t="n">
        <x:f>IF(COUNT(E873:F873)=2,MAX(0,E873-F873),"n.a.")</x:f>
        <x:v>500</x:v>
      </x:c>
      <x:c r="H873" s="26" t="str">
        <x:f>'Inputs'!C12</x:f>
        <x:v>Card B</x:v>
      </x:c>
      <x:c r="I873" s="26" t="n">
        <x:f>S868</x:f>
        <x:v>0</x:v>
      </x:c>
      <x:c r="J873" s="29" t="n">
        <x:f>IF('Inputs'!$D$9="Ready",'Inputs'!E12,"n.a.")</x:f>
        <x:v>0.18</x:v>
      </x:c>
      <x:c r="K873" s="26" t="n">
        <x:f>IF('Inputs'!$D$9="Ready",'Inputs'!F12,"n.a.")</x:f>
        <x:v>60</x:v>
      </x:c>
      <x:c r="L873" s="29" t="n">
        <x:f>IF('Inputs'!$D$9="Ready",'Inputs'!G12,"n.a.")</x:f>
        <x:v>0.02</x:v>
      </x:c>
      <x:c r="M873" s="22" t="n">
        <x:f>IF(COUNT(I873:L873)=4,ROUND(I873*J873/12,2),"n.a.")</x:f>
        <x:v>0</x:v>
      </x:c>
      <x:c r="N873" s="22" t="n">
        <x:f>IF(COUNT(I873:M873)=5,MIN(I873+M873,ROUND(MAX(K873,I873*L873+M873),2)),"n.a.")</x:f>
        <x:v>0</x:v>
      </x:c>
      <x:c r="O873" s="30" t="n">
        <x:f>IF(COUNT($I$872:$I$876)&lt;&gt;5,"n.a.",IF(I873=0,6,IF('Inputs'!$D$5=1,COUNTIFS($I$872:$I$876,"&gt;0",$I$872:$I$876,"&lt;"&amp;I873)+COUNTIFS($I$872:I873,I873),COUNTIFS($I$872:$I$876,"&gt;0",$J$872:$J$876,"&gt;"&amp;J873)+COUNTIFS($I$872:I873,"&gt;0",$J$872:J873,J873))))</x:f>
        <x:v>6</x:v>
      </x:c>
      <x:c r="P873" s="22" t="n">
        <x:f>IF(T873="Ready",MIN(U873,MAX(0,G873-SUMIFS($U$872:$U$876,$O$872:$O$876,"&lt;"&amp;O873))),"n.a.")</x:f>
        <x:v>0</x:v>
      </x:c>
      <x:c r="Q873" s="22" t="n">
        <x:f>IF(T873="Ready",ROUND(N873+P873,2),"n.a.")</x:f>
        <x:v>0</x:v>
      </x:c>
      <x:c r="R873" s="22" t="n">
        <x:f>IF(T873="Ready",ROUND(Q873-M873,2),"n.a.")</x:f>
        <x:v>0</x:v>
      </x:c>
      <x:c r="S873" s="22" t="n">
        <x:f>IF(T873="Ready",MAX(0,ROUND(I873+M873-Q873,2)),"n.a.")</x:f>
        <x:v>0</x:v>
      </x:c>
      <x:c r="T873" s="22" t="str">
        <x:f>IF(AND(COUNT($I$872:$I$876)=5,COUNT(E873:F873)=2),IF(E873&gt;=F873,"Ready","Budget below minima"),"Check inputs")</x:f>
        <x:v>Ready</x:v>
      </x:c>
      <x:c r="U873" s="22" t="n">
        <x:f>IF(COUNT(I873,M873,N873)=3,MAX(0,ROUND(I873+M873-N873,2)),"n.a.")</x:f>
        <x:v>0</x:v>
      </x:c>
    </x:row>
    <x:row r="874" ht="22" customHeight="1">
      <x:c r="A874" s="2"/>
      <x:c r="B874" s="2"/>
      <x:c r="C874" s="27" t="n">
        <x:f>174</x:f>
        <x:v>174</x:v>
      </x:c>
      <x:c r="D874" s="28" t="n">
        <x:f>IF(ISNUMBER('Inputs'!$D$7),EDATE('Inputs'!$D$7,173),"n.a.")</x:f>
        <x:v>51592</x:v>
      </x:c>
      <x:c r="E874" s="26" t="n">
        <x:f>IF('Inputs'!$D$9&lt;&gt;"Ready","n.a.",IF(ISNUMBER('Inputs'!E192),IF('Inputs'!E192&gt;=0,'Inputs'!E192,"n.a."),IF('Inputs'!E192="",'Inputs'!$D$6,"n.a.")))</x:f>
        <x:v>500</x:v>
      </x:c>
      <x:c r="F874" s="22" t="n">
        <x:f>IF(COUNT($N$872:$N$876)=5,SUM($N$872:$N$876),"n.a.")</x:f>
        <x:v>0</x:v>
      </x:c>
      <x:c r="G874" s="22" t="n">
        <x:f>IF(COUNT(E874:F874)=2,MAX(0,E874-F874),"n.a.")</x:f>
        <x:v>500</x:v>
      </x:c>
      <x:c r="H874" s="26" t="str">
        <x:f>'Inputs'!C13</x:f>
        <x:v>Loan C</x:v>
      </x:c>
      <x:c r="I874" s="26" t="n">
        <x:f>S869</x:f>
        <x:v>0</x:v>
      </x:c>
      <x:c r="J874" s="29" t="n">
        <x:f>IF('Inputs'!$D$9="Ready",'Inputs'!E13,"n.a.")</x:f>
        <x:v>0.08</x:v>
      </x:c>
      <x:c r="K874" s="26" t="n">
        <x:f>IF('Inputs'!$D$9="Ready",'Inputs'!F13,"n.a.")</x:f>
        <x:v>150</x:v>
      </x:c>
      <x:c r="L874" s="29" t="n">
        <x:f>IF('Inputs'!$D$9="Ready",'Inputs'!G13,"n.a.")</x:f>
        <x:v>0</x:v>
      </x:c>
      <x:c r="M874" s="22" t="n">
        <x:f>IF(COUNT(I874:L874)=4,ROUND(I874*J874/12,2),"n.a.")</x:f>
        <x:v>0</x:v>
      </x:c>
      <x:c r="N874" s="22" t="n">
        <x:f>IF(COUNT(I874:M874)=5,MIN(I874+M874,ROUND(MAX(K874,I874*L874+M874),2)),"n.a.")</x:f>
        <x:v>0</x:v>
      </x:c>
      <x:c r="O874" s="30" t="n">
        <x:f>IF(COUNT($I$872:$I$876)&lt;&gt;5,"n.a.",IF(I874=0,6,IF('Inputs'!$D$5=1,COUNTIFS($I$872:$I$876,"&gt;0",$I$872:$I$876,"&lt;"&amp;I874)+COUNTIFS($I$872:I874,I874),COUNTIFS($I$872:$I$876,"&gt;0",$J$872:$J$876,"&gt;"&amp;J874)+COUNTIFS($I$872:I874,"&gt;0",$J$872:J874,J874))))</x:f>
        <x:v>6</x:v>
      </x:c>
      <x:c r="P874" s="22" t="n">
        <x:f>IF(T874="Ready",MIN(U874,MAX(0,G874-SUMIFS($U$872:$U$876,$O$872:$O$876,"&lt;"&amp;O874))),"n.a.")</x:f>
        <x:v>0</x:v>
      </x:c>
      <x:c r="Q874" s="22" t="n">
        <x:f>IF(T874="Ready",ROUND(N874+P874,2),"n.a.")</x:f>
        <x:v>0</x:v>
      </x:c>
      <x:c r="R874" s="22" t="n">
        <x:f>IF(T874="Ready",ROUND(Q874-M874,2),"n.a.")</x:f>
        <x:v>0</x:v>
      </x:c>
      <x:c r="S874" s="22" t="n">
        <x:f>IF(T874="Ready",MAX(0,ROUND(I874+M874-Q874,2)),"n.a.")</x:f>
        <x:v>0</x:v>
      </x:c>
      <x:c r="T874" s="22" t="str">
        <x:f>IF(AND(COUNT($I$872:$I$876)=5,COUNT(E874:F874)=2),IF(E874&gt;=F874,"Ready","Budget below minima"),"Check inputs")</x:f>
        <x:v>Ready</x:v>
      </x:c>
      <x:c r="U874" s="22" t="n">
        <x:f>IF(COUNT(I874,M874,N874)=3,MAX(0,ROUND(I874+M874-N874,2)),"n.a.")</x:f>
        <x:v>0</x:v>
      </x:c>
    </x:row>
    <x:row r="875" ht="22" customHeight="1">
      <x:c r="A875" s="2"/>
      <x:c r="B875" s="2"/>
      <x:c r="C875" s="27" t="n">
        <x:f>174</x:f>
        <x:v>174</x:v>
      </x:c>
      <x:c r="D875" s="28" t="n">
        <x:f>IF(ISNUMBER('Inputs'!$D$7),EDATE('Inputs'!$D$7,173),"n.a.")</x:f>
        <x:v>51592</x:v>
      </x:c>
      <x:c r="E875" s="26" t="n">
        <x:f>IF('Inputs'!$D$9&lt;&gt;"Ready","n.a.",IF(ISNUMBER('Inputs'!E192),IF('Inputs'!E192&gt;=0,'Inputs'!E192,"n.a."),IF('Inputs'!E192="",'Inputs'!$D$6,"n.a.")))</x:f>
        <x:v>500</x:v>
      </x:c>
      <x:c r="F875" s="22" t="n">
        <x:f>IF(COUNT($N$872:$N$876)=5,SUM($N$872:$N$876),"n.a.")</x:f>
        <x:v>0</x:v>
      </x:c>
      <x:c r="G875" s="22" t="n">
        <x:f>IF(COUNT(E875:F875)=2,MAX(0,E875-F875),"n.a.")</x:f>
        <x:v>500</x:v>
      </x:c>
      <x:c r="H875" s="26" t="str">
        <x:f>'Inputs'!C14</x:f>
        <x:v>Unused 4</x:v>
      </x:c>
      <x:c r="I875" s="26" t="n">
        <x:f>S870</x:f>
        <x:v>0</x:v>
      </x:c>
      <x:c r="J875" s="29" t="n">
        <x:f>IF('Inputs'!$D$9="Ready",'Inputs'!E14,"n.a.")</x:f>
        <x:v>0</x:v>
      </x:c>
      <x:c r="K875" s="26" t="n">
        <x:f>IF('Inputs'!$D$9="Ready",'Inputs'!F14,"n.a.")</x:f>
        <x:v>0</x:v>
      </x:c>
      <x:c r="L875" s="29" t="n">
        <x:f>IF('Inputs'!$D$9="Ready",'Inputs'!G14,"n.a.")</x:f>
        <x:v>0</x:v>
      </x:c>
      <x:c r="M875" s="22" t="n">
        <x:f>IF(COUNT(I875:L875)=4,ROUND(I875*J875/12,2),"n.a.")</x:f>
        <x:v>0</x:v>
      </x:c>
      <x:c r="N875" s="22" t="n">
        <x:f>IF(COUNT(I875:M875)=5,MIN(I875+M875,ROUND(MAX(K875,I875*L875+M875),2)),"n.a.")</x:f>
        <x:v>0</x:v>
      </x:c>
      <x:c r="O875" s="30" t="n">
        <x:f>IF(COUNT($I$872:$I$876)&lt;&gt;5,"n.a.",IF(I875=0,6,IF('Inputs'!$D$5=1,COUNTIFS($I$872:$I$876,"&gt;0",$I$872:$I$876,"&lt;"&amp;I875)+COUNTIFS($I$872:I875,I875),COUNTIFS($I$872:$I$876,"&gt;0",$J$872:$J$876,"&gt;"&amp;J875)+COUNTIFS($I$872:I875,"&gt;0",$J$872:J875,J875))))</x:f>
        <x:v>6</x:v>
      </x:c>
      <x:c r="P875" s="22" t="n">
        <x:f>IF(T875="Ready",MIN(U875,MAX(0,G875-SUMIFS($U$872:$U$876,$O$872:$O$876,"&lt;"&amp;O875))),"n.a.")</x:f>
        <x:v>0</x:v>
      </x:c>
      <x:c r="Q875" s="22" t="n">
        <x:f>IF(T875="Ready",ROUND(N875+P875,2),"n.a.")</x:f>
        <x:v>0</x:v>
      </x:c>
      <x:c r="R875" s="22" t="n">
        <x:f>IF(T875="Ready",ROUND(Q875-M875,2),"n.a.")</x:f>
        <x:v>0</x:v>
      </x:c>
      <x:c r="S875" s="22" t="n">
        <x:f>IF(T875="Ready",MAX(0,ROUND(I875+M875-Q875,2)),"n.a.")</x:f>
        <x:v>0</x:v>
      </x:c>
      <x:c r="T875" s="22" t="str">
        <x:f>IF(AND(COUNT($I$872:$I$876)=5,COUNT(E875:F875)=2),IF(E875&gt;=F875,"Ready","Budget below minima"),"Check inputs")</x:f>
        <x:v>Ready</x:v>
      </x:c>
      <x:c r="U875" s="22" t="n">
        <x:f>IF(COUNT(I875,M875,N875)=3,MAX(0,ROUND(I875+M875-N875,2)),"n.a.")</x:f>
        <x:v>0</x:v>
      </x:c>
    </x:row>
    <x:row r="876" ht="22" customHeight="1">
      <x:c r="A876" s="2"/>
      <x:c r="B876" s="2"/>
      <x:c r="C876" s="27" t="n">
        <x:f>174</x:f>
        <x:v>174</x:v>
      </x:c>
      <x:c r="D876" s="28" t="n">
        <x:f>IF(ISNUMBER('Inputs'!$D$7),EDATE('Inputs'!$D$7,173),"n.a.")</x:f>
        <x:v>51592</x:v>
      </x:c>
      <x:c r="E876" s="26" t="n">
        <x:f>IF('Inputs'!$D$9&lt;&gt;"Ready","n.a.",IF(ISNUMBER('Inputs'!E192),IF('Inputs'!E192&gt;=0,'Inputs'!E192,"n.a."),IF('Inputs'!E192="",'Inputs'!$D$6,"n.a.")))</x:f>
        <x:v>500</x:v>
      </x:c>
      <x:c r="F876" s="22" t="n">
        <x:f>IF(COUNT($N$872:$N$876)=5,SUM($N$872:$N$876),"n.a.")</x:f>
        <x:v>0</x:v>
      </x:c>
      <x:c r="G876" s="22" t="n">
        <x:f>IF(COUNT(E876:F876)=2,MAX(0,E876-F876),"n.a.")</x:f>
        <x:v>500</x:v>
      </x:c>
      <x:c r="H876" s="26" t="str">
        <x:f>'Inputs'!C15</x:f>
        <x:v>Unused 5</x:v>
      </x:c>
      <x:c r="I876" s="26" t="n">
        <x:f>S871</x:f>
        <x:v>0</x:v>
      </x:c>
      <x:c r="J876" s="29" t="n">
        <x:f>IF('Inputs'!$D$9="Ready",'Inputs'!E15,"n.a.")</x:f>
        <x:v>0</x:v>
      </x:c>
      <x:c r="K876" s="26" t="n">
        <x:f>IF('Inputs'!$D$9="Ready",'Inputs'!F15,"n.a.")</x:f>
        <x:v>0</x:v>
      </x:c>
      <x:c r="L876" s="29" t="n">
        <x:f>IF('Inputs'!$D$9="Ready",'Inputs'!G15,"n.a.")</x:f>
        <x:v>0</x:v>
      </x:c>
      <x:c r="M876" s="22" t="n">
        <x:f>IF(COUNT(I876:L876)=4,ROUND(I876*J876/12,2),"n.a.")</x:f>
        <x:v>0</x:v>
      </x:c>
      <x:c r="N876" s="22" t="n">
        <x:f>IF(COUNT(I876:M876)=5,MIN(I876+M876,ROUND(MAX(K876,I876*L876+M876),2)),"n.a.")</x:f>
        <x:v>0</x:v>
      </x:c>
      <x:c r="O876" s="30" t="n">
        <x:f>IF(COUNT($I$872:$I$876)&lt;&gt;5,"n.a.",IF(I876=0,6,IF('Inputs'!$D$5=1,COUNTIFS($I$872:$I$876,"&gt;0",$I$872:$I$876,"&lt;"&amp;I876)+COUNTIFS($I$872:I876,I876),COUNTIFS($I$872:$I$876,"&gt;0",$J$872:$J$876,"&gt;"&amp;J876)+COUNTIFS($I$872:I876,"&gt;0",$J$872:J876,J876))))</x:f>
        <x:v>6</x:v>
      </x:c>
      <x:c r="P876" s="22" t="n">
        <x:f>IF(T876="Ready",MIN(U876,MAX(0,G876-SUMIFS($U$872:$U$876,$O$872:$O$876,"&lt;"&amp;O876))),"n.a.")</x:f>
        <x:v>0</x:v>
      </x:c>
      <x:c r="Q876" s="22" t="n">
        <x:f>IF(T876="Ready",ROUND(N876+P876,2),"n.a.")</x:f>
        <x:v>0</x:v>
      </x:c>
      <x:c r="R876" s="22" t="n">
        <x:f>IF(T876="Ready",ROUND(Q876-M876,2),"n.a.")</x:f>
        <x:v>0</x:v>
      </x:c>
      <x:c r="S876" s="22" t="n">
        <x:f>IF(T876="Ready",MAX(0,ROUND(I876+M876-Q876,2)),"n.a.")</x:f>
        <x:v>0</x:v>
      </x:c>
      <x:c r="T876" s="22" t="str">
        <x:f>IF(AND(COUNT($I$872:$I$876)=5,COUNT(E876:F876)=2),IF(E876&gt;=F876,"Ready","Budget below minima"),"Check inputs")</x:f>
        <x:v>Ready</x:v>
      </x:c>
      <x:c r="U876" s="22" t="n">
        <x:f>IF(COUNT(I876,M876,N876)=3,MAX(0,ROUND(I876+M876-N876,2)),"n.a.")</x:f>
        <x:v>0</x:v>
      </x:c>
    </x:row>
    <x:row r="877" ht="22" customHeight="1">
      <x:c r="A877" s="2"/>
      <x:c r="B877" s="2"/>
      <x:c r="C877" s="27" t="n">
        <x:f>175</x:f>
        <x:v>175</x:v>
      </x:c>
      <x:c r="D877" s="28" t="n">
        <x:f>IF(ISNUMBER('Inputs'!$D$7),EDATE('Inputs'!$D$7,174),"n.a.")</x:f>
        <x:v>51622</x:v>
      </x:c>
      <x:c r="E877" s="26" t="n">
        <x:f>IF('Inputs'!$D$9&lt;&gt;"Ready","n.a.",IF(ISNUMBER('Inputs'!E193),IF('Inputs'!E193&gt;=0,'Inputs'!E193,"n.a."),IF('Inputs'!E193="",'Inputs'!$D$6,"n.a.")))</x:f>
        <x:v>500</x:v>
      </x:c>
      <x:c r="F877" s="22" t="n">
        <x:f>IF(COUNT($N$877:$N$881)=5,SUM($N$877:$N$881),"n.a.")</x:f>
        <x:v>0</x:v>
      </x:c>
      <x:c r="G877" s="22" t="n">
        <x:f>IF(COUNT(E877:F877)=2,MAX(0,E877-F877),"n.a.")</x:f>
        <x:v>500</x:v>
      </x:c>
      <x:c r="H877" s="26" t="str">
        <x:f>'Inputs'!C11</x:f>
        <x:v>Card A</x:v>
      </x:c>
      <x:c r="I877" s="26" t="n">
        <x:f>S872</x:f>
        <x:v>0</x:v>
      </x:c>
      <x:c r="J877" s="29" t="n">
        <x:f>IF('Inputs'!$D$9="Ready",'Inputs'!E11,"n.a.")</x:f>
        <x:v>0.24</x:v>
      </x:c>
      <x:c r="K877" s="26" t="n">
        <x:f>IF('Inputs'!$D$9="Ready",'Inputs'!F11,"n.a.")</x:f>
        <x:v>35</x:v>
      </x:c>
      <x:c r="L877" s="29" t="n">
        <x:f>IF('Inputs'!$D$9="Ready",'Inputs'!G11,"n.a.")</x:f>
        <x:v>0.02</x:v>
      </x:c>
      <x:c r="M877" s="22" t="n">
        <x:f>IF(COUNT(I877:L877)=4,ROUND(I877*J877/12,2),"n.a.")</x:f>
        <x:v>0</x:v>
      </x:c>
      <x:c r="N877" s="22" t="n">
        <x:f>IF(COUNT(I877:M877)=5,MIN(I877+M877,ROUND(MAX(K877,I877*L877+M877),2)),"n.a.")</x:f>
        <x:v>0</x:v>
      </x:c>
      <x:c r="O877" s="30" t="n">
        <x:f>IF(COUNT($I$877:$I$881)&lt;&gt;5,"n.a.",IF(I877=0,6,IF('Inputs'!$D$5=1,COUNTIFS($I$877:$I$881,"&gt;0",$I$877:$I$881,"&lt;"&amp;I877)+COUNTIFS($I$877:I877,I877),COUNTIFS($I$877:$I$881,"&gt;0",$J$877:$J$881,"&gt;"&amp;J877)+COUNTIFS($I$877:I877,"&gt;0",$J$877:J877,J877))))</x:f>
        <x:v>6</x:v>
      </x:c>
      <x:c r="P877" s="22" t="n">
        <x:f>IF(T877="Ready",MIN(U877,MAX(0,G877-SUMIFS($U$877:$U$881,$O$877:$O$881,"&lt;"&amp;O877))),"n.a.")</x:f>
        <x:v>0</x:v>
      </x:c>
      <x:c r="Q877" s="22" t="n">
        <x:f>IF(T877="Ready",ROUND(N877+P877,2),"n.a.")</x:f>
        <x:v>0</x:v>
      </x:c>
      <x:c r="R877" s="22" t="n">
        <x:f>IF(T877="Ready",ROUND(Q877-M877,2),"n.a.")</x:f>
        <x:v>0</x:v>
      </x:c>
      <x:c r="S877" s="22" t="n">
        <x:f>IF(T877="Ready",MAX(0,ROUND(I877+M877-Q877,2)),"n.a.")</x:f>
        <x:v>0</x:v>
      </x:c>
      <x:c r="T877" s="22" t="str">
        <x:f>IF(AND(COUNT($I$877:$I$881)=5,COUNT(E877:F877)=2),IF(E877&gt;=F877,"Ready","Budget below minima"),"Check inputs")</x:f>
        <x:v>Ready</x:v>
      </x:c>
      <x:c r="U877" s="22" t="n">
        <x:f>IF(COUNT(I877,M877,N877)=3,MAX(0,ROUND(I877+M877-N877,2)),"n.a.")</x:f>
        <x:v>0</x:v>
      </x:c>
    </x:row>
    <x:row r="878" ht="22" customHeight="1">
      <x:c r="A878" s="2"/>
      <x:c r="B878" s="2"/>
      <x:c r="C878" s="27" t="n">
        <x:f>175</x:f>
        <x:v>175</x:v>
      </x:c>
      <x:c r="D878" s="28" t="n">
        <x:f>IF(ISNUMBER('Inputs'!$D$7),EDATE('Inputs'!$D$7,174),"n.a.")</x:f>
        <x:v>51622</x:v>
      </x:c>
      <x:c r="E878" s="26" t="n">
        <x:f>IF('Inputs'!$D$9&lt;&gt;"Ready","n.a.",IF(ISNUMBER('Inputs'!E193),IF('Inputs'!E193&gt;=0,'Inputs'!E193,"n.a."),IF('Inputs'!E193="",'Inputs'!$D$6,"n.a.")))</x:f>
        <x:v>500</x:v>
      </x:c>
      <x:c r="F878" s="22" t="n">
        <x:f>IF(COUNT($N$877:$N$881)=5,SUM($N$877:$N$881),"n.a.")</x:f>
        <x:v>0</x:v>
      </x:c>
      <x:c r="G878" s="22" t="n">
        <x:f>IF(COUNT(E878:F878)=2,MAX(0,E878-F878),"n.a.")</x:f>
        <x:v>500</x:v>
      </x:c>
      <x:c r="H878" s="26" t="str">
        <x:f>'Inputs'!C12</x:f>
        <x:v>Card B</x:v>
      </x:c>
      <x:c r="I878" s="26" t="n">
        <x:f>S873</x:f>
        <x:v>0</x:v>
      </x:c>
      <x:c r="J878" s="29" t="n">
        <x:f>IF('Inputs'!$D$9="Ready",'Inputs'!E12,"n.a.")</x:f>
        <x:v>0.18</x:v>
      </x:c>
      <x:c r="K878" s="26" t="n">
        <x:f>IF('Inputs'!$D$9="Ready",'Inputs'!F12,"n.a.")</x:f>
        <x:v>60</x:v>
      </x:c>
      <x:c r="L878" s="29" t="n">
        <x:f>IF('Inputs'!$D$9="Ready",'Inputs'!G12,"n.a.")</x:f>
        <x:v>0.02</x:v>
      </x:c>
      <x:c r="M878" s="22" t="n">
        <x:f>IF(COUNT(I878:L878)=4,ROUND(I878*J878/12,2),"n.a.")</x:f>
        <x:v>0</x:v>
      </x:c>
      <x:c r="N878" s="22" t="n">
        <x:f>IF(COUNT(I878:M878)=5,MIN(I878+M878,ROUND(MAX(K878,I878*L878+M878),2)),"n.a.")</x:f>
        <x:v>0</x:v>
      </x:c>
      <x:c r="O878" s="30" t="n">
        <x:f>IF(COUNT($I$877:$I$881)&lt;&gt;5,"n.a.",IF(I878=0,6,IF('Inputs'!$D$5=1,COUNTIFS($I$877:$I$881,"&gt;0",$I$877:$I$881,"&lt;"&amp;I878)+COUNTIFS($I$877:I878,I878),COUNTIFS($I$877:$I$881,"&gt;0",$J$877:$J$881,"&gt;"&amp;J878)+COUNTIFS($I$877:I878,"&gt;0",$J$877:J878,J878))))</x:f>
        <x:v>6</x:v>
      </x:c>
      <x:c r="P878" s="22" t="n">
        <x:f>IF(T878="Ready",MIN(U878,MAX(0,G878-SUMIFS($U$877:$U$881,$O$877:$O$881,"&lt;"&amp;O878))),"n.a.")</x:f>
        <x:v>0</x:v>
      </x:c>
      <x:c r="Q878" s="22" t="n">
        <x:f>IF(T878="Ready",ROUND(N878+P878,2),"n.a.")</x:f>
        <x:v>0</x:v>
      </x:c>
      <x:c r="R878" s="22" t="n">
        <x:f>IF(T878="Ready",ROUND(Q878-M878,2),"n.a.")</x:f>
        <x:v>0</x:v>
      </x:c>
      <x:c r="S878" s="22" t="n">
        <x:f>IF(T878="Ready",MAX(0,ROUND(I878+M878-Q878,2)),"n.a.")</x:f>
        <x:v>0</x:v>
      </x:c>
      <x:c r="T878" s="22" t="str">
        <x:f>IF(AND(COUNT($I$877:$I$881)=5,COUNT(E878:F878)=2),IF(E878&gt;=F878,"Ready","Budget below minima"),"Check inputs")</x:f>
        <x:v>Ready</x:v>
      </x:c>
      <x:c r="U878" s="22" t="n">
        <x:f>IF(COUNT(I878,M878,N878)=3,MAX(0,ROUND(I878+M878-N878,2)),"n.a.")</x:f>
        <x:v>0</x:v>
      </x:c>
    </x:row>
    <x:row r="879" ht="22" customHeight="1">
      <x:c r="A879" s="2"/>
      <x:c r="B879" s="2"/>
      <x:c r="C879" s="27" t="n">
        <x:f>175</x:f>
        <x:v>175</x:v>
      </x:c>
      <x:c r="D879" s="28" t="n">
        <x:f>IF(ISNUMBER('Inputs'!$D$7),EDATE('Inputs'!$D$7,174),"n.a.")</x:f>
        <x:v>51622</x:v>
      </x:c>
      <x:c r="E879" s="26" t="n">
        <x:f>IF('Inputs'!$D$9&lt;&gt;"Ready","n.a.",IF(ISNUMBER('Inputs'!E193),IF('Inputs'!E193&gt;=0,'Inputs'!E193,"n.a."),IF('Inputs'!E193="",'Inputs'!$D$6,"n.a.")))</x:f>
        <x:v>500</x:v>
      </x:c>
      <x:c r="F879" s="22" t="n">
        <x:f>IF(COUNT($N$877:$N$881)=5,SUM($N$877:$N$881),"n.a.")</x:f>
        <x:v>0</x:v>
      </x:c>
      <x:c r="G879" s="22" t="n">
        <x:f>IF(COUNT(E879:F879)=2,MAX(0,E879-F879),"n.a.")</x:f>
        <x:v>500</x:v>
      </x:c>
      <x:c r="H879" s="26" t="str">
        <x:f>'Inputs'!C13</x:f>
        <x:v>Loan C</x:v>
      </x:c>
      <x:c r="I879" s="26" t="n">
        <x:f>S874</x:f>
        <x:v>0</x:v>
      </x:c>
      <x:c r="J879" s="29" t="n">
        <x:f>IF('Inputs'!$D$9="Ready",'Inputs'!E13,"n.a.")</x:f>
        <x:v>0.08</x:v>
      </x:c>
      <x:c r="K879" s="26" t="n">
        <x:f>IF('Inputs'!$D$9="Ready",'Inputs'!F13,"n.a.")</x:f>
        <x:v>150</x:v>
      </x:c>
      <x:c r="L879" s="29" t="n">
        <x:f>IF('Inputs'!$D$9="Ready",'Inputs'!G13,"n.a.")</x:f>
        <x:v>0</x:v>
      </x:c>
      <x:c r="M879" s="22" t="n">
        <x:f>IF(COUNT(I879:L879)=4,ROUND(I879*J879/12,2),"n.a.")</x:f>
        <x:v>0</x:v>
      </x:c>
      <x:c r="N879" s="22" t="n">
        <x:f>IF(COUNT(I879:M879)=5,MIN(I879+M879,ROUND(MAX(K879,I879*L879+M879),2)),"n.a.")</x:f>
        <x:v>0</x:v>
      </x:c>
      <x:c r="O879" s="30" t="n">
        <x:f>IF(COUNT($I$877:$I$881)&lt;&gt;5,"n.a.",IF(I879=0,6,IF('Inputs'!$D$5=1,COUNTIFS($I$877:$I$881,"&gt;0",$I$877:$I$881,"&lt;"&amp;I879)+COUNTIFS($I$877:I879,I879),COUNTIFS($I$877:$I$881,"&gt;0",$J$877:$J$881,"&gt;"&amp;J879)+COUNTIFS($I$877:I879,"&gt;0",$J$877:J879,J879))))</x:f>
        <x:v>6</x:v>
      </x:c>
      <x:c r="P879" s="22" t="n">
        <x:f>IF(T879="Ready",MIN(U879,MAX(0,G879-SUMIFS($U$877:$U$881,$O$877:$O$881,"&lt;"&amp;O879))),"n.a.")</x:f>
        <x:v>0</x:v>
      </x:c>
      <x:c r="Q879" s="22" t="n">
        <x:f>IF(T879="Ready",ROUND(N879+P879,2),"n.a.")</x:f>
        <x:v>0</x:v>
      </x:c>
      <x:c r="R879" s="22" t="n">
        <x:f>IF(T879="Ready",ROUND(Q879-M879,2),"n.a.")</x:f>
        <x:v>0</x:v>
      </x:c>
      <x:c r="S879" s="22" t="n">
        <x:f>IF(T879="Ready",MAX(0,ROUND(I879+M879-Q879,2)),"n.a.")</x:f>
        <x:v>0</x:v>
      </x:c>
      <x:c r="T879" s="22" t="str">
        <x:f>IF(AND(COUNT($I$877:$I$881)=5,COUNT(E879:F879)=2),IF(E879&gt;=F879,"Ready","Budget below minima"),"Check inputs")</x:f>
        <x:v>Ready</x:v>
      </x:c>
      <x:c r="U879" s="22" t="n">
        <x:f>IF(COUNT(I879,M879,N879)=3,MAX(0,ROUND(I879+M879-N879,2)),"n.a.")</x:f>
        <x:v>0</x:v>
      </x:c>
    </x:row>
    <x:row r="880" ht="22" customHeight="1">
      <x:c r="A880" s="2"/>
      <x:c r="B880" s="2"/>
      <x:c r="C880" s="27" t="n">
        <x:f>175</x:f>
        <x:v>175</x:v>
      </x:c>
      <x:c r="D880" s="28" t="n">
        <x:f>IF(ISNUMBER('Inputs'!$D$7),EDATE('Inputs'!$D$7,174),"n.a.")</x:f>
        <x:v>51622</x:v>
      </x:c>
      <x:c r="E880" s="26" t="n">
        <x:f>IF('Inputs'!$D$9&lt;&gt;"Ready","n.a.",IF(ISNUMBER('Inputs'!E193),IF('Inputs'!E193&gt;=0,'Inputs'!E193,"n.a."),IF('Inputs'!E193="",'Inputs'!$D$6,"n.a.")))</x:f>
        <x:v>500</x:v>
      </x:c>
      <x:c r="F880" s="22" t="n">
        <x:f>IF(COUNT($N$877:$N$881)=5,SUM($N$877:$N$881),"n.a.")</x:f>
        <x:v>0</x:v>
      </x:c>
      <x:c r="G880" s="22" t="n">
        <x:f>IF(COUNT(E880:F880)=2,MAX(0,E880-F880),"n.a.")</x:f>
        <x:v>500</x:v>
      </x:c>
      <x:c r="H880" s="26" t="str">
        <x:f>'Inputs'!C14</x:f>
        <x:v>Unused 4</x:v>
      </x:c>
      <x:c r="I880" s="26" t="n">
        <x:f>S875</x:f>
        <x:v>0</x:v>
      </x:c>
      <x:c r="J880" s="29" t="n">
        <x:f>IF('Inputs'!$D$9="Ready",'Inputs'!E14,"n.a.")</x:f>
        <x:v>0</x:v>
      </x:c>
      <x:c r="K880" s="26" t="n">
        <x:f>IF('Inputs'!$D$9="Ready",'Inputs'!F14,"n.a.")</x:f>
        <x:v>0</x:v>
      </x:c>
      <x:c r="L880" s="29" t="n">
        <x:f>IF('Inputs'!$D$9="Ready",'Inputs'!G14,"n.a.")</x:f>
        <x:v>0</x:v>
      </x:c>
      <x:c r="M880" s="22" t="n">
        <x:f>IF(COUNT(I880:L880)=4,ROUND(I880*J880/12,2),"n.a.")</x:f>
        <x:v>0</x:v>
      </x:c>
      <x:c r="N880" s="22" t="n">
        <x:f>IF(COUNT(I880:M880)=5,MIN(I880+M880,ROUND(MAX(K880,I880*L880+M880),2)),"n.a.")</x:f>
        <x:v>0</x:v>
      </x:c>
      <x:c r="O880" s="30" t="n">
        <x:f>IF(COUNT($I$877:$I$881)&lt;&gt;5,"n.a.",IF(I880=0,6,IF('Inputs'!$D$5=1,COUNTIFS($I$877:$I$881,"&gt;0",$I$877:$I$881,"&lt;"&amp;I880)+COUNTIFS($I$877:I880,I880),COUNTIFS($I$877:$I$881,"&gt;0",$J$877:$J$881,"&gt;"&amp;J880)+COUNTIFS($I$877:I880,"&gt;0",$J$877:J880,J880))))</x:f>
        <x:v>6</x:v>
      </x:c>
      <x:c r="P880" s="22" t="n">
        <x:f>IF(T880="Ready",MIN(U880,MAX(0,G880-SUMIFS($U$877:$U$881,$O$877:$O$881,"&lt;"&amp;O880))),"n.a.")</x:f>
        <x:v>0</x:v>
      </x:c>
      <x:c r="Q880" s="22" t="n">
        <x:f>IF(T880="Ready",ROUND(N880+P880,2),"n.a.")</x:f>
        <x:v>0</x:v>
      </x:c>
      <x:c r="R880" s="22" t="n">
        <x:f>IF(T880="Ready",ROUND(Q880-M880,2),"n.a.")</x:f>
        <x:v>0</x:v>
      </x:c>
      <x:c r="S880" s="22" t="n">
        <x:f>IF(T880="Ready",MAX(0,ROUND(I880+M880-Q880,2)),"n.a.")</x:f>
        <x:v>0</x:v>
      </x:c>
      <x:c r="T880" s="22" t="str">
        <x:f>IF(AND(COUNT($I$877:$I$881)=5,COUNT(E880:F880)=2),IF(E880&gt;=F880,"Ready","Budget below minima"),"Check inputs")</x:f>
        <x:v>Ready</x:v>
      </x:c>
      <x:c r="U880" s="22" t="n">
        <x:f>IF(COUNT(I880,M880,N880)=3,MAX(0,ROUND(I880+M880-N880,2)),"n.a.")</x:f>
        <x:v>0</x:v>
      </x:c>
    </x:row>
    <x:row r="881" ht="22" customHeight="1">
      <x:c r="A881" s="2"/>
      <x:c r="B881" s="2"/>
      <x:c r="C881" s="27" t="n">
        <x:f>175</x:f>
        <x:v>175</x:v>
      </x:c>
      <x:c r="D881" s="28" t="n">
        <x:f>IF(ISNUMBER('Inputs'!$D$7),EDATE('Inputs'!$D$7,174),"n.a.")</x:f>
        <x:v>51622</x:v>
      </x:c>
      <x:c r="E881" s="26" t="n">
        <x:f>IF('Inputs'!$D$9&lt;&gt;"Ready","n.a.",IF(ISNUMBER('Inputs'!E193),IF('Inputs'!E193&gt;=0,'Inputs'!E193,"n.a."),IF('Inputs'!E193="",'Inputs'!$D$6,"n.a.")))</x:f>
        <x:v>500</x:v>
      </x:c>
      <x:c r="F881" s="22" t="n">
        <x:f>IF(COUNT($N$877:$N$881)=5,SUM($N$877:$N$881),"n.a.")</x:f>
        <x:v>0</x:v>
      </x:c>
      <x:c r="G881" s="22" t="n">
        <x:f>IF(COUNT(E881:F881)=2,MAX(0,E881-F881),"n.a.")</x:f>
        <x:v>500</x:v>
      </x:c>
      <x:c r="H881" s="26" t="str">
        <x:f>'Inputs'!C15</x:f>
        <x:v>Unused 5</x:v>
      </x:c>
      <x:c r="I881" s="26" t="n">
        <x:f>S876</x:f>
        <x:v>0</x:v>
      </x:c>
      <x:c r="J881" s="29" t="n">
        <x:f>IF('Inputs'!$D$9="Ready",'Inputs'!E15,"n.a.")</x:f>
        <x:v>0</x:v>
      </x:c>
      <x:c r="K881" s="26" t="n">
        <x:f>IF('Inputs'!$D$9="Ready",'Inputs'!F15,"n.a.")</x:f>
        <x:v>0</x:v>
      </x:c>
      <x:c r="L881" s="29" t="n">
        <x:f>IF('Inputs'!$D$9="Ready",'Inputs'!G15,"n.a.")</x:f>
        <x:v>0</x:v>
      </x:c>
      <x:c r="M881" s="22" t="n">
        <x:f>IF(COUNT(I881:L881)=4,ROUND(I881*J881/12,2),"n.a.")</x:f>
        <x:v>0</x:v>
      </x:c>
      <x:c r="N881" s="22" t="n">
        <x:f>IF(COUNT(I881:M881)=5,MIN(I881+M881,ROUND(MAX(K881,I881*L881+M881),2)),"n.a.")</x:f>
        <x:v>0</x:v>
      </x:c>
      <x:c r="O881" s="30" t="n">
        <x:f>IF(COUNT($I$877:$I$881)&lt;&gt;5,"n.a.",IF(I881=0,6,IF('Inputs'!$D$5=1,COUNTIFS($I$877:$I$881,"&gt;0",$I$877:$I$881,"&lt;"&amp;I881)+COUNTIFS($I$877:I881,I881),COUNTIFS($I$877:$I$881,"&gt;0",$J$877:$J$881,"&gt;"&amp;J881)+COUNTIFS($I$877:I881,"&gt;0",$J$877:J881,J881))))</x:f>
        <x:v>6</x:v>
      </x:c>
      <x:c r="P881" s="22" t="n">
        <x:f>IF(T881="Ready",MIN(U881,MAX(0,G881-SUMIFS($U$877:$U$881,$O$877:$O$881,"&lt;"&amp;O881))),"n.a.")</x:f>
        <x:v>0</x:v>
      </x:c>
      <x:c r="Q881" s="22" t="n">
        <x:f>IF(T881="Ready",ROUND(N881+P881,2),"n.a.")</x:f>
        <x:v>0</x:v>
      </x:c>
      <x:c r="R881" s="22" t="n">
        <x:f>IF(T881="Ready",ROUND(Q881-M881,2),"n.a.")</x:f>
        <x:v>0</x:v>
      </x:c>
      <x:c r="S881" s="22" t="n">
        <x:f>IF(T881="Ready",MAX(0,ROUND(I881+M881-Q881,2)),"n.a.")</x:f>
        <x:v>0</x:v>
      </x:c>
      <x:c r="T881" s="22" t="str">
        <x:f>IF(AND(COUNT($I$877:$I$881)=5,COUNT(E881:F881)=2),IF(E881&gt;=F881,"Ready","Budget below minima"),"Check inputs")</x:f>
        <x:v>Ready</x:v>
      </x:c>
      <x:c r="U881" s="22" t="n">
        <x:f>IF(COUNT(I881,M881,N881)=3,MAX(0,ROUND(I881+M881-N881,2)),"n.a.")</x:f>
        <x:v>0</x:v>
      </x:c>
    </x:row>
    <x:row r="882" ht="22" customHeight="1">
      <x:c r="A882" s="2"/>
      <x:c r="B882" s="2"/>
      <x:c r="C882" s="27" t="n">
        <x:f>176</x:f>
        <x:v>176</x:v>
      </x:c>
      <x:c r="D882" s="28" t="n">
        <x:f>IF(ISNUMBER('Inputs'!$D$7),EDATE('Inputs'!$D$7,175),"n.a.")</x:f>
        <x:v>51653</x:v>
      </x:c>
      <x:c r="E882" s="26" t="n">
        <x:f>IF('Inputs'!$D$9&lt;&gt;"Ready","n.a.",IF(ISNUMBER('Inputs'!E194),IF('Inputs'!E194&gt;=0,'Inputs'!E194,"n.a."),IF('Inputs'!E194="",'Inputs'!$D$6,"n.a.")))</x:f>
        <x:v>500</x:v>
      </x:c>
      <x:c r="F882" s="22" t="n">
        <x:f>IF(COUNT($N$882:$N$886)=5,SUM($N$882:$N$886),"n.a.")</x:f>
        <x:v>0</x:v>
      </x:c>
      <x:c r="G882" s="22" t="n">
        <x:f>IF(COUNT(E882:F882)=2,MAX(0,E882-F882),"n.a.")</x:f>
        <x:v>500</x:v>
      </x:c>
      <x:c r="H882" s="26" t="str">
        <x:f>'Inputs'!C11</x:f>
        <x:v>Card A</x:v>
      </x:c>
      <x:c r="I882" s="26" t="n">
        <x:f>S877</x:f>
        <x:v>0</x:v>
      </x:c>
      <x:c r="J882" s="29" t="n">
        <x:f>IF('Inputs'!$D$9="Ready",'Inputs'!E11,"n.a.")</x:f>
        <x:v>0.24</x:v>
      </x:c>
      <x:c r="K882" s="26" t="n">
        <x:f>IF('Inputs'!$D$9="Ready",'Inputs'!F11,"n.a.")</x:f>
        <x:v>35</x:v>
      </x:c>
      <x:c r="L882" s="29" t="n">
        <x:f>IF('Inputs'!$D$9="Ready",'Inputs'!G11,"n.a.")</x:f>
        <x:v>0.02</x:v>
      </x:c>
      <x:c r="M882" s="22" t="n">
        <x:f>IF(COUNT(I882:L882)=4,ROUND(I882*J882/12,2),"n.a.")</x:f>
        <x:v>0</x:v>
      </x:c>
      <x:c r="N882" s="22" t="n">
        <x:f>IF(COUNT(I882:M882)=5,MIN(I882+M882,ROUND(MAX(K882,I882*L882+M882),2)),"n.a.")</x:f>
        <x:v>0</x:v>
      </x:c>
      <x:c r="O882" s="30" t="n">
        <x:f>IF(COUNT($I$882:$I$886)&lt;&gt;5,"n.a.",IF(I882=0,6,IF('Inputs'!$D$5=1,COUNTIFS($I$882:$I$886,"&gt;0",$I$882:$I$886,"&lt;"&amp;I882)+COUNTIFS($I$882:I882,I882),COUNTIFS($I$882:$I$886,"&gt;0",$J$882:$J$886,"&gt;"&amp;J882)+COUNTIFS($I$882:I882,"&gt;0",$J$882:J882,J882))))</x:f>
        <x:v>6</x:v>
      </x:c>
      <x:c r="P882" s="22" t="n">
        <x:f>IF(T882="Ready",MIN(U882,MAX(0,G882-SUMIFS($U$882:$U$886,$O$882:$O$886,"&lt;"&amp;O882))),"n.a.")</x:f>
        <x:v>0</x:v>
      </x:c>
      <x:c r="Q882" s="22" t="n">
        <x:f>IF(T882="Ready",ROUND(N882+P882,2),"n.a.")</x:f>
        <x:v>0</x:v>
      </x:c>
      <x:c r="R882" s="22" t="n">
        <x:f>IF(T882="Ready",ROUND(Q882-M882,2),"n.a.")</x:f>
        <x:v>0</x:v>
      </x:c>
      <x:c r="S882" s="22" t="n">
        <x:f>IF(T882="Ready",MAX(0,ROUND(I882+M882-Q882,2)),"n.a.")</x:f>
        <x:v>0</x:v>
      </x:c>
      <x:c r="T882" s="22" t="str">
        <x:f>IF(AND(COUNT($I$882:$I$886)=5,COUNT(E882:F882)=2),IF(E882&gt;=F882,"Ready","Budget below minima"),"Check inputs")</x:f>
        <x:v>Ready</x:v>
      </x:c>
      <x:c r="U882" s="22" t="n">
        <x:f>IF(COUNT(I882,M882,N882)=3,MAX(0,ROUND(I882+M882-N882,2)),"n.a.")</x:f>
        <x:v>0</x:v>
      </x:c>
    </x:row>
    <x:row r="883" ht="22" customHeight="1">
      <x:c r="A883" s="2"/>
      <x:c r="B883" s="2"/>
      <x:c r="C883" s="27" t="n">
        <x:f>176</x:f>
        <x:v>176</x:v>
      </x:c>
      <x:c r="D883" s="28" t="n">
        <x:f>IF(ISNUMBER('Inputs'!$D$7),EDATE('Inputs'!$D$7,175),"n.a.")</x:f>
        <x:v>51653</x:v>
      </x:c>
      <x:c r="E883" s="26" t="n">
        <x:f>IF('Inputs'!$D$9&lt;&gt;"Ready","n.a.",IF(ISNUMBER('Inputs'!E194),IF('Inputs'!E194&gt;=0,'Inputs'!E194,"n.a."),IF('Inputs'!E194="",'Inputs'!$D$6,"n.a.")))</x:f>
        <x:v>500</x:v>
      </x:c>
      <x:c r="F883" s="22" t="n">
        <x:f>IF(COUNT($N$882:$N$886)=5,SUM($N$882:$N$886),"n.a.")</x:f>
        <x:v>0</x:v>
      </x:c>
      <x:c r="G883" s="22" t="n">
        <x:f>IF(COUNT(E883:F883)=2,MAX(0,E883-F883),"n.a.")</x:f>
        <x:v>500</x:v>
      </x:c>
      <x:c r="H883" s="26" t="str">
        <x:f>'Inputs'!C12</x:f>
        <x:v>Card B</x:v>
      </x:c>
      <x:c r="I883" s="26" t="n">
        <x:f>S878</x:f>
        <x:v>0</x:v>
      </x:c>
      <x:c r="J883" s="29" t="n">
        <x:f>IF('Inputs'!$D$9="Ready",'Inputs'!E12,"n.a.")</x:f>
        <x:v>0.18</x:v>
      </x:c>
      <x:c r="K883" s="26" t="n">
        <x:f>IF('Inputs'!$D$9="Ready",'Inputs'!F12,"n.a.")</x:f>
        <x:v>60</x:v>
      </x:c>
      <x:c r="L883" s="29" t="n">
        <x:f>IF('Inputs'!$D$9="Ready",'Inputs'!G12,"n.a.")</x:f>
        <x:v>0.02</x:v>
      </x:c>
      <x:c r="M883" s="22" t="n">
        <x:f>IF(COUNT(I883:L883)=4,ROUND(I883*J883/12,2),"n.a.")</x:f>
        <x:v>0</x:v>
      </x:c>
      <x:c r="N883" s="22" t="n">
        <x:f>IF(COUNT(I883:M883)=5,MIN(I883+M883,ROUND(MAX(K883,I883*L883+M883),2)),"n.a.")</x:f>
        <x:v>0</x:v>
      </x:c>
      <x:c r="O883" s="30" t="n">
        <x:f>IF(COUNT($I$882:$I$886)&lt;&gt;5,"n.a.",IF(I883=0,6,IF('Inputs'!$D$5=1,COUNTIFS($I$882:$I$886,"&gt;0",$I$882:$I$886,"&lt;"&amp;I883)+COUNTIFS($I$882:I883,I883),COUNTIFS($I$882:$I$886,"&gt;0",$J$882:$J$886,"&gt;"&amp;J883)+COUNTIFS($I$882:I883,"&gt;0",$J$882:J883,J883))))</x:f>
        <x:v>6</x:v>
      </x:c>
      <x:c r="P883" s="22" t="n">
        <x:f>IF(T883="Ready",MIN(U883,MAX(0,G883-SUMIFS($U$882:$U$886,$O$882:$O$886,"&lt;"&amp;O883))),"n.a.")</x:f>
        <x:v>0</x:v>
      </x:c>
      <x:c r="Q883" s="22" t="n">
        <x:f>IF(T883="Ready",ROUND(N883+P883,2),"n.a.")</x:f>
        <x:v>0</x:v>
      </x:c>
      <x:c r="R883" s="22" t="n">
        <x:f>IF(T883="Ready",ROUND(Q883-M883,2),"n.a.")</x:f>
        <x:v>0</x:v>
      </x:c>
      <x:c r="S883" s="22" t="n">
        <x:f>IF(T883="Ready",MAX(0,ROUND(I883+M883-Q883,2)),"n.a.")</x:f>
        <x:v>0</x:v>
      </x:c>
      <x:c r="T883" s="22" t="str">
        <x:f>IF(AND(COUNT($I$882:$I$886)=5,COUNT(E883:F883)=2),IF(E883&gt;=F883,"Ready","Budget below minima"),"Check inputs")</x:f>
        <x:v>Ready</x:v>
      </x:c>
      <x:c r="U883" s="22" t="n">
        <x:f>IF(COUNT(I883,M883,N883)=3,MAX(0,ROUND(I883+M883-N883,2)),"n.a.")</x:f>
        <x:v>0</x:v>
      </x:c>
    </x:row>
    <x:row r="884" ht="22" customHeight="1">
      <x:c r="A884" s="2"/>
      <x:c r="B884" s="2"/>
      <x:c r="C884" s="27" t="n">
        <x:f>176</x:f>
        <x:v>176</x:v>
      </x:c>
      <x:c r="D884" s="28" t="n">
        <x:f>IF(ISNUMBER('Inputs'!$D$7),EDATE('Inputs'!$D$7,175),"n.a.")</x:f>
        <x:v>51653</x:v>
      </x:c>
      <x:c r="E884" s="26" t="n">
        <x:f>IF('Inputs'!$D$9&lt;&gt;"Ready","n.a.",IF(ISNUMBER('Inputs'!E194),IF('Inputs'!E194&gt;=0,'Inputs'!E194,"n.a."),IF('Inputs'!E194="",'Inputs'!$D$6,"n.a.")))</x:f>
        <x:v>500</x:v>
      </x:c>
      <x:c r="F884" s="22" t="n">
        <x:f>IF(COUNT($N$882:$N$886)=5,SUM($N$882:$N$886),"n.a.")</x:f>
        <x:v>0</x:v>
      </x:c>
      <x:c r="G884" s="22" t="n">
        <x:f>IF(COUNT(E884:F884)=2,MAX(0,E884-F884),"n.a.")</x:f>
        <x:v>500</x:v>
      </x:c>
      <x:c r="H884" s="26" t="str">
        <x:f>'Inputs'!C13</x:f>
        <x:v>Loan C</x:v>
      </x:c>
      <x:c r="I884" s="26" t="n">
        <x:f>S879</x:f>
        <x:v>0</x:v>
      </x:c>
      <x:c r="J884" s="29" t="n">
        <x:f>IF('Inputs'!$D$9="Ready",'Inputs'!E13,"n.a.")</x:f>
        <x:v>0.08</x:v>
      </x:c>
      <x:c r="K884" s="26" t="n">
        <x:f>IF('Inputs'!$D$9="Ready",'Inputs'!F13,"n.a.")</x:f>
        <x:v>150</x:v>
      </x:c>
      <x:c r="L884" s="29" t="n">
        <x:f>IF('Inputs'!$D$9="Ready",'Inputs'!G13,"n.a.")</x:f>
        <x:v>0</x:v>
      </x:c>
      <x:c r="M884" s="22" t="n">
        <x:f>IF(COUNT(I884:L884)=4,ROUND(I884*J884/12,2),"n.a.")</x:f>
        <x:v>0</x:v>
      </x:c>
      <x:c r="N884" s="22" t="n">
        <x:f>IF(COUNT(I884:M884)=5,MIN(I884+M884,ROUND(MAX(K884,I884*L884+M884),2)),"n.a.")</x:f>
        <x:v>0</x:v>
      </x:c>
      <x:c r="O884" s="30" t="n">
        <x:f>IF(COUNT($I$882:$I$886)&lt;&gt;5,"n.a.",IF(I884=0,6,IF('Inputs'!$D$5=1,COUNTIFS($I$882:$I$886,"&gt;0",$I$882:$I$886,"&lt;"&amp;I884)+COUNTIFS($I$882:I884,I884),COUNTIFS($I$882:$I$886,"&gt;0",$J$882:$J$886,"&gt;"&amp;J884)+COUNTIFS($I$882:I884,"&gt;0",$J$882:J884,J884))))</x:f>
        <x:v>6</x:v>
      </x:c>
      <x:c r="P884" s="22" t="n">
        <x:f>IF(T884="Ready",MIN(U884,MAX(0,G884-SUMIFS($U$882:$U$886,$O$882:$O$886,"&lt;"&amp;O884))),"n.a.")</x:f>
        <x:v>0</x:v>
      </x:c>
      <x:c r="Q884" s="22" t="n">
        <x:f>IF(T884="Ready",ROUND(N884+P884,2),"n.a.")</x:f>
        <x:v>0</x:v>
      </x:c>
      <x:c r="R884" s="22" t="n">
        <x:f>IF(T884="Ready",ROUND(Q884-M884,2),"n.a.")</x:f>
        <x:v>0</x:v>
      </x:c>
      <x:c r="S884" s="22" t="n">
        <x:f>IF(T884="Ready",MAX(0,ROUND(I884+M884-Q884,2)),"n.a.")</x:f>
        <x:v>0</x:v>
      </x:c>
      <x:c r="T884" s="22" t="str">
        <x:f>IF(AND(COUNT($I$882:$I$886)=5,COUNT(E884:F884)=2),IF(E884&gt;=F884,"Ready","Budget below minima"),"Check inputs")</x:f>
        <x:v>Ready</x:v>
      </x:c>
      <x:c r="U884" s="22" t="n">
        <x:f>IF(COUNT(I884,M884,N884)=3,MAX(0,ROUND(I884+M884-N884,2)),"n.a.")</x:f>
        <x:v>0</x:v>
      </x:c>
    </x:row>
    <x:row r="885" ht="22" customHeight="1">
      <x:c r="A885" s="2"/>
      <x:c r="B885" s="2"/>
      <x:c r="C885" s="27" t="n">
        <x:f>176</x:f>
        <x:v>176</x:v>
      </x:c>
      <x:c r="D885" s="28" t="n">
        <x:f>IF(ISNUMBER('Inputs'!$D$7),EDATE('Inputs'!$D$7,175),"n.a.")</x:f>
        <x:v>51653</x:v>
      </x:c>
      <x:c r="E885" s="26" t="n">
        <x:f>IF('Inputs'!$D$9&lt;&gt;"Ready","n.a.",IF(ISNUMBER('Inputs'!E194),IF('Inputs'!E194&gt;=0,'Inputs'!E194,"n.a."),IF('Inputs'!E194="",'Inputs'!$D$6,"n.a.")))</x:f>
        <x:v>500</x:v>
      </x:c>
      <x:c r="F885" s="22" t="n">
        <x:f>IF(COUNT($N$882:$N$886)=5,SUM($N$882:$N$886),"n.a.")</x:f>
        <x:v>0</x:v>
      </x:c>
      <x:c r="G885" s="22" t="n">
        <x:f>IF(COUNT(E885:F885)=2,MAX(0,E885-F885),"n.a.")</x:f>
        <x:v>500</x:v>
      </x:c>
      <x:c r="H885" s="26" t="str">
        <x:f>'Inputs'!C14</x:f>
        <x:v>Unused 4</x:v>
      </x:c>
      <x:c r="I885" s="26" t="n">
        <x:f>S880</x:f>
        <x:v>0</x:v>
      </x:c>
      <x:c r="J885" s="29" t="n">
        <x:f>IF('Inputs'!$D$9="Ready",'Inputs'!E14,"n.a.")</x:f>
        <x:v>0</x:v>
      </x:c>
      <x:c r="K885" s="26" t="n">
        <x:f>IF('Inputs'!$D$9="Ready",'Inputs'!F14,"n.a.")</x:f>
        <x:v>0</x:v>
      </x:c>
      <x:c r="L885" s="29" t="n">
        <x:f>IF('Inputs'!$D$9="Ready",'Inputs'!G14,"n.a.")</x:f>
        <x:v>0</x:v>
      </x:c>
      <x:c r="M885" s="22" t="n">
        <x:f>IF(COUNT(I885:L885)=4,ROUND(I885*J885/12,2),"n.a.")</x:f>
        <x:v>0</x:v>
      </x:c>
      <x:c r="N885" s="22" t="n">
        <x:f>IF(COUNT(I885:M885)=5,MIN(I885+M885,ROUND(MAX(K885,I885*L885+M885),2)),"n.a.")</x:f>
        <x:v>0</x:v>
      </x:c>
      <x:c r="O885" s="30" t="n">
        <x:f>IF(COUNT($I$882:$I$886)&lt;&gt;5,"n.a.",IF(I885=0,6,IF('Inputs'!$D$5=1,COUNTIFS($I$882:$I$886,"&gt;0",$I$882:$I$886,"&lt;"&amp;I885)+COUNTIFS($I$882:I885,I885),COUNTIFS($I$882:$I$886,"&gt;0",$J$882:$J$886,"&gt;"&amp;J885)+COUNTIFS($I$882:I885,"&gt;0",$J$882:J885,J885))))</x:f>
        <x:v>6</x:v>
      </x:c>
      <x:c r="P885" s="22" t="n">
        <x:f>IF(T885="Ready",MIN(U885,MAX(0,G885-SUMIFS($U$882:$U$886,$O$882:$O$886,"&lt;"&amp;O885))),"n.a.")</x:f>
        <x:v>0</x:v>
      </x:c>
      <x:c r="Q885" s="22" t="n">
        <x:f>IF(T885="Ready",ROUND(N885+P885,2),"n.a.")</x:f>
        <x:v>0</x:v>
      </x:c>
      <x:c r="R885" s="22" t="n">
        <x:f>IF(T885="Ready",ROUND(Q885-M885,2),"n.a.")</x:f>
        <x:v>0</x:v>
      </x:c>
      <x:c r="S885" s="22" t="n">
        <x:f>IF(T885="Ready",MAX(0,ROUND(I885+M885-Q885,2)),"n.a.")</x:f>
        <x:v>0</x:v>
      </x:c>
      <x:c r="T885" s="22" t="str">
        <x:f>IF(AND(COUNT($I$882:$I$886)=5,COUNT(E885:F885)=2),IF(E885&gt;=F885,"Ready","Budget below minima"),"Check inputs")</x:f>
        <x:v>Ready</x:v>
      </x:c>
      <x:c r="U885" s="22" t="n">
        <x:f>IF(COUNT(I885,M885,N885)=3,MAX(0,ROUND(I885+M885-N885,2)),"n.a.")</x:f>
        <x:v>0</x:v>
      </x:c>
    </x:row>
    <x:row r="886" ht="22" customHeight="1">
      <x:c r="A886" s="2"/>
      <x:c r="B886" s="2"/>
      <x:c r="C886" s="27" t="n">
        <x:f>176</x:f>
        <x:v>176</x:v>
      </x:c>
      <x:c r="D886" s="28" t="n">
        <x:f>IF(ISNUMBER('Inputs'!$D$7),EDATE('Inputs'!$D$7,175),"n.a.")</x:f>
        <x:v>51653</x:v>
      </x:c>
      <x:c r="E886" s="26" t="n">
        <x:f>IF('Inputs'!$D$9&lt;&gt;"Ready","n.a.",IF(ISNUMBER('Inputs'!E194),IF('Inputs'!E194&gt;=0,'Inputs'!E194,"n.a."),IF('Inputs'!E194="",'Inputs'!$D$6,"n.a.")))</x:f>
        <x:v>500</x:v>
      </x:c>
      <x:c r="F886" s="22" t="n">
        <x:f>IF(COUNT($N$882:$N$886)=5,SUM($N$882:$N$886),"n.a.")</x:f>
        <x:v>0</x:v>
      </x:c>
      <x:c r="G886" s="22" t="n">
        <x:f>IF(COUNT(E886:F886)=2,MAX(0,E886-F886),"n.a.")</x:f>
        <x:v>500</x:v>
      </x:c>
      <x:c r="H886" s="26" t="str">
        <x:f>'Inputs'!C15</x:f>
        <x:v>Unused 5</x:v>
      </x:c>
      <x:c r="I886" s="26" t="n">
        <x:f>S881</x:f>
        <x:v>0</x:v>
      </x:c>
      <x:c r="J886" s="29" t="n">
        <x:f>IF('Inputs'!$D$9="Ready",'Inputs'!E15,"n.a.")</x:f>
        <x:v>0</x:v>
      </x:c>
      <x:c r="K886" s="26" t="n">
        <x:f>IF('Inputs'!$D$9="Ready",'Inputs'!F15,"n.a.")</x:f>
        <x:v>0</x:v>
      </x:c>
      <x:c r="L886" s="29" t="n">
        <x:f>IF('Inputs'!$D$9="Ready",'Inputs'!G15,"n.a.")</x:f>
        <x:v>0</x:v>
      </x:c>
      <x:c r="M886" s="22" t="n">
        <x:f>IF(COUNT(I886:L886)=4,ROUND(I886*J886/12,2),"n.a.")</x:f>
        <x:v>0</x:v>
      </x:c>
      <x:c r="N886" s="22" t="n">
        <x:f>IF(COUNT(I886:M886)=5,MIN(I886+M886,ROUND(MAX(K886,I886*L886+M886),2)),"n.a.")</x:f>
        <x:v>0</x:v>
      </x:c>
      <x:c r="O886" s="30" t="n">
        <x:f>IF(COUNT($I$882:$I$886)&lt;&gt;5,"n.a.",IF(I886=0,6,IF('Inputs'!$D$5=1,COUNTIFS($I$882:$I$886,"&gt;0",$I$882:$I$886,"&lt;"&amp;I886)+COUNTIFS($I$882:I886,I886),COUNTIFS($I$882:$I$886,"&gt;0",$J$882:$J$886,"&gt;"&amp;J886)+COUNTIFS($I$882:I886,"&gt;0",$J$882:J886,J886))))</x:f>
        <x:v>6</x:v>
      </x:c>
      <x:c r="P886" s="22" t="n">
        <x:f>IF(T886="Ready",MIN(U886,MAX(0,G886-SUMIFS($U$882:$U$886,$O$882:$O$886,"&lt;"&amp;O886))),"n.a.")</x:f>
        <x:v>0</x:v>
      </x:c>
      <x:c r="Q886" s="22" t="n">
        <x:f>IF(T886="Ready",ROUND(N886+P886,2),"n.a.")</x:f>
        <x:v>0</x:v>
      </x:c>
      <x:c r="R886" s="22" t="n">
        <x:f>IF(T886="Ready",ROUND(Q886-M886,2),"n.a.")</x:f>
        <x:v>0</x:v>
      </x:c>
      <x:c r="S886" s="22" t="n">
        <x:f>IF(T886="Ready",MAX(0,ROUND(I886+M886-Q886,2)),"n.a.")</x:f>
        <x:v>0</x:v>
      </x:c>
      <x:c r="T886" s="22" t="str">
        <x:f>IF(AND(COUNT($I$882:$I$886)=5,COUNT(E886:F886)=2),IF(E886&gt;=F886,"Ready","Budget below minima"),"Check inputs")</x:f>
        <x:v>Ready</x:v>
      </x:c>
      <x:c r="U886" s="22" t="n">
        <x:f>IF(COUNT(I886,M886,N886)=3,MAX(0,ROUND(I886+M886-N886,2)),"n.a.")</x:f>
        <x:v>0</x:v>
      </x:c>
    </x:row>
    <x:row r="887" ht="22" customHeight="1">
      <x:c r="A887" s="2"/>
      <x:c r="B887" s="2"/>
      <x:c r="C887" s="27" t="n">
        <x:f>177</x:f>
        <x:v>177</x:v>
      </x:c>
      <x:c r="D887" s="28" t="n">
        <x:f>IF(ISNUMBER('Inputs'!$D$7),EDATE('Inputs'!$D$7,176),"n.a.")</x:f>
        <x:v>51683</x:v>
      </x:c>
      <x:c r="E887" s="26" t="n">
        <x:f>IF('Inputs'!$D$9&lt;&gt;"Ready","n.a.",IF(ISNUMBER('Inputs'!E195),IF('Inputs'!E195&gt;=0,'Inputs'!E195,"n.a."),IF('Inputs'!E195="",'Inputs'!$D$6,"n.a.")))</x:f>
        <x:v>500</x:v>
      </x:c>
      <x:c r="F887" s="22" t="n">
        <x:f>IF(COUNT($N$887:$N$891)=5,SUM($N$887:$N$891),"n.a.")</x:f>
        <x:v>0</x:v>
      </x:c>
      <x:c r="G887" s="22" t="n">
        <x:f>IF(COUNT(E887:F887)=2,MAX(0,E887-F887),"n.a.")</x:f>
        <x:v>500</x:v>
      </x:c>
      <x:c r="H887" s="26" t="str">
        <x:f>'Inputs'!C11</x:f>
        <x:v>Card A</x:v>
      </x:c>
      <x:c r="I887" s="26" t="n">
        <x:f>S882</x:f>
        <x:v>0</x:v>
      </x:c>
      <x:c r="J887" s="29" t="n">
        <x:f>IF('Inputs'!$D$9="Ready",'Inputs'!E11,"n.a.")</x:f>
        <x:v>0.24</x:v>
      </x:c>
      <x:c r="K887" s="26" t="n">
        <x:f>IF('Inputs'!$D$9="Ready",'Inputs'!F11,"n.a.")</x:f>
        <x:v>35</x:v>
      </x:c>
      <x:c r="L887" s="29" t="n">
        <x:f>IF('Inputs'!$D$9="Ready",'Inputs'!G11,"n.a.")</x:f>
        <x:v>0.02</x:v>
      </x:c>
      <x:c r="M887" s="22" t="n">
        <x:f>IF(COUNT(I887:L887)=4,ROUND(I887*J887/12,2),"n.a.")</x:f>
        <x:v>0</x:v>
      </x:c>
      <x:c r="N887" s="22" t="n">
        <x:f>IF(COUNT(I887:M887)=5,MIN(I887+M887,ROUND(MAX(K887,I887*L887+M887),2)),"n.a.")</x:f>
        <x:v>0</x:v>
      </x:c>
      <x:c r="O887" s="30" t="n">
        <x:f>IF(COUNT($I$887:$I$891)&lt;&gt;5,"n.a.",IF(I887=0,6,IF('Inputs'!$D$5=1,COUNTIFS($I$887:$I$891,"&gt;0",$I$887:$I$891,"&lt;"&amp;I887)+COUNTIFS($I$887:I887,I887),COUNTIFS($I$887:$I$891,"&gt;0",$J$887:$J$891,"&gt;"&amp;J887)+COUNTIFS($I$887:I887,"&gt;0",$J$887:J887,J887))))</x:f>
        <x:v>6</x:v>
      </x:c>
      <x:c r="P887" s="22" t="n">
        <x:f>IF(T887="Ready",MIN(U887,MAX(0,G887-SUMIFS($U$887:$U$891,$O$887:$O$891,"&lt;"&amp;O887))),"n.a.")</x:f>
        <x:v>0</x:v>
      </x:c>
      <x:c r="Q887" s="22" t="n">
        <x:f>IF(T887="Ready",ROUND(N887+P887,2),"n.a.")</x:f>
        <x:v>0</x:v>
      </x:c>
      <x:c r="R887" s="22" t="n">
        <x:f>IF(T887="Ready",ROUND(Q887-M887,2),"n.a.")</x:f>
        <x:v>0</x:v>
      </x:c>
      <x:c r="S887" s="22" t="n">
        <x:f>IF(T887="Ready",MAX(0,ROUND(I887+M887-Q887,2)),"n.a.")</x:f>
        <x:v>0</x:v>
      </x:c>
      <x:c r="T887" s="22" t="str">
        <x:f>IF(AND(COUNT($I$887:$I$891)=5,COUNT(E887:F887)=2),IF(E887&gt;=F887,"Ready","Budget below minima"),"Check inputs")</x:f>
        <x:v>Ready</x:v>
      </x:c>
      <x:c r="U887" s="22" t="n">
        <x:f>IF(COUNT(I887,M887,N887)=3,MAX(0,ROUND(I887+M887-N887,2)),"n.a.")</x:f>
        <x:v>0</x:v>
      </x:c>
    </x:row>
    <x:row r="888" ht="22" customHeight="1">
      <x:c r="A888" s="2"/>
      <x:c r="B888" s="2"/>
      <x:c r="C888" s="27" t="n">
        <x:f>177</x:f>
        <x:v>177</x:v>
      </x:c>
      <x:c r="D888" s="28" t="n">
        <x:f>IF(ISNUMBER('Inputs'!$D$7),EDATE('Inputs'!$D$7,176),"n.a.")</x:f>
        <x:v>51683</x:v>
      </x:c>
      <x:c r="E888" s="26" t="n">
        <x:f>IF('Inputs'!$D$9&lt;&gt;"Ready","n.a.",IF(ISNUMBER('Inputs'!E195),IF('Inputs'!E195&gt;=0,'Inputs'!E195,"n.a."),IF('Inputs'!E195="",'Inputs'!$D$6,"n.a.")))</x:f>
        <x:v>500</x:v>
      </x:c>
      <x:c r="F888" s="22" t="n">
        <x:f>IF(COUNT($N$887:$N$891)=5,SUM($N$887:$N$891),"n.a.")</x:f>
        <x:v>0</x:v>
      </x:c>
      <x:c r="G888" s="22" t="n">
        <x:f>IF(COUNT(E888:F888)=2,MAX(0,E888-F888),"n.a.")</x:f>
        <x:v>500</x:v>
      </x:c>
      <x:c r="H888" s="26" t="str">
        <x:f>'Inputs'!C12</x:f>
        <x:v>Card B</x:v>
      </x:c>
      <x:c r="I888" s="26" t="n">
        <x:f>S883</x:f>
        <x:v>0</x:v>
      </x:c>
      <x:c r="J888" s="29" t="n">
        <x:f>IF('Inputs'!$D$9="Ready",'Inputs'!E12,"n.a.")</x:f>
        <x:v>0.18</x:v>
      </x:c>
      <x:c r="K888" s="26" t="n">
        <x:f>IF('Inputs'!$D$9="Ready",'Inputs'!F12,"n.a.")</x:f>
        <x:v>60</x:v>
      </x:c>
      <x:c r="L888" s="29" t="n">
        <x:f>IF('Inputs'!$D$9="Ready",'Inputs'!G12,"n.a.")</x:f>
        <x:v>0.02</x:v>
      </x:c>
      <x:c r="M888" s="22" t="n">
        <x:f>IF(COUNT(I888:L888)=4,ROUND(I888*J888/12,2),"n.a.")</x:f>
        <x:v>0</x:v>
      </x:c>
      <x:c r="N888" s="22" t="n">
        <x:f>IF(COUNT(I888:M888)=5,MIN(I888+M888,ROUND(MAX(K888,I888*L888+M888),2)),"n.a.")</x:f>
        <x:v>0</x:v>
      </x:c>
      <x:c r="O888" s="30" t="n">
        <x:f>IF(COUNT($I$887:$I$891)&lt;&gt;5,"n.a.",IF(I888=0,6,IF('Inputs'!$D$5=1,COUNTIFS($I$887:$I$891,"&gt;0",$I$887:$I$891,"&lt;"&amp;I888)+COUNTIFS($I$887:I888,I888),COUNTIFS($I$887:$I$891,"&gt;0",$J$887:$J$891,"&gt;"&amp;J888)+COUNTIFS($I$887:I888,"&gt;0",$J$887:J888,J888))))</x:f>
        <x:v>6</x:v>
      </x:c>
      <x:c r="P888" s="22" t="n">
        <x:f>IF(T888="Ready",MIN(U888,MAX(0,G888-SUMIFS($U$887:$U$891,$O$887:$O$891,"&lt;"&amp;O888))),"n.a.")</x:f>
        <x:v>0</x:v>
      </x:c>
      <x:c r="Q888" s="22" t="n">
        <x:f>IF(T888="Ready",ROUND(N888+P888,2),"n.a.")</x:f>
        <x:v>0</x:v>
      </x:c>
      <x:c r="R888" s="22" t="n">
        <x:f>IF(T888="Ready",ROUND(Q888-M888,2),"n.a.")</x:f>
        <x:v>0</x:v>
      </x:c>
      <x:c r="S888" s="22" t="n">
        <x:f>IF(T888="Ready",MAX(0,ROUND(I888+M888-Q888,2)),"n.a.")</x:f>
        <x:v>0</x:v>
      </x:c>
      <x:c r="T888" s="22" t="str">
        <x:f>IF(AND(COUNT($I$887:$I$891)=5,COUNT(E888:F888)=2),IF(E888&gt;=F888,"Ready","Budget below minima"),"Check inputs")</x:f>
        <x:v>Ready</x:v>
      </x:c>
      <x:c r="U888" s="22" t="n">
        <x:f>IF(COUNT(I888,M888,N888)=3,MAX(0,ROUND(I888+M888-N888,2)),"n.a.")</x:f>
        <x:v>0</x:v>
      </x:c>
    </x:row>
    <x:row r="889" ht="22" customHeight="1">
      <x:c r="A889" s="2"/>
      <x:c r="B889" s="2"/>
      <x:c r="C889" s="27" t="n">
        <x:f>177</x:f>
        <x:v>177</x:v>
      </x:c>
      <x:c r="D889" s="28" t="n">
        <x:f>IF(ISNUMBER('Inputs'!$D$7),EDATE('Inputs'!$D$7,176),"n.a.")</x:f>
        <x:v>51683</x:v>
      </x:c>
      <x:c r="E889" s="26" t="n">
        <x:f>IF('Inputs'!$D$9&lt;&gt;"Ready","n.a.",IF(ISNUMBER('Inputs'!E195),IF('Inputs'!E195&gt;=0,'Inputs'!E195,"n.a."),IF('Inputs'!E195="",'Inputs'!$D$6,"n.a.")))</x:f>
        <x:v>500</x:v>
      </x:c>
      <x:c r="F889" s="22" t="n">
        <x:f>IF(COUNT($N$887:$N$891)=5,SUM($N$887:$N$891),"n.a.")</x:f>
        <x:v>0</x:v>
      </x:c>
      <x:c r="G889" s="22" t="n">
        <x:f>IF(COUNT(E889:F889)=2,MAX(0,E889-F889),"n.a.")</x:f>
        <x:v>500</x:v>
      </x:c>
      <x:c r="H889" s="26" t="str">
        <x:f>'Inputs'!C13</x:f>
        <x:v>Loan C</x:v>
      </x:c>
      <x:c r="I889" s="26" t="n">
        <x:f>S884</x:f>
        <x:v>0</x:v>
      </x:c>
      <x:c r="J889" s="29" t="n">
        <x:f>IF('Inputs'!$D$9="Ready",'Inputs'!E13,"n.a.")</x:f>
        <x:v>0.08</x:v>
      </x:c>
      <x:c r="K889" s="26" t="n">
        <x:f>IF('Inputs'!$D$9="Ready",'Inputs'!F13,"n.a.")</x:f>
        <x:v>150</x:v>
      </x:c>
      <x:c r="L889" s="29" t="n">
        <x:f>IF('Inputs'!$D$9="Ready",'Inputs'!G13,"n.a.")</x:f>
        <x:v>0</x:v>
      </x:c>
      <x:c r="M889" s="22" t="n">
        <x:f>IF(COUNT(I889:L889)=4,ROUND(I889*J889/12,2),"n.a.")</x:f>
        <x:v>0</x:v>
      </x:c>
      <x:c r="N889" s="22" t="n">
        <x:f>IF(COUNT(I889:M889)=5,MIN(I889+M889,ROUND(MAX(K889,I889*L889+M889),2)),"n.a.")</x:f>
        <x:v>0</x:v>
      </x:c>
      <x:c r="O889" s="30" t="n">
        <x:f>IF(COUNT($I$887:$I$891)&lt;&gt;5,"n.a.",IF(I889=0,6,IF('Inputs'!$D$5=1,COUNTIFS($I$887:$I$891,"&gt;0",$I$887:$I$891,"&lt;"&amp;I889)+COUNTIFS($I$887:I889,I889),COUNTIFS($I$887:$I$891,"&gt;0",$J$887:$J$891,"&gt;"&amp;J889)+COUNTIFS($I$887:I889,"&gt;0",$J$887:J889,J889))))</x:f>
        <x:v>6</x:v>
      </x:c>
      <x:c r="P889" s="22" t="n">
        <x:f>IF(T889="Ready",MIN(U889,MAX(0,G889-SUMIFS($U$887:$U$891,$O$887:$O$891,"&lt;"&amp;O889))),"n.a.")</x:f>
        <x:v>0</x:v>
      </x:c>
      <x:c r="Q889" s="22" t="n">
        <x:f>IF(T889="Ready",ROUND(N889+P889,2),"n.a.")</x:f>
        <x:v>0</x:v>
      </x:c>
      <x:c r="R889" s="22" t="n">
        <x:f>IF(T889="Ready",ROUND(Q889-M889,2),"n.a.")</x:f>
        <x:v>0</x:v>
      </x:c>
      <x:c r="S889" s="22" t="n">
        <x:f>IF(T889="Ready",MAX(0,ROUND(I889+M889-Q889,2)),"n.a.")</x:f>
        <x:v>0</x:v>
      </x:c>
      <x:c r="T889" s="22" t="str">
        <x:f>IF(AND(COUNT($I$887:$I$891)=5,COUNT(E889:F889)=2),IF(E889&gt;=F889,"Ready","Budget below minima"),"Check inputs")</x:f>
        <x:v>Ready</x:v>
      </x:c>
      <x:c r="U889" s="22" t="n">
        <x:f>IF(COUNT(I889,M889,N889)=3,MAX(0,ROUND(I889+M889-N889,2)),"n.a.")</x:f>
        <x:v>0</x:v>
      </x:c>
    </x:row>
    <x:row r="890" ht="22" customHeight="1">
      <x:c r="A890" s="2"/>
      <x:c r="B890" s="2"/>
      <x:c r="C890" s="27" t="n">
        <x:f>177</x:f>
        <x:v>177</x:v>
      </x:c>
      <x:c r="D890" s="28" t="n">
        <x:f>IF(ISNUMBER('Inputs'!$D$7),EDATE('Inputs'!$D$7,176),"n.a.")</x:f>
        <x:v>51683</x:v>
      </x:c>
      <x:c r="E890" s="26" t="n">
        <x:f>IF('Inputs'!$D$9&lt;&gt;"Ready","n.a.",IF(ISNUMBER('Inputs'!E195),IF('Inputs'!E195&gt;=0,'Inputs'!E195,"n.a."),IF('Inputs'!E195="",'Inputs'!$D$6,"n.a.")))</x:f>
        <x:v>500</x:v>
      </x:c>
      <x:c r="F890" s="22" t="n">
        <x:f>IF(COUNT($N$887:$N$891)=5,SUM($N$887:$N$891),"n.a.")</x:f>
        <x:v>0</x:v>
      </x:c>
      <x:c r="G890" s="22" t="n">
        <x:f>IF(COUNT(E890:F890)=2,MAX(0,E890-F890),"n.a.")</x:f>
        <x:v>500</x:v>
      </x:c>
      <x:c r="H890" s="26" t="str">
        <x:f>'Inputs'!C14</x:f>
        <x:v>Unused 4</x:v>
      </x:c>
      <x:c r="I890" s="26" t="n">
        <x:f>S885</x:f>
        <x:v>0</x:v>
      </x:c>
      <x:c r="J890" s="29" t="n">
        <x:f>IF('Inputs'!$D$9="Ready",'Inputs'!E14,"n.a.")</x:f>
        <x:v>0</x:v>
      </x:c>
      <x:c r="K890" s="26" t="n">
        <x:f>IF('Inputs'!$D$9="Ready",'Inputs'!F14,"n.a.")</x:f>
        <x:v>0</x:v>
      </x:c>
      <x:c r="L890" s="29" t="n">
        <x:f>IF('Inputs'!$D$9="Ready",'Inputs'!G14,"n.a.")</x:f>
        <x:v>0</x:v>
      </x:c>
      <x:c r="M890" s="22" t="n">
        <x:f>IF(COUNT(I890:L890)=4,ROUND(I890*J890/12,2),"n.a.")</x:f>
        <x:v>0</x:v>
      </x:c>
      <x:c r="N890" s="22" t="n">
        <x:f>IF(COUNT(I890:M890)=5,MIN(I890+M890,ROUND(MAX(K890,I890*L890+M890),2)),"n.a.")</x:f>
        <x:v>0</x:v>
      </x:c>
      <x:c r="O890" s="30" t="n">
        <x:f>IF(COUNT($I$887:$I$891)&lt;&gt;5,"n.a.",IF(I890=0,6,IF('Inputs'!$D$5=1,COUNTIFS($I$887:$I$891,"&gt;0",$I$887:$I$891,"&lt;"&amp;I890)+COUNTIFS($I$887:I890,I890),COUNTIFS($I$887:$I$891,"&gt;0",$J$887:$J$891,"&gt;"&amp;J890)+COUNTIFS($I$887:I890,"&gt;0",$J$887:J890,J890))))</x:f>
        <x:v>6</x:v>
      </x:c>
      <x:c r="P890" s="22" t="n">
        <x:f>IF(T890="Ready",MIN(U890,MAX(0,G890-SUMIFS($U$887:$U$891,$O$887:$O$891,"&lt;"&amp;O890))),"n.a.")</x:f>
        <x:v>0</x:v>
      </x:c>
      <x:c r="Q890" s="22" t="n">
        <x:f>IF(T890="Ready",ROUND(N890+P890,2),"n.a.")</x:f>
        <x:v>0</x:v>
      </x:c>
      <x:c r="R890" s="22" t="n">
        <x:f>IF(T890="Ready",ROUND(Q890-M890,2),"n.a.")</x:f>
        <x:v>0</x:v>
      </x:c>
      <x:c r="S890" s="22" t="n">
        <x:f>IF(T890="Ready",MAX(0,ROUND(I890+M890-Q890,2)),"n.a.")</x:f>
        <x:v>0</x:v>
      </x:c>
      <x:c r="T890" s="22" t="str">
        <x:f>IF(AND(COUNT($I$887:$I$891)=5,COUNT(E890:F890)=2),IF(E890&gt;=F890,"Ready","Budget below minima"),"Check inputs")</x:f>
        <x:v>Ready</x:v>
      </x:c>
      <x:c r="U890" s="22" t="n">
        <x:f>IF(COUNT(I890,M890,N890)=3,MAX(0,ROUND(I890+M890-N890,2)),"n.a.")</x:f>
        <x:v>0</x:v>
      </x:c>
    </x:row>
    <x:row r="891" ht="22" customHeight="1">
      <x:c r="A891" s="2"/>
      <x:c r="B891" s="2"/>
      <x:c r="C891" s="27" t="n">
        <x:f>177</x:f>
        <x:v>177</x:v>
      </x:c>
      <x:c r="D891" s="28" t="n">
        <x:f>IF(ISNUMBER('Inputs'!$D$7),EDATE('Inputs'!$D$7,176),"n.a.")</x:f>
        <x:v>51683</x:v>
      </x:c>
      <x:c r="E891" s="26" t="n">
        <x:f>IF('Inputs'!$D$9&lt;&gt;"Ready","n.a.",IF(ISNUMBER('Inputs'!E195),IF('Inputs'!E195&gt;=0,'Inputs'!E195,"n.a."),IF('Inputs'!E195="",'Inputs'!$D$6,"n.a.")))</x:f>
        <x:v>500</x:v>
      </x:c>
      <x:c r="F891" s="22" t="n">
        <x:f>IF(COUNT($N$887:$N$891)=5,SUM($N$887:$N$891),"n.a.")</x:f>
        <x:v>0</x:v>
      </x:c>
      <x:c r="G891" s="22" t="n">
        <x:f>IF(COUNT(E891:F891)=2,MAX(0,E891-F891),"n.a.")</x:f>
        <x:v>500</x:v>
      </x:c>
      <x:c r="H891" s="26" t="str">
        <x:f>'Inputs'!C15</x:f>
        <x:v>Unused 5</x:v>
      </x:c>
      <x:c r="I891" s="26" t="n">
        <x:f>S886</x:f>
        <x:v>0</x:v>
      </x:c>
      <x:c r="J891" s="29" t="n">
        <x:f>IF('Inputs'!$D$9="Ready",'Inputs'!E15,"n.a.")</x:f>
        <x:v>0</x:v>
      </x:c>
      <x:c r="K891" s="26" t="n">
        <x:f>IF('Inputs'!$D$9="Ready",'Inputs'!F15,"n.a.")</x:f>
        <x:v>0</x:v>
      </x:c>
      <x:c r="L891" s="29" t="n">
        <x:f>IF('Inputs'!$D$9="Ready",'Inputs'!G15,"n.a.")</x:f>
        <x:v>0</x:v>
      </x:c>
      <x:c r="M891" s="22" t="n">
        <x:f>IF(COUNT(I891:L891)=4,ROUND(I891*J891/12,2),"n.a.")</x:f>
        <x:v>0</x:v>
      </x:c>
      <x:c r="N891" s="22" t="n">
        <x:f>IF(COUNT(I891:M891)=5,MIN(I891+M891,ROUND(MAX(K891,I891*L891+M891),2)),"n.a.")</x:f>
        <x:v>0</x:v>
      </x:c>
      <x:c r="O891" s="30" t="n">
        <x:f>IF(COUNT($I$887:$I$891)&lt;&gt;5,"n.a.",IF(I891=0,6,IF('Inputs'!$D$5=1,COUNTIFS($I$887:$I$891,"&gt;0",$I$887:$I$891,"&lt;"&amp;I891)+COUNTIFS($I$887:I891,I891),COUNTIFS($I$887:$I$891,"&gt;0",$J$887:$J$891,"&gt;"&amp;J891)+COUNTIFS($I$887:I891,"&gt;0",$J$887:J891,J891))))</x:f>
        <x:v>6</x:v>
      </x:c>
      <x:c r="P891" s="22" t="n">
        <x:f>IF(T891="Ready",MIN(U891,MAX(0,G891-SUMIFS($U$887:$U$891,$O$887:$O$891,"&lt;"&amp;O891))),"n.a.")</x:f>
        <x:v>0</x:v>
      </x:c>
      <x:c r="Q891" s="22" t="n">
        <x:f>IF(T891="Ready",ROUND(N891+P891,2),"n.a.")</x:f>
        <x:v>0</x:v>
      </x:c>
      <x:c r="R891" s="22" t="n">
        <x:f>IF(T891="Ready",ROUND(Q891-M891,2),"n.a.")</x:f>
        <x:v>0</x:v>
      </x:c>
      <x:c r="S891" s="22" t="n">
        <x:f>IF(T891="Ready",MAX(0,ROUND(I891+M891-Q891,2)),"n.a.")</x:f>
        <x:v>0</x:v>
      </x:c>
      <x:c r="T891" s="22" t="str">
        <x:f>IF(AND(COUNT($I$887:$I$891)=5,COUNT(E891:F891)=2),IF(E891&gt;=F891,"Ready","Budget below minima"),"Check inputs")</x:f>
        <x:v>Ready</x:v>
      </x:c>
      <x:c r="U891" s="22" t="n">
        <x:f>IF(COUNT(I891,M891,N891)=3,MAX(0,ROUND(I891+M891-N891,2)),"n.a.")</x:f>
        <x:v>0</x:v>
      </x:c>
    </x:row>
    <x:row r="892" ht="22" customHeight="1">
      <x:c r="A892" s="2"/>
      <x:c r="B892" s="2"/>
      <x:c r="C892" s="27" t="n">
        <x:f>178</x:f>
        <x:v>178</x:v>
      </x:c>
      <x:c r="D892" s="28" t="n">
        <x:f>IF(ISNUMBER('Inputs'!$D$7),EDATE('Inputs'!$D$7,177),"n.a.")</x:f>
        <x:v>51714</x:v>
      </x:c>
      <x:c r="E892" s="26" t="n">
        <x:f>IF('Inputs'!$D$9&lt;&gt;"Ready","n.a.",IF(ISNUMBER('Inputs'!E196),IF('Inputs'!E196&gt;=0,'Inputs'!E196,"n.a."),IF('Inputs'!E196="",'Inputs'!$D$6,"n.a.")))</x:f>
        <x:v>500</x:v>
      </x:c>
      <x:c r="F892" s="22" t="n">
        <x:f>IF(COUNT($N$892:$N$896)=5,SUM($N$892:$N$896),"n.a.")</x:f>
        <x:v>0</x:v>
      </x:c>
      <x:c r="G892" s="22" t="n">
        <x:f>IF(COUNT(E892:F892)=2,MAX(0,E892-F892),"n.a.")</x:f>
        <x:v>500</x:v>
      </x:c>
      <x:c r="H892" s="26" t="str">
        <x:f>'Inputs'!C11</x:f>
        <x:v>Card A</x:v>
      </x:c>
      <x:c r="I892" s="26" t="n">
        <x:f>S887</x:f>
        <x:v>0</x:v>
      </x:c>
      <x:c r="J892" s="29" t="n">
        <x:f>IF('Inputs'!$D$9="Ready",'Inputs'!E11,"n.a.")</x:f>
        <x:v>0.24</x:v>
      </x:c>
      <x:c r="K892" s="26" t="n">
        <x:f>IF('Inputs'!$D$9="Ready",'Inputs'!F11,"n.a.")</x:f>
        <x:v>35</x:v>
      </x:c>
      <x:c r="L892" s="29" t="n">
        <x:f>IF('Inputs'!$D$9="Ready",'Inputs'!G11,"n.a.")</x:f>
        <x:v>0.02</x:v>
      </x:c>
      <x:c r="M892" s="22" t="n">
        <x:f>IF(COUNT(I892:L892)=4,ROUND(I892*J892/12,2),"n.a.")</x:f>
        <x:v>0</x:v>
      </x:c>
      <x:c r="N892" s="22" t="n">
        <x:f>IF(COUNT(I892:M892)=5,MIN(I892+M892,ROUND(MAX(K892,I892*L892+M892),2)),"n.a.")</x:f>
        <x:v>0</x:v>
      </x:c>
      <x:c r="O892" s="30" t="n">
        <x:f>IF(COUNT($I$892:$I$896)&lt;&gt;5,"n.a.",IF(I892=0,6,IF('Inputs'!$D$5=1,COUNTIFS($I$892:$I$896,"&gt;0",$I$892:$I$896,"&lt;"&amp;I892)+COUNTIFS($I$892:I892,I892),COUNTIFS($I$892:$I$896,"&gt;0",$J$892:$J$896,"&gt;"&amp;J892)+COUNTIFS($I$892:I892,"&gt;0",$J$892:J892,J892))))</x:f>
        <x:v>6</x:v>
      </x:c>
      <x:c r="P892" s="22" t="n">
        <x:f>IF(T892="Ready",MIN(U892,MAX(0,G892-SUMIFS($U$892:$U$896,$O$892:$O$896,"&lt;"&amp;O892))),"n.a.")</x:f>
        <x:v>0</x:v>
      </x:c>
      <x:c r="Q892" s="22" t="n">
        <x:f>IF(T892="Ready",ROUND(N892+P892,2),"n.a.")</x:f>
        <x:v>0</x:v>
      </x:c>
      <x:c r="R892" s="22" t="n">
        <x:f>IF(T892="Ready",ROUND(Q892-M892,2),"n.a.")</x:f>
        <x:v>0</x:v>
      </x:c>
      <x:c r="S892" s="22" t="n">
        <x:f>IF(T892="Ready",MAX(0,ROUND(I892+M892-Q892,2)),"n.a.")</x:f>
        <x:v>0</x:v>
      </x:c>
      <x:c r="T892" s="22" t="str">
        <x:f>IF(AND(COUNT($I$892:$I$896)=5,COUNT(E892:F892)=2),IF(E892&gt;=F892,"Ready","Budget below minima"),"Check inputs")</x:f>
        <x:v>Ready</x:v>
      </x:c>
      <x:c r="U892" s="22" t="n">
        <x:f>IF(COUNT(I892,M892,N892)=3,MAX(0,ROUND(I892+M892-N892,2)),"n.a.")</x:f>
        <x:v>0</x:v>
      </x:c>
    </x:row>
    <x:row r="893" ht="22" customHeight="1">
      <x:c r="A893" s="2"/>
      <x:c r="B893" s="2"/>
      <x:c r="C893" s="27" t="n">
        <x:f>178</x:f>
        <x:v>178</x:v>
      </x:c>
      <x:c r="D893" s="28" t="n">
        <x:f>IF(ISNUMBER('Inputs'!$D$7),EDATE('Inputs'!$D$7,177),"n.a.")</x:f>
        <x:v>51714</x:v>
      </x:c>
      <x:c r="E893" s="26" t="n">
        <x:f>IF('Inputs'!$D$9&lt;&gt;"Ready","n.a.",IF(ISNUMBER('Inputs'!E196),IF('Inputs'!E196&gt;=0,'Inputs'!E196,"n.a."),IF('Inputs'!E196="",'Inputs'!$D$6,"n.a.")))</x:f>
        <x:v>500</x:v>
      </x:c>
      <x:c r="F893" s="22" t="n">
        <x:f>IF(COUNT($N$892:$N$896)=5,SUM($N$892:$N$896),"n.a.")</x:f>
        <x:v>0</x:v>
      </x:c>
      <x:c r="G893" s="22" t="n">
        <x:f>IF(COUNT(E893:F893)=2,MAX(0,E893-F893),"n.a.")</x:f>
        <x:v>500</x:v>
      </x:c>
      <x:c r="H893" s="26" t="str">
        <x:f>'Inputs'!C12</x:f>
        <x:v>Card B</x:v>
      </x:c>
      <x:c r="I893" s="26" t="n">
        <x:f>S888</x:f>
        <x:v>0</x:v>
      </x:c>
      <x:c r="J893" s="29" t="n">
        <x:f>IF('Inputs'!$D$9="Ready",'Inputs'!E12,"n.a.")</x:f>
        <x:v>0.18</x:v>
      </x:c>
      <x:c r="K893" s="26" t="n">
        <x:f>IF('Inputs'!$D$9="Ready",'Inputs'!F12,"n.a.")</x:f>
        <x:v>60</x:v>
      </x:c>
      <x:c r="L893" s="29" t="n">
        <x:f>IF('Inputs'!$D$9="Ready",'Inputs'!G12,"n.a.")</x:f>
        <x:v>0.02</x:v>
      </x:c>
      <x:c r="M893" s="22" t="n">
        <x:f>IF(COUNT(I893:L893)=4,ROUND(I893*J893/12,2),"n.a.")</x:f>
        <x:v>0</x:v>
      </x:c>
      <x:c r="N893" s="22" t="n">
        <x:f>IF(COUNT(I893:M893)=5,MIN(I893+M893,ROUND(MAX(K893,I893*L893+M893),2)),"n.a.")</x:f>
        <x:v>0</x:v>
      </x:c>
      <x:c r="O893" s="30" t="n">
        <x:f>IF(COUNT($I$892:$I$896)&lt;&gt;5,"n.a.",IF(I893=0,6,IF('Inputs'!$D$5=1,COUNTIFS($I$892:$I$896,"&gt;0",$I$892:$I$896,"&lt;"&amp;I893)+COUNTIFS($I$892:I893,I893),COUNTIFS($I$892:$I$896,"&gt;0",$J$892:$J$896,"&gt;"&amp;J893)+COUNTIFS($I$892:I893,"&gt;0",$J$892:J893,J893))))</x:f>
        <x:v>6</x:v>
      </x:c>
      <x:c r="P893" s="22" t="n">
        <x:f>IF(T893="Ready",MIN(U893,MAX(0,G893-SUMIFS($U$892:$U$896,$O$892:$O$896,"&lt;"&amp;O893))),"n.a.")</x:f>
        <x:v>0</x:v>
      </x:c>
      <x:c r="Q893" s="22" t="n">
        <x:f>IF(T893="Ready",ROUND(N893+P893,2),"n.a.")</x:f>
        <x:v>0</x:v>
      </x:c>
      <x:c r="R893" s="22" t="n">
        <x:f>IF(T893="Ready",ROUND(Q893-M893,2),"n.a.")</x:f>
        <x:v>0</x:v>
      </x:c>
      <x:c r="S893" s="22" t="n">
        <x:f>IF(T893="Ready",MAX(0,ROUND(I893+M893-Q893,2)),"n.a.")</x:f>
        <x:v>0</x:v>
      </x:c>
      <x:c r="T893" s="22" t="str">
        <x:f>IF(AND(COUNT($I$892:$I$896)=5,COUNT(E893:F893)=2),IF(E893&gt;=F893,"Ready","Budget below minima"),"Check inputs")</x:f>
        <x:v>Ready</x:v>
      </x:c>
      <x:c r="U893" s="22" t="n">
        <x:f>IF(COUNT(I893,M893,N893)=3,MAX(0,ROUND(I893+M893-N893,2)),"n.a.")</x:f>
        <x:v>0</x:v>
      </x:c>
    </x:row>
    <x:row r="894" ht="22" customHeight="1">
      <x:c r="A894" s="2"/>
      <x:c r="B894" s="2"/>
      <x:c r="C894" s="27" t="n">
        <x:f>178</x:f>
        <x:v>178</x:v>
      </x:c>
      <x:c r="D894" s="28" t="n">
        <x:f>IF(ISNUMBER('Inputs'!$D$7),EDATE('Inputs'!$D$7,177),"n.a.")</x:f>
        <x:v>51714</x:v>
      </x:c>
      <x:c r="E894" s="26" t="n">
        <x:f>IF('Inputs'!$D$9&lt;&gt;"Ready","n.a.",IF(ISNUMBER('Inputs'!E196),IF('Inputs'!E196&gt;=0,'Inputs'!E196,"n.a."),IF('Inputs'!E196="",'Inputs'!$D$6,"n.a.")))</x:f>
        <x:v>500</x:v>
      </x:c>
      <x:c r="F894" s="22" t="n">
        <x:f>IF(COUNT($N$892:$N$896)=5,SUM($N$892:$N$896),"n.a.")</x:f>
        <x:v>0</x:v>
      </x:c>
      <x:c r="G894" s="22" t="n">
        <x:f>IF(COUNT(E894:F894)=2,MAX(0,E894-F894),"n.a.")</x:f>
        <x:v>500</x:v>
      </x:c>
      <x:c r="H894" s="26" t="str">
        <x:f>'Inputs'!C13</x:f>
        <x:v>Loan C</x:v>
      </x:c>
      <x:c r="I894" s="26" t="n">
        <x:f>S889</x:f>
        <x:v>0</x:v>
      </x:c>
      <x:c r="J894" s="29" t="n">
        <x:f>IF('Inputs'!$D$9="Ready",'Inputs'!E13,"n.a.")</x:f>
        <x:v>0.08</x:v>
      </x:c>
      <x:c r="K894" s="26" t="n">
        <x:f>IF('Inputs'!$D$9="Ready",'Inputs'!F13,"n.a.")</x:f>
        <x:v>150</x:v>
      </x:c>
      <x:c r="L894" s="29" t="n">
        <x:f>IF('Inputs'!$D$9="Ready",'Inputs'!G13,"n.a.")</x:f>
        <x:v>0</x:v>
      </x:c>
      <x:c r="M894" s="22" t="n">
        <x:f>IF(COUNT(I894:L894)=4,ROUND(I894*J894/12,2),"n.a.")</x:f>
        <x:v>0</x:v>
      </x:c>
      <x:c r="N894" s="22" t="n">
        <x:f>IF(COUNT(I894:M894)=5,MIN(I894+M894,ROUND(MAX(K894,I894*L894+M894),2)),"n.a.")</x:f>
        <x:v>0</x:v>
      </x:c>
      <x:c r="O894" s="30" t="n">
        <x:f>IF(COUNT($I$892:$I$896)&lt;&gt;5,"n.a.",IF(I894=0,6,IF('Inputs'!$D$5=1,COUNTIFS($I$892:$I$896,"&gt;0",$I$892:$I$896,"&lt;"&amp;I894)+COUNTIFS($I$892:I894,I894),COUNTIFS($I$892:$I$896,"&gt;0",$J$892:$J$896,"&gt;"&amp;J894)+COUNTIFS($I$892:I894,"&gt;0",$J$892:J894,J894))))</x:f>
        <x:v>6</x:v>
      </x:c>
      <x:c r="P894" s="22" t="n">
        <x:f>IF(T894="Ready",MIN(U894,MAX(0,G894-SUMIFS($U$892:$U$896,$O$892:$O$896,"&lt;"&amp;O894))),"n.a.")</x:f>
        <x:v>0</x:v>
      </x:c>
      <x:c r="Q894" s="22" t="n">
        <x:f>IF(T894="Ready",ROUND(N894+P894,2),"n.a.")</x:f>
        <x:v>0</x:v>
      </x:c>
      <x:c r="R894" s="22" t="n">
        <x:f>IF(T894="Ready",ROUND(Q894-M894,2),"n.a.")</x:f>
        <x:v>0</x:v>
      </x:c>
      <x:c r="S894" s="22" t="n">
        <x:f>IF(T894="Ready",MAX(0,ROUND(I894+M894-Q894,2)),"n.a.")</x:f>
        <x:v>0</x:v>
      </x:c>
      <x:c r="T894" s="22" t="str">
        <x:f>IF(AND(COUNT($I$892:$I$896)=5,COUNT(E894:F894)=2),IF(E894&gt;=F894,"Ready","Budget below minima"),"Check inputs")</x:f>
        <x:v>Ready</x:v>
      </x:c>
      <x:c r="U894" s="22" t="n">
        <x:f>IF(COUNT(I894,M894,N894)=3,MAX(0,ROUND(I894+M894-N894,2)),"n.a.")</x:f>
        <x:v>0</x:v>
      </x:c>
    </x:row>
    <x:row r="895" ht="22" customHeight="1">
      <x:c r="A895" s="2"/>
      <x:c r="B895" s="2"/>
      <x:c r="C895" s="27" t="n">
        <x:f>178</x:f>
        <x:v>178</x:v>
      </x:c>
      <x:c r="D895" s="28" t="n">
        <x:f>IF(ISNUMBER('Inputs'!$D$7),EDATE('Inputs'!$D$7,177),"n.a.")</x:f>
        <x:v>51714</x:v>
      </x:c>
      <x:c r="E895" s="26" t="n">
        <x:f>IF('Inputs'!$D$9&lt;&gt;"Ready","n.a.",IF(ISNUMBER('Inputs'!E196),IF('Inputs'!E196&gt;=0,'Inputs'!E196,"n.a."),IF('Inputs'!E196="",'Inputs'!$D$6,"n.a.")))</x:f>
        <x:v>500</x:v>
      </x:c>
      <x:c r="F895" s="22" t="n">
        <x:f>IF(COUNT($N$892:$N$896)=5,SUM($N$892:$N$896),"n.a.")</x:f>
        <x:v>0</x:v>
      </x:c>
      <x:c r="G895" s="22" t="n">
        <x:f>IF(COUNT(E895:F895)=2,MAX(0,E895-F895),"n.a.")</x:f>
        <x:v>500</x:v>
      </x:c>
      <x:c r="H895" s="26" t="str">
        <x:f>'Inputs'!C14</x:f>
        <x:v>Unused 4</x:v>
      </x:c>
      <x:c r="I895" s="26" t="n">
        <x:f>S890</x:f>
        <x:v>0</x:v>
      </x:c>
      <x:c r="J895" s="29" t="n">
        <x:f>IF('Inputs'!$D$9="Ready",'Inputs'!E14,"n.a.")</x:f>
        <x:v>0</x:v>
      </x:c>
      <x:c r="K895" s="26" t="n">
        <x:f>IF('Inputs'!$D$9="Ready",'Inputs'!F14,"n.a.")</x:f>
        <x:v>0</x:v>
      </x:c>
      <x:c r="L895" s="29" t="n">
        <x:f>IF('Inputs'!$D$9="Ready",'Inputs'!G14,"n.a.")</x:f>
        <x:v>0</x:v>
      </x:c>
      <x:c r="M895" s="22" t="n">
        <x:f>IF(COUNT(I895:L895)=4,ROUND(I895*J895/12,2),"n.a.")</x:f>
        <x:v>0</x:v>
      </x:c>
      <x:c r="N895" s="22" t="n">
        <x:f>IF(COUNT(I895:M895)=5,MIN(I895+M895,ROUND(MAX(K895,I895*L895+M895),2)),"n.a.")</x:f>
        <x:v>0</x:v>
      </x:c>
      <x:c r="O895" s="30" t="n">
        <x:f>IF(COUNT($I$892:$I$896)&lt;&gt;5,"n.a.",IF(I895=0,6,IF('Inputs'!$D$5=1,COUNTIFS($I$892:$I$896,"&gt;0",$I$892:$I$896,"&lt;"&amp;I895)+COUNTIFS($I$892:I895,I895),COUNTIFS($I$892:$I$896,"&gt;0",$J$892:$J$896,"&gt;"&amp;J895)+COUNTIFS($I$892:I895,"&gt;0",$J$892:J895,J895))))</x:f>
        <x:v>6</x:v>
      </x:c>
      <x:c r="P895" s="22" t="n">
        <x:f>IF(T895="Ready",MIN(U895,MAX(0,G895-SUMIFS($U$892:$U$896,$O$892:$O$896,"&lt;"&amp;O895))),"n.a.")</x:f>
        <x:v>0</x:v>
      </x:c>
      <x:c r="Q895" s="22" t="n">
        <x:f>IF(T895="Ready",ROUND(N895+P895,2),"n.a.")</x:f>
        <x:v>0</x:v>
      </x:c>
      <x:c r="R895" s="22" t="n">
        <x:f>IF(T895="Ready",ROUND(Q895-M895,2),"n.a.")</x:f>
        <x:v>0</x:v>
      </x:c>
      <x:c r="S895" s="22" t="n">
        <x:f>IF(T895="Ready",MAX(0,ROUND(I895+M895-Q895,2)),"n.a.")</x:f>
        <x:v>0</x:v>
      </x:c>
      <x:c r="T895" s="22" t="str">
        <x:f>IF(AND(COUNT($I$892:$I$896)=5,COUNT(E895:F895)=2),IF(E895&gt;=F895,"Ready","Budget below minima"),"Check inputs")</x:f>
        <x:v>Ready</x:v>
      </x:c>
      <x:c r="U895" s="22" t="n">
        <x:f>IF(COUNT(I895,M895,N895)=3,MAX(0,ROUND(I895+M895-N895,2)),"n.a.")</x:f>
        <x:v>0</x:v>
      </x:c>
    </x:row>
    <x:row r="896" ht="22" customHeight="1">
      <x:c r="A896" s="2"/>
      <x:c r="B896" s="2"/>
      <x:c r="C896" s="27" t="n">
        <x:f>178</x:f>
        <x:v>178</x:v>
      </x:c>
      <x:c r="D896" s="28" t="n">
        <x:f>IF(ISNUMBER('Inputs'!$D$7),EDATE('Inputs'!$D$7,177),"n.a.")</x:f>
        <x:v>51714</x:v>
      </x:c>
      <x:c r="E896" s="26" t="n">
        <x:f>IF('Inputs'!$D$9&lt;&gt;"Ready","n.a.",IF(ISNUMBER('Inputs'!E196),IF('Inputs'!E196&gt;=0,'Inputs'!E196,"n.a."),IF('Inputs'!E196="",'Inputs'!$D$6,"n.a.")))</x:f>
        <x:v>500</x:v>
      </x:c>
      <x:c r="F896" s="22" t="n">
        <x:f>IF(COUNT($N$892:$N$896)=5,SUM($N$892:$N$896),"n.a.")</x:f>
        <x:v>0</x:v>
      </x:c>
      <x:c r="G896" s="22" t="n">
        <x:f>IF(COUNT(E896:F896)=2,MAX(0,E896-F896),"n.a.")</x:f>
        <x:v>500</x:v>
      </x:c>
      <x:c r="H896" s="26" t="str">
        <x:f>'Inputs'!C15</x:f>
        <x:v>Unused 5</x:v>
      </x:c>
      <x:c r="I896" s="26" t="n">
        <x:f>S891</x:f>
        <x:v>0</x:v>
      </x:c>
      <x:c r="J896" s="29" t="n">
        <x:f>IF('Inputs'!$D$9="Ready",'Inputs'!E15,"n.a.")</x:f>
        <x:v>0</x:v>
      </x:c>
      <x:c r="K896" s="26" t="n">
        <x:f>IF('Inputs'!$D$9="Ready",'Inputs'!F15,"n.a.")</x:f>
        <x:v>0</x:v>
      </x:c>
      <x:c r="L896" s="29" t="n">
        <x:f>IF('Inputs'!$D$9="Ready",'Inputs'!G15,"n.a.")</x:f>
        <x:v>0</x:v>
      </x:c>
      <x:c r="M896" s="22" t="n">
        <x:f>IF(COUNT(I896:L896)=4,ROUND(I896*J896/12,2),"n.a.")</x:f>
        <x:v>0</x:v>
      </x:c>
      <x:c r="N896" s="22" t="n">
        <x:f>IF(COUNT(I896:M896)=5,MIN(I896+M896,ROUND(MAX(K896,I896*L896+M896),2)),"n.a.")</x:f>
        <x:v>0</x:v>
      </x:c>
      <x:c r="O896" s="30" t="n">
        <x:f>IF(COUNT($I$892:$I$896)&lt;&gt;5,"n.a.",IF(I896=0,6,IF('Inputs'!$D$5=1,COUNTIFS($I$892:$I$896,"&gt;0",$I$892:$I$896,"&lt;"&amp;I896)+COUNTIFS($I$892:I896,I896),COUNTIFS($I$892:$I$896,"&gt;0",$J$892:$J$896,"&gt;"&amp;J896)+COUNTIFS($I$892:I896,"&gt;0",$J$892:J896,J896))))</x:f>
        <x:v>6</x:v>
      </x:c>
      <x:c r="P896" s="22" t="n">
        <x:f>IF(T896="Ready",MIN(U896,MAX(0,G896-SUMIFS($U$892:$U$896,$O$892:$O$896,"&lt;"&amp;O896))),"n.a.")</x:f>
        <x:v>0</x:v>
      </x:c>
      <x:c r="Q896" s="22" t="n">
        <x:f>IF(T896="Ready",ROUND(N896+P896,2),"n.a.")</x:f>
        <x:v>0</x:v>
      </x:c>
      <x:c r="R896" s="22" t="n">
        <x:f>IF(T896="Ready",ROUND(Q896-M896,2),"n.a.")</x:f>
        <x:v>0</x:v>
      </x:c>
      <x:c r="S896" s="22" t="n">
        <x:f>IF(T896="Ready",MAX(0,ROUND(I896+M896-Q896,2)),"n.a.")</x:f>
        <x:v>0</x:v>
      </x:c>
      <x:c r="T896" s="22" t="str">
        <x:f>IF(AND(COUNT($I$892:$I$896)=5,COUNT(E896:F896)=2),IF(E896&gt;=F896,"Ready","Budget below minima"),"Check inputs")</x:f>
        <x:v>Ready</x:v>
      </x:c>
      <x:c r="U896" s="22" t="n">
        <x:f>IF(COUNT(I896,M896,N896)=3,MAX(0,ROUND(I896+M896-N896,2)),"n.a.")</x:f>
        <x:v>0</x:v>
      </x:c>
    </x:row>
    <x:row r="897" ht="22" customHeight="1">
      <x:c r="A897" s="2"/>
      <x:c r="B897" s="2"/>
      <x:c r="C897" s="27" t="n">
        <x:f>179</x:f>
        <x:v>179</x:v>
      </x:c>
      <x:c r="D897" s="28" t="n">
        <x:f>IF(ISNUMBER('Inputs'!$D$7),EDATE('Inputs'!$D$7,178),"n.a.")</x:f>
        <x:v>51745</x:v>
      </x:c>
      <x:c r="E897" s="26" t="n">
        <x:f>IF('Inputs'!$D$9&lt;&gt;"Ready","n.a.",IF(ISNUMBER('Inputs'!E197),IF('Inputs'!E197&gt;=0,'Inputs'!E197,"n.a."),IF('Inputs'!E197="",'Inputs'!$D$6,"n.a.")))</x:f>
        <x:v>500</x:v>
      </x:c>
      <x:c r="F897" s="22" t="n">
        <x:f>IF(COUNT($N$897:$N$901)=5,SUM($N$897:$N$901),"n.a.")</x:f>
        <x:v>0</x:v>
      </x:c>
      <x:c r="G897" s="22" t="n">
        <x:f>IF(COUNT(E897:F897)=2,MAX(0,E897-F897),"n.a.")</x:f>
        <x:v>500</x:v>
      </x:c>
      <x:c r="H897" s="26" t="str">
        <x:f>'Inputs'!C11</x:f>
        <x:v>Card A</x:v>
      </x:c>
      <x:c r="I897" s="26" t="n">
        <x:f>S892</x:f>
        <x:v>0</x:v>
      </x:c>
      <x:c r="J897" s="29" t="n">
        <x:f>IF('Inputs'!$D$9="Ready",'Inputs'!E11,"n.a.")</x:f>
        <x:v>0.24</x:v>
      </x:c>
      <x:c r="K897" s="26" t="n">
        <x:f>IF('Inputs'!$D$9="Ready",'Inputs'!F11,"n.a.")</x:f>
        <x:v>35</x:v>
      </x:c>
      <x:c r="L897" s="29" t="n">
        <x:f>IF('Inputs'!$D$9="Ready",'Inputs'!G11,"n.a.")</x:f>
        <x:v>0.02</x:v>
      </x:c>
      <x:c r="M897" s="22" t="n">
        <x:f>IF(COUNT(I897:L897)=4,ROUND(I897*J897/12,2),"n.a.")</x:f>
        <x:v>0</x:v>
      </x:c>
      <x:c r="N897" s="22" t="n">
        <x:f>IF(COUNT(I897:M897)=5,MIN(I897+M897,ROUND(MAX(K897,I897*L897+M897),2)),"n.a.")</x:f>
        <x:v>0</x:v>
      </x:c>
      <x:c r="O897" s="30" t="n">
        <x:f>IF(COUNT($I$897:$I$901)&lt;&gt;5,"n.a.",IF(I897=0,6,IF('Inputs'!$D$5=1,COUNTIFS($I$897:$I$901,"&gt;0",$I$897:$I$901,"&lt;"&amp;I897)+COUNTIFS($I$897:I897,I897),COUNTIFS($I$897:$I$901,"&gt;0",$J$897:$J$901,"&gt;"&amp;J897)+COUNTIFS($I$897:I897,"&gt;0",$J$897:J897,J897))))</x:f>
        <x:v>6</x:v>
      </x:c>
      <x:c r="P897" s="22" t="n">
        <x:f>IF(T897="Ready",MIN(U897,MAX(0,G897-SUMIFS($U$897:$U$901,$O$897:$O$901,"&lt;"&amp;O897))),"n.a.")</x:f>
        <x:v>0</x:v>
      </x:c>
      <x:c r="Q897" s="22" t="n">
        <x:f>IF(T897="Ready",ROUND(N897+P897,2),"n.a.")</x:f>
        <x:v>0</x:v>
      </x:c>
      <x:c r="R897" s="22" t="n">
        <x:f>IF(T897="Ready",ROUND(Q897-M897,2),"n.a.")</x:f>
        <x:v>0</x:v>
      </x:c>
      <x:c r="S897" s="22" t="n">
        <x:f>IF(T897="Ready",MAX(0,ROUND(I897+M897-Q897,2)),"n.a.")</x:f>
        <x:v>0</x:v>
      </x:c>
      <x:c r="T897" s="22" t="str">
        <x:f>IF(AND(COUNT($I$897:$I$901)=5,COUNT(E897:F897)=2),IF(E897&gt;=F897,"Ready","Budget below minima"),"Check inputs")</x:f>
        <x:v>Ready</x:v>
      </x:c>
      <x:c r="U897" s="22" t="n">
        <x:f>IF(COUNT(I897,M897,N897)=3,MAX(0,ROUND(I897+M897-N897,2)),"n.a.")</x:f>
        <x:v>0</x:v>
      </x:c>
    </x:row>
    <x:row r="898" ht="22" customHeight="1">
      <x:c r="A898" s="2"/>
      <x:c r="B898" s="2"/>
      <x:c r="C898" s="27" t="n">
        <x:f>179</x:f>
        <x:v>179</x:v>
      </x:c>
      <x:c r="D898" s="28" t="n">
        <x:f>IF(ISNUMBER('Inputs'!$D$7),EDATE('Inputs'!$D$7,178),"n.a.")</x:f>
        <x:v>51745</x:v>
      </x:c>
      <x:c r="E898" s="26" t="n">
        <x:f>IF('Inputs'!$D$9&lt;&gt;"Ready","n.a.",IF(ISNUMBER('Inputs'!E197),IF('Inputs'!E197&gt;=0,'Inputs'!E197,"n.a."),IF('Inputs'!E197="",'Inputs'!$D$6,"n.a.")))</x:f>
        <x:v>500</x:v>
      </x:c>
      <x:c r="F898" s="22" t="n">
        <x:f>IF(COUNT($N$897:$N$901)=5,SUM($N$897:$N$901),"n.a.")</x:f>
        <x:v>0</x:v>
      </x:c>
      <x:c r="G898" s="22" t="n">
        <x:f>IF(COUNT(E898:F898)=2,MAX(0,E898-F898),"n.a.")</x:f>
        <x:v>500</x:v>
      </x:c>
      <x:c r="H898" s="26" t="str">
        <x:f>'Inputs'!C12</x:f>
        <x:v>Card B</x:v>
      </x:c>
      <x:c r="I898" s="26" t="n">
        <x:f>S893</x:f>
        <x:v>0</x:v>
      </x:c>
      <x:c r="J898" s="29" t="n">
        <x:f>IF('Inputs'!$D$9="Ready",'Inputs'!E12,"n.a.")</x:f>
        <x:v>0.18</x:v>
      </x:c>
      <x:c r="K898" s="26" t="n">
        <x:f>IF('Inputs'!$D$9="Ready",'Inputs'!F12,"n.a.")</x:f>
        <x:v>60</x:v>
      </x:c>
      <x:c r="L898" s="29" t="n">
        <x:f>IF('Inputs'!$D$9="Ready",'Inputs'!G12,"n.a.")</x:f>
        <x:v>0.02</x:v>
      </x:c>
      <x:c r="M898" s="22" t="n">
        <x:f>IF(COUNT(I898:L898)=4,ROUND(I898*J898/12,2),"n.a.")</x:f>
        <x:v>0</x:v>
      </x:c>
      <x:c r="N898" s="22" t="n">
        <x:f>IF(COUNT(I898:M898)=5,MIN(I898+M898,ROUND(MAX(K898,I898*L898+M898),2)),"n.a.")</x:f>
        <x:v>0</x:v>
      </x:c>
      <x:c r="O898" s="30" t="n">
        <x:f>IF(COUNT($I$897:$I$901)&lt;&gt;5,"n.a.",IF(I898=0,6,IF('Inputs'!$D$5=1,COUNTIFS($I$897:$I$901,"&gt;0",$I$897:$I$901,"&lt;"&amp;I898)+COUNTIFS($I$897:I898,I898),COUNTIFS($I$897:$I$901,"&gt;0",$J$897:$J$901,"&gt;"&amp;J898)+COUNTIFS($I$897:I898,"&gt;0",$J$897:J898,J898))))</x:f>
        <x:v>6</x:v>
      </x:c>
      <x:c r="P898" s="22" t="n">
        <x:f>IF(T898="Ready",MIN(U898,MAX(0,G898-SUMIFS($U$897:$U$901,$O$897:$O$901,"&lt;"&amp;O898))),"n.a.")</x:f>
        <x:v>0</x:v>
      </x:c>
      <x:c r="Q898" s="22" t="n">
        <x:f>IF(T898="Ready",ROUND(N898+P898,2),"n.a.")</x:f>
        <x:v>0</x:v>
      </x:c>
      <x:c r="R898" s="22" t="n">
        <x:f>IF(T898="Ready",ROUND(Q898-M898,2),"n.a.")</x:f>
        <x:v>0</x:v>
      </x:c>
      <x:c r="S898" s="22" t="n">
        <x:f>IF(T898="Ready",MAX(0,ROUND(I898+M898-Q898,2)),"n.a.")</x:f>
        <x:v>0</x:v>
      </x:c>
      <x:c r="T898" s="22" t="str">
        <x:f>IF(AND(COUNT($I$897:$I$901)=5,COUNT(E898:F898)=2),IF(E898&gt;=F898,"Ready","Budget below minima"),"Check inputs")</x:f>
        <x:v>Ready</x:v>
      </x:c>
      <x:c r="U898" s="22" t="n">
        <x:f>IF(COUNT(I898,M898,N898)=3,MAX(0,ROUND(I898+M898-N898,2)),"n.a.")</x:f>
        <x:v>0</x:v>
      </x:c>
    </x:row>
    <x:row r="899" ht="22" customHeight="1">
      <x:c r="A899" s="2"/>
      <x:c r="B899" s="2"/>
      <x:c r="C899" s="27" t="n">
        <x:f>179</x:f>
        <x:v>179</x:v>
      </x:c>
      <x:c r="D899" s="28" t="n">
        <x:f>IF(ISNUMBER('Inputs'!$D$7),EDATE('Inputs'!$D$7,178),"n.a.")</x:f>
        <x:v>51745</x:v>
      </x:c>
      <x:c r="E899" s="26" t="n">
        <x:f>IF('Inputs'!$D$9&lt;&gt;"Ready","n.a.",IF(ISNUMBER('Inputs'!E197),IF('Inputs'!E197&gt;=0,'Inputs'!E197,"n.a."),IF('Inputs'!E197="",'Inputs'!$D$6,"n.a.")))</x:f>
        <x:v>500</x:v>
      </x:c>
      <x:c r="F899" s="22" t="n">
        <x:f>IF(COUNT($N$897:$N$901)=5,SUM($N$897:$N$901),"n.a.")</x:f>
        <x:v>0</x:v>
      </x:c>
      <x:c r="G899" s="22" t="n">
        <x:f>IF(COUNT(E899:F899)=2,MAX(0,E899-F899),"n.a.")</x:f>
        <x:v>500</x:v>
      </x:c>
      <x:c r="H899" s="26" t="str">
        <x:f>'Inputs'!C13</x:f>
        <x:v>Loan C</x:v>
      </x:c>
      <x:c r="I899" s="26" t="n">
        <x:f>S894</x:f>
        <x:v>0</x:v>
      </x:c>
      <x:c r="J899" s="29" t="n">
        <x:f>IF('Inputs'!$D$9="Ready",'Inputs'!E13,"n.a.")</x:f>
        <x:v>0.08</x:v>
      </x:c>
      <x:c r="K899" s="26" t="n">
        <x:f>IF('Inputs'!$D$9="Ready",'Inputs'!F13,"n.a.")</x:f>
        <x:v>150</x:v>
      </x:c>
      <x:c r="L899" s="29" t="n">
        <x:f>IF('Inputs'!$D$9="Ready",'Inputs'!G13,"n.a.")</x:f>
        <x:v>0</x:v>
      </x:c>
      <x:c r="M899" s="22" t="n">
        <x:f>IF(COUNT(I899:L899)=4,ROUND(I899*J899/12,2),"n.a.")</x:f>
        <x:v>0</x:v>
      </x:c>
      <x:c r="N899" s="22" t="n">
        <x:f>IF(COUNT(I899:M899)=5,MIN(I899+M899,ROUND(MAX(K899,I899*L899+M899),2)),"n.a.")</x:f>
        <x:v>0</x:v>
      </x:c>
      <x:c r="O899" s="30" t="n">
        <x:f>IF(COUNT($I$897:$I$901)&lt;&gt;5,"n.a.",IF(I899=0,6,IF('Inputs'!$D$5=1,COUNTIFS($I$897:$I$901,"&gt;0",$I$897:$I$901,"&lt;"&amp;I899)+COUNTIFS($I$897:I899,I899),COUNTIFS($I$897:$I$901,"&gt;0",$J$897:$J$901,"&gt;"&amp;J899)+COUNTIFS($I$897:I899,"&gt;0",$J$897:J899,J899))))</x:f>
        <x:v>6</x:v>
      </x:c>
      <x:c r="P899" s="22" t="n">
        <x:f>IF(T899="Ready",MIN(U899,MAX(0,G899-SUMIFS($U$897:$U$901,$O$897:$O$901,"&lt;"&amp;O899))),"n.a.")</x:f>
        <x:v>0</x:v>
      </x:c>
      <x:c r="Q899" s="22" t="n">
        <x:f>IF(T899="Ready",ROUND(N899+P899,2),"n.a.")</x:f>
        <x:v>0</x:v>
      </x:c>
      <x:c r="R899" s="22" t="n">
        <x:f>IF(T899="Ready",ROUND(Q899-M899,2),"n.a.")</x:f>
        <x:v>0</x:v>
      </x:c>
      <x:c r="S899" s="22" t="n">
        <x:f>IF(T899="Ready",MAX(0,ROUND(I899+M899-Q899,2)),"n.a.")</x:f>
        <x:v>0</x:v>
      </x:c>
      <x:c r="T899" s="22" t="str">
        <x:f>IF(AND(COUNT($I$897:$I$901)=5,COUNT(E899:F899)=2),IF(E899&gt;=F899,"Ready","Budget below minima"),"Check inputs")</x:f>
        <x:v>Ready</x:v>
      </x:c>
      <x:c r="U899" s="22" t="n">
        <x:f>IF(COUNT(I899,M899,N899)=3,MAX(0,ROUND(I899+M899-N899,2)),"n.a.")</x:f>
        <x:v>0</x:v>
      </x:c>
    </x:row>
    <x:row r="900" ht="22" customHeight="1">
      <x:c r="A900" s="2"/>
      <x:c r="B900" s="2"/>
      <x:c r="C900" s="27" t="n">
        <x:f>179</x:f>
        <x:v>179</x:v>
      </x:c>
      <x:c r="D900" s="28" t="n">
        <x:f>IF(ISNUMBER('Inputs'!$D$7),EDATE('Inputs'!$D$7,178),"n.a.")</x:f>
        <x:v>51745</x:v>
      </x:c>
      <x:c r="E900" s="26" t="n">
        <x:f>IF('Inputs'!$D$9&lt;&gt;"Ready","n.a.",IF(ISNUMBER('Inputs'!E197),IF('Inputs'!E197&gt;=0,'Inputs'!E197,"n.a."),IF('Inputs'!E197="",'Inputs'!$D$6,"n.a.")))</x:f>
        <x:v>500</x:v>
      </x:c>
      <x:c r="F900" s="22" t="n">
        <x:f>IF(COUNT($N$897:$N$901)=5,SUM($N$897:$N$901),"n.a.")</x:f>
        <x:v>0</x:v>
      </x:c>
      <x:c r="G900" s="22" t="n">
        <x:f>IF(COUNT(E900:F900)=2,MAX(0,E900-F900),"n.a.")</x:f>
        <x:v>500</x:v>
      </x:c>
      <x:c r="H900" s="26" t="str">
        <x:f>'Inputs'!C14</x:f>
        <x:v>Unused 4</x:v>
      </x:c>
      <x:c r="I900" s="26" t="n">
        <x:f>S895</x:f>
        <x:v>0</x:v>
      </x:c>
      <x:c r="J900" s="29" t="n">
        <x:f>IF('Inputs'!$D$9="Ready",'Inputs'!E14,"n.a.")</x:f>
        <x:v>0</x:v>
      </x:c>
      <x:c r="K900" s="26" t="n">
        <x:f>IF('Inputs'!$D$9="Ready",'Inputs'!F14,"n.a.")</x:f>
        <x:v>0</x:v>
      </x:c>
      <x:c r="L900" s="29" t="n">
        <x:f>IF('Inputs'!$D$9="Ready",'Inputs'!G14,"n.a.")</x:f>
        <x:v>0</x:v>
      </x:c>
      <x:c r="M900" s="22" t="n">
        <x:f>IF(COUNT(I900:L900)=4,ROUND(I900*J900/12,2),"n.a.")</x:f>
        <x:v>0</x:v>
      </x:c>
      <x:c r="N900" s="22" t="n">
        <x:f>IF(COUNT(I900:M900)=5,MIN(I900+M900,ROUND(MAX(K900,I900*L900+M900),2)),"n.a.")</x:f>
        <x:v>0</x:v>
      </x:c>
      <x:c r="O900" s="30" t="n">
        <x:f>IF(COUNT($I$897:$I$901)&lt;&gt;5,"n.a.",IF(I900=0,6,IF('Inputs'!$D$5=1,COUNTIFS($I$897:$I$901,"&gt;0",$I$897:$I$901,"&lt;"&amp;I900)+COUNTIFS($I$897:I900,I900),COUNTIFS($I$897:$I$901,"&gt;0",$J$897:$J$901,"&gt;"&amp;J900)+COUNTIFS($I$897:I900,"&gt;0",$J$897:J900,J900))))</x:f>
        <x:v>6</x:v>
      </x:c>
      <x:c r="P900" s="22" t="n">
        <x:f>IF(T900="Ready",MIN(U900,MAX(0,G900-SUMIFS($U$897:$U$901,$O$897:$O$901,"&lt;"&amp;O900))),"n.a.")</x:f>
        <x:v>0</x:v>
      </x:c>
      <x:c r="Q900" s="22" t="n">
        <x:f>IF(T900="Ready",ROUND(N900+P900,2),"n.a.")</x:f>
        <x:v>0</x:v>
      </x:c>
      <x:c r="R900" s="22" t="n">
        <x:f>IF(T900="Ready",ROUND(Q900-M900,2),"n.a.")</x:f>
        <x:v>0</x:v>
      </x:c>
      <x:c r="S900" s="22" t="n">
        <x:f>IF(T900="Ready",MAX(0,ROUND(I900+M900-Q900,2)),"n.a.")</x:f>
        <x:v>0</x:v>
      </x:c>
      <x:c r="T900" s="22" t="str">
        <x:f>IF(AND(COUNT($I$897:$I$901)=5,COUNT(E900:F900)=2),IF(E900&gt;=F900,"Ready","Budget below minima"),"Check inputs")</x:f>
        <x:v>Ready</x:v>
      </x:c>
      <x:c r="U900" s="22" t="n">
        <x:f>IF(COUNT(I900,M900,N900)=3,MAX(0,ROUND(I900+M900-N900,2)),"n.a.")</x:f>
        <x:v>0</x:v>
      </x:c>
    </x:row>
    <x:row r="901" ht="22" customHeight="1">
      <x:c r="A901" s="2"/>
      <x:c r="B901" s="2"/>
      <x:c r="C901" s="27" t="n">
        <x:f>179</x:f>
        <x:v>179</x:v>
      </x:c>
      <x:c r="D901" s="28" t="n">
        <x:f>IF(ISNUMBER('Inputs'!$D$7),EDATE('Inputs'!$D$7,178),"n.a.")</x:f>
        <x:v>51745</x:v>
      </x:c>
      <x:c r="E901" s="26" t="n">
        <x:f>IF('Inputs'!$D$9&lt;&gt;"Ready","n.a.",IF(ISNUMBER('Inputs'!E197),IF('Inputs'!E197&gt;=0,'Inputs'!E197,"n.a."),IF('Inputs'!E197="",'Inputs'!$D$6,"n.a.")))</x:f>
        <x:v>500</x:v>
      </x:c>
      <x:c r="F901" s="22" t="n">
        <x:f>IF(COUNT($N$897:$N$901)=5,SUM($N$897:$N$901),"n.a.")</x:f>
        <x:v>0</x:v>
      </x:c>
      <x:c r="G901" s="22" t="n">
        <x:f>IF(COUNT(E901:F901)=2,MAX(0,E901-F901),"n.a.")</x:f>
        <x:v>500</x:v>
      </x:c>
      <x:c r="H901" s="26" t="str">
        <x:f>'Inputs'!C15</x:f>
        <x:v>Unused 5</x:v>
      </x:c>
      <x:c r="I901" s="26" t="n">
        <x:f>S896</x:f>
        <x:v>0</x:v>
      </x:c>
      <x:c r="J901" s="29" t="n">
        <x:f>IF('Inputs'!$D$9="Ready",'Inputs'!E15,"n.a.")</x:f>
        <x:v>0</x:v>
      </x:c>
      <x:c r="K901" s="26" t="n">
        <x:f>IF('Inputs'!$D$9="Ready",'Inputs'!F15,"n.a.")</x:f>
        <x:v>0</x:v>
      </x:c>
      <x:c r="L901" s="29" t="n">
        <x:f>IF('Inputs'!$D$9="Ready",'Inputs'!G15,"n.a.")</x:f>
        <x:v>0</x:v>
      </x:c>
      <x:c r="M901" s="22" t="n">
        <x:f>IF(COUNT(I901:L901)=4,ROUND(I901*J901/12,2),"n.a.")</x:f>
        <x:v>0</x:v>
      </x:c>
      <x:c r="N901" s="22" t="n">
        <x:f>IF(COUNT(I901:M901)=5,MIN(I901+M901,ROUND(MAX(K901,I901*L901+M901),2)),"n.a.")</x:f>
        <x:v>0</x:v>
      </x:c>
      <x:c r="O901" s="30" t="n">
        <x:f>IF(COUNT($I$897:$I$901)&lt;&gt;5,"n.a.",IF(I901=0,6,IF('Inputs'!$D$5=1,COUNTIFS($I$897:$I$901,"&gt;0",$I$897:$I$901,"&lt;"&amp;I901)+COUNTIFS($I$897:I901,I901),COUNTIFS($I$897:$I$901,"&gt;0",$J$897:$J$901,"&gt;"&amp;J901)+COUNTIFS($I$897:I901,"&gt;0",$J$897:J901,J901))))</x:f>
        <x:v>6</x:v>
      </x:c>
      <x:c r="P901" s="22" t="n">
        <x:f>IF(T901="Ready",MIN(U901,MAX(0,G901-SUMIFS($U$897:$U$901,$O$897:$O$901,"&lt;"&amp;O901))),"n.a.")</x:f>
        <x:v>0</x:v>
      </x:c>
      <x:c r="Q901" s="22" t="n">
        <x:f>IF(T901="Ready",ROUND(N901+P901,2),"n.a.")</x:f>
        <x:v>0</x:v>
      </x:c>
      <x:c r="R901" s="22" t="n">
        <x:f>IF(T901="Ready",ROUND(Q901-M901,2),"n.a.")</x:f>
        <x:v>0</x:v>
      </x:c>
      <x:c r="S901" s="22" t="n">
        <x:f>IF(T901="Ready",MAX(0,ROUND(I901+M901-Q901,2)),"n.a.")</x:f>
        <x:v>0</x:v>
      </x:c>
      <x:c r="T901" s="22" t="str">
        <x:f>IF(AND(COUNT($I$897:$I$901)=5,COUNT(E901:F901)=2),IF(E901&gt;=F901,"Ready","Budget below minima"),"Check inputs")</x:f>
        <x:v>Ready</x:v>
      </x:c>
      <x:c r="U901" s="22" t="n">
        <x:f>IF(COUNT(I901,M901,N901)=3,MAX(0,ROUND(I901+M901-N901,2)),"n.a.")</x:f>
        <x:v>0</x:v>
      </x:c>
    </x:row>
    <x:row r="902" ht="22" customHeight="1">
      <x:c r="A902" s="2"/>
      <x:c r="B902" s="2"/>
      <x:c r="C902" s="27" t="n">
        <x:f>180</x:f>
        <x:v>180</x:v>
      </x:c>
      <x:c r="D902" s="28" t="n">
        <x:f>IF(ISNUMBER('Inputs'!$D$7),EDATE('Inputs'!$D$7,179),"n.a.")</x:f>
        <x:v>51775</x:v>
      </x:c>
      <x:c r="E902" s="26" t="n">
        <x:f>IF('Inputs'!$D$9&lt;&gt;"Ready","n.a.",IF(ISNUMBER('Inputs'!E198),IF('Inputs'!E198&gt;=0,'Inputs'!E198,"n.a."),IF('Inputs'!E198="",'Inputs'!$D$6,"n.a.")))</x:f>
        <x:v>500</x:v>
      </x:c>
      <x:c r="F902" s="22" t="n">
        <x:f>IF(COUNT($N$902:$N$906)=5,SUM($N$902:$N$906),"n.a.")</x:f>
        <x:v>0</x:v>
      </x:c>
      <x:c r="G902" s="22" t="n">
        <x:f>IF(COUNT(E902:F902)=2,MAX(0,E902-F902),"n.a.")</x:f>
        <x:v>500</x:v>
      </x:c>
      <x:c r="H902" s="26" t="str">
        <x:f>'Inputs'!C11</x:f>
        <x:v>Card A</x:v>
      </x:c>
      <x:c r="I902" s="26" t="n">
        <x:f>S897</x:f>
        <x:v>0</x:v>
      </x:c>
      <x:c r="J902" s="29" t="n">
        <x:f>IF('Inputs'!$D$9="Ready",'Inputs'!E11,"n.a.")</x:f>
        <x:v>0.24</x:v>
      </x:c>
      <x:c r="K902" s="26" t="n">
        <x:f>IF('Inputs'!$D$9="Ready",'Inputs'!F11,"n.a.")</x:f>
        <x:v>35</x:v>
      </x:c>
      <x:c r="L902" s="29" t="n">
        <x:f>IF('Inputs'!$D$9="Ready",'Inputs'!G11,"n.a.")</x:f>
        <x:v>0.02</x:v>
      </x:c>
      <x:c r="M902" s="22" t="n">
        <x:f>IF(COUNT(I902:L902)=4,ROUND(I902*J902/12,2),"n.a.")</x:f>
        <x:v>0</x:v>
      </x:c>
      <x:c r="N902" s="22" t="n">
        <x:f>IF(COUNT(I902:M902)=5,MIN(I902+M902,ROUND(MAX(K902,I902*L902+M902),2)),"n.a.")</x:f>
        <x:v>0</x:v>
      </x:c>
      <x:c r="O902" s="30" t="n">
        <x:f>IF(COUNT($I$902:$I$906)&lt;&gt;5,"n.a.",IF(I902=0,6,IF('Inputs'!$D$5=1,COUNTIFS($I$902:$I$906,"&gt;0",$I$902:$I$906,"&lt;"&amp;I902)+COUNTIFS($I$902:I902,I902),COUNTIFS($I$902:$I$906,"&gt;0",$J$902:$J$906,"&gt;"&amp;J902)+COUNTIFS($I$902:I902,"&gt;0",$J$902:J902,J902))))</x:f>
        <x:v>6</x:v>
      </x:c>
      <x:c r="P902" s="22" t="n">
        <x:f>IF(T902="Ready",MIN(U902,MAX(0,G902-SUMIFS($U$902:$U$906,$O$902:$O$906,"&lt;"&amp;O902))),"n.a.")</x:f>
        <x:v>0</x:v>
      </x:c>
      <x:c r="Q902" s="22" t="n">
        <x:f>IF(T902="Ready",ROUND(N902+P902,2),"n.a.")</x:f>
        <x:v>0</x:v>
      </x:c>
      <x:c r="R902" s="22" t="n">
        <x:f>IF(T902="Ready",ROUND(Q902-M902,2),"n.a.")</x:f>
        <x:v>0</x:v>
      </x:c>
      <x:c r="S902" s="22" t="n">
        <x:f>IF(T902="Ready",MAX(0,ROUND(I902+M902-Q902,2)),"n.a.")</x:f>
        <x:v>0</x:v>
      </x:c>
      <x:c r="T902" s="22" t="str">
        <x:f>IF(AND(COUNT($I$902:$I$906)=5,COUNT(E902:F902)=2),IF(E902&gt;=F902,"Ready","Budget below minima"),"Check inputs")</x:f>
        <x:v>Ready</x:v>
      </x:c>
      <x:c r="U902" s="22" t="n">
        <x:f>IF(COUNT(I902,M902,N902)=3,MAX(0,ROUND(I902+M902-N902,2)),"n.a.")</x:f>
        <x:v>0</x:v>
      </x:c>
    </x:row>
    <x:row r="903" ht="22" customHeight="1">
      <x:c r="A903" s="2"/>
      <x:c r="B903" s="2"/>
      <x:c r="C903" s="27" t="n">
        <x:f>180</x:f>
        <x:v>180</x:v>
      </x:c>
      <x:c r="D903" s="28" t="n">
        <x:f>IF(ISNUMBER('Inputs'!$D$7),EDATE('Inputs'!$D$7,179),"n.a.")</x:f>
        <x:v>51775</x:v>
      </x:c>
      <x:c r="E903" s="26" t="n">
        <x:f>IF('Inputs'!$D$9&lt;&gt;"Ready","n.a.",IF(ISNUMBER('Inputs'!E198),IF('Inputs'!E198&gt;=0,'Inputs'!E198,"n.a."),IF('Inputs'!E198="",'Inputs'!$D$6,"n.a.")))</x:f>
        <x:v>500</x:v>
      </x:c>
      <x:c r="F903" s="22" t="n">
        <x:f>IF(COUNT($N$902:$N$906)=5,SUM($N$902:$N$906),"n.a.")</x:f>
        <x:v>0</x:v>
      </x:c>
      <x:c r="G903" s="22" t="n">
        <x:f>IF(COUNT(E903:F903)=2,MAX(0,E903-F903),"n.a.")</x:f>
        <x:v>500</x:v>
      </x:c>
      <x:c r="H903" s="26" t="str">
        <x:f>'Inputs'!C12</x:f>
        <x:v>Card B</x:v>
      </x:c>
      <x:c r="I903" s="26" t="n">
        <x:f>S898</x:f>
        <x:v>0</x:v>
      </x:c>
      <x:c r="J903" s="29" t="n">
        <x:f>IF('Inputs'!$D$9="Ready",'Inputs'!E12,"n.a.")</x:f>
        <x:v>0.18</x:v>
      </x:c>
      <x:c r="K903" s="26" t="n">
        <x:f>IF('Inputs'!$D$9="Ready",'Inputs'!F12,"n.a.")</x:f>
        <x:v>60</x:v>
      </x:c>
      <x:c r="L903" s="29" t="n">
        <x:f>IF('Inputs'!$D$9="Ready",'Inputs'!G12,"n.a.")</x:f>
        <x:v>0.02</x:v>
      </x:c>
      <x:c r="M903" s="22" t="n">
        <x:f>IF(COUNT(I903:L903)=4,ROUND(I903*J903/12,2),"n.a.")</x:f>
        <x:v>0</x:v>
      </x:c>
      <x:c r="N903" s="22" t="n">
        <x:f>IF(COUNT(I903:M903)=5,MIN(I903+M903,ROUND(MAX(K903,I903*L903+M903),2)),"n.a.")</x:f>
        <x:v>0</x:v>
      </x:c>
      <x:c r="O903" s="30" t="n">
        <x:f>IF(COUNT($I$902:$I$906)&lt;&gt;5,"n.a.",IF(I903=0,6,IF('Inputs'!$D$5=1,COUNTIFS($I$902:$I$906,"&gt;0",$I$902:$I$906,"&lt;"&amp;I903)+COUNTIFS($I$902:I903,I903),COUNTIFS($I$902:$I$906,"&gt;0",$J$902:$J$906,"&gt;"&amp;J903)+COUNTIFS($I$902:I903,"&gt;0",$J$902:J903,J903))))</x:f>
        <x:v>6</x:v>
      </x:c>
      <x:c r="P903" s="22" t="n">
        <x:f>IF(T903="Ready",MIN(U903,MAX(0,G903-SUMIFS($U$902:$U$906,$O$902:$O$906,"&lt;"&amp;O903))),"n.a.")</x:f>
        <x:v>0</x:v>
      </x:c>
      <x:c r="Q903" s="22" t="n">
        <x:f>IF(T903="Ready",ROUND(N903+P903,2),"n.a.")</x:f>
        <x:v>0</x:v>
      </x:c>
      <x:c r="R903" s="22" t="n">
        <x:f>IF(T903="Ready",ROUND(Q903-M903,2),"n.a.")</x:f>
        <x:v>0</x:v>
      </x:c>
      <x:c r="S903" s="22" t="n">
        <x:f>IF(T903="Ready",MAX(0,ROUND(I903+M903-Q903,2)),"n.a.")</x:f>
        <x:v>0</x:v>
      </x:c>
      <x:c r="T903" s="22" t="str">
        <x:f>IF(AND(COUNT($I$902:$I$906)=5,COUNT(E903:F903)=2),IF(E903&gt;=F903,"Ready","Budget below minima"),"Check inputs")</x:f>
        <x:v>Ready</x:v>
      </x:c>
      <x:c r="U903" s="22" t="n">
        <x:f>IF(COUNT(I903,M903,N903)=3,MAX(0,ROUND(I903+M903-N903,2)),"n.a.")</x:f>
        <x:v>0</x:v>
      </x:c>
    </x:row>
    <x:row r="904" ht="22" customHeight="1">
      <x:c r="A904" s="2"/>
      <x:c r="B904" s="2"/>
      <x:c r="C904" s="27" t="n">
        <x:f>180</x:f>
        <x:v>180</x:v>
      </x:c>
      <x:c r="D904" s="28" t="n">
        <x:f>IF(ISNUMBER('Inputs'!$D$7),EDATE('Inputs'!$D$7,179),"n.a.")</x:f>
        <x:v>51775</x:v>
      </x:c>
      <x:c r="E904" s="26" t="n">
        <x:f>IF('Inputs'!$D$9&lt;&gt;"Ready","n.a.",IF(ISNUMBER('Inputs'!E198),IF('Inputs'!E198&gt;=0,'Inputs'!E198,"n.a."),IF('Inputs'!E198="",'Inputs'!$D$6,"n.a.")))</x:f>
        <x:v>500</x:v>
      </x:c>
      <x:c r="F904" s="22" t="n">
        <x:f>IF(COUNT($N$902:$N$906)=5,SUM($N$902:$N$906),"n.a.")</x:f>
        <x:v>0</x:v>
      </x:c>
      <x:c r="G904" s="22" t="n">
        <x:f>IF(COUNT(E904:F904)=2,MAX(0,E904-F904),"n.a.")</x:f>
        <x:v>500</x:v>
      </x:c>
      <x:c r="H904" s="26" t="str">
        <x:f>'Inputs'!C13</x:f>
        <x:v>Loan C</x:v>
      </x:c>
      <x:c r="I904" s="26" t="n">
        <x:f>S899</x:f>
        <x:v>0</x:v>
      </x:c>
      <x:c r="J904" s="29" t="n">
        <x:f>IF('Inputs'!$D$9="Ready",'Inputs'!E13,"n.a.")</x:f>
        <x:v>0.08</x:v>
      </x:c>
      <x:c r="K904" s="26" t="n">
        <x:f>IF('Inputs'!$D$9="Ready",'Inputs'!F13,"n.a.")</x:f>
        <x:v>150</x:v>
      </x:c>
      <x:c r="L904" s="29" t="n">
        <x:f>IF('Inputs'!$D$9="Ready",'Inputs'!G13,"n.a.")</x:f>
        <x:v>0</x:v>
      </x:c>
      <x:c r="M904" s="22" t="n">
        <x:f>IF(COUNT(I904:L904)=4,ROUND(I904*J904/12,2),"n.a.")</x:f>
        <x:v>0</x:v>
      </x:c>
      <x:c r="N904" s="22" t="n">
        <x:f>IF(COUNT(I904:M904)=5,MIN(I904+M904,ROUND(MAX(K904,I904*L904+M904),2)),"n.a.")</x:f>
        <x:v>0</x:v>
      </x:c>
      <x:c r="O904" s="30" t="n">
        <x:f>IF(COUNT($I$902:$I$906)&lt;&gt;5,"n.a.",IF(I904=0,6,IF('Inputs'!$D$5=1,COUNTIFS($I$902:$I$906,"&gt;0",$I$902:$I$906,"&lt;"&amp;I904)+COUNTIFS($I$902:I904,I904),COUNTIFS($I$902:$I$906,"&gt;0",$J$902:$J$906,"&gt;"&amp;J904)+COUNTIFS($I$902:I904,"&gt;0",$J$902:J904,J904))))</x:f>
        <x:v>6</x:v>
      </x:c>
      <x:c r="P904" s="22" t="n">
        <x:f>IF(T904="Ready",MIN(U904,MAX(0,G904-SUMIFS($U$902:$U$906,$O$902:$O$906,"&lt;"&amp;O904))),"n.a.")</x:f>
        <x:v>0</x:v>
      </x:c>
      <x:c r="Q904" s="22" t="n">
        <x:f>IF(T904="Ready",ROUND(N904+P904,2),"n.a.")</x:f>
        <x:v>0</x:v>
      </x:c>
      <x:c r="R904" s="22" t="n">
        <x:f>IF(T904="Ready",ROUND(Q904-M904,2),"n.a.")</x:f>
        <x:v>0</x:v>
      </x:c>
      <x:c r="S904" s="22" t="n">
        <x:f>IF(T904="Ready",MAX(0,ROUND(I904+M904-Q904,2)),"n.a.")</x:f>
        <x:v>0</x:v>
      </x:c>
      <x:c r="T904" s="22" t="str">
        <x:f>IF(AND(COUNT($I$902:$I$906)=5,COUNT(E904:F904)=2),IF(E904&gt;=F904,"Ready","Budget below minima"),"Check inputs")</x:f>
        <x:v>Ready</x:v>
      </x:c>
      <x:c r="U904" s="22" t="n">
        <x:f>IF(COUNT(I904,M904,N904)=3,MAX(0,ROUND(I904+M904-N904,2)),"n.a.")</x:f>
        <x:v>0</x:v>
      </x:c>
    </x:row>
    <x:row r="905" ht="22" customHeight="1">
      <x:c r="A905" s="2"/>
      <x:c r="B905" s="2"/>
      <x:c r="C905" s="27" t="n">
        <x:f>180</x:f>
        <x:v>180</x:v>
      </x:c>
      <x:c r="D905" s="28" t="n">
        <x:f>IF(ISNUMBER('Inputs'!$D$7),EDATE('Inputs'!$D$7,179),"n.a.")</x:f>
        <x:v>51775</x:v>
      </x:c>
      <x:c r="E905" s="26" t="n">
        <x:f>IF('Inputs'!$D$9&lt;&gt;"Ready","n.a.",IF(ISNUMBER('Inputs'!E198),IF('Inputs'!E198&gt;=0,'Inputs'!E198,"n.a."),IF('Inputs'!E198="",'Inputs'!$D$6,"n.a.")))</x:f>
        <x:v>500</x:v>
      </x:c>
      <x:c r="F905" s="22" t="n">
        <x:f>IF(COUNT($N$902:$N$906)=5,SUM($N$902:$N$906),"n.a.")</x:f>
        <x:v>0</x:v>
      </x:c>
      <x:c r="G905" s="22" t="n">
        <x:f>IF(COUNT(E905:F905)=2,MAX(0,E905-F905),"n.a.")</x:f>
        <x:v>500</x:v>
      </x:c>
      <x:c r="H905" s="26" t="str">
        <x:f>'Inputs'!C14</x:f>
        <x:v>Unused 4</x:v>
      </x:c>
      <x:c r="I905" s="26" t="n">
        <x:f>S900</x:f>
        <x:v>0</x:v>
      </x:c>
      <x:c r="J905" s="29" t="n">
        <x:f>IF('Inputs'!$D$9="Ready",'Inputs'!E14,"n.a.")</x:f>
        <x:v>0</x:v>
      </x:c>
      <x:c r="K905" s="26" t="n">
        <x:f>IF('Inputs'!$D$9="Ready",'Inputs'!F14,"n.a.")</x:f>
        <x:v>0</x:v>
      </x:c>
      <x:c r="L905" s="29" t="n">
        <x:f>IF('Inputs'!$D$9="Ready",'Inputs'!G14,"n.a.")</x:f>
        <x:v>0</x:v>
      </x:c>
      <x:c r="M905" s="22" t="n">
        <x:f>IF(COUNT(I905:L905)=4,ROUND(I905*J905/12,2),"n.a.")</x:f>
        <x:v>0</x:v>
      </x:c>
      <x:c r="N905" s="22" t="n">
        <x:f>IF(COUNT(I905:M905)=5,MIN(I905+M905,ROUND(MAX(K905,I905*L905+M905),2)),"n.a.")</x:f>
        <x:v>0</x:v>
      </x:c>
      <x:c r="O905" s="30" t="n">
        <x:f>IF(COUNT($I$902:$I$906)&lt;&gt;5,"n.a.",IF(I905=0,6,IF('Inputs'!$D$5=1,COUNTIFS($I$902:$I$906,"&gt;0",$I$902:$I$906,"&lt;"&amp;I905)+COUNTIFS($I$902:I905,I905),COUNTIFS($I$902:$I$906,"&gt;0",$J$902:$J$906,"&gt;"&amp;J905)+COUNTIFS($I$902:I905,"&gt;0",$J$902:J905,J905))))</x:f>
        <x:v>6</x:v>
      </x:c>
      <x:c r="P905" s="22" t="n">
        <x:f>IF(T905="Ready",MIN(U905,MAX(0,G905-SUMIFS($U$902:$U$906,$O$902:$O$906,"&lt;"&amp;O905))),"n.a.")</x:f>
        <x:v>0</x:v>
      </x:c>
      <x:c r="Q905" s="22" t="n">
        <x:f>IF(T905="Ready",ROUND(N905+P905,2),"n.a.")</x:f>
        <x:v>0</x:v>
      </x:c>
      <x:c r="R905" s="22" t="n">
        <x:f>IF(T905="Ready",ROUND(Q905-M905,2),"n.a.")</x:f>
        <x:v>0</x:v>
      </x:c>
      <x:c r="S905" s="22" t="n">
        <x:f>IF(T905="Ready",MAX(0,ROUND(I905+M905-Q905,2)),"n.a.")</x:f>
        <x:v>0</x:v>
      </x:c>
      <x:c r="T905" s="22" t="str">
        <x:f>IF(AND(COUNT($I$902:$I$906)=5,COUNT(E905:F905)=2),IF(E905&gt;=F905,"Ready","Budget below minima"),"Check inputs")</x:f>
        <x:v>Ready</x:v>
      </x:c>
      <x:c r="U905" s="22" t="n">
        <x:f>IF(COUNT(I905,M905,N905)=3,MAX(0,ROUND(I905+M905-N905,2)),"n.a.")</x:f>
        <x:v>0</x:v>
      </x:c>
    </x:row>
    <x:row r="906" ht="22" customHeight="1">
      <x:c r="A906" s="2"/>
      <x:c r="B906" s="2"/>
      <x:c r="C906" s="27" t="n">
        <x:f>180</x:f>
        <x:v>180</x:v>
      </x:c>
      <x:c r="D906" s="28" t="n">
        <x:f>IF(ISNUMBER('Inputs'!$D$7),EDATE('Inputs'!$D$7,179),"n.a.")</x:f>
        <x:v>51775</x:v>
      </x:c>
      <x:c r="E906" s="26" t="n">
        <x:f>IF('Inputs'!$D$9&lt;&gt;"Ready","n.a.",IF(ISNUMBER('Inputs'!E198),IF('Inputs'!E198&gt;=0,'Inputs'!E198,"n.a."),IF('Inputs'!E198="",'Inputs'!$D$6,"n.a.")))</x:f>
        <x:v>500</x:v>
      </x:c>
      <x:c r="F906" s="22" t="n">
        <x:f>IF(COUNT($N$902:$N$906)=5,SUM($N$902:$N$906),"n.a.")</x:f>
        <x:v>0</x:v>
      </x:c>
      <x:c r="G906" s="22" t="n">
        <x:f>IF(COUNT(E906:F906)=2,MAX(0,E906-F906),"n.a.")</x:f>
        <x:v>500</x:v>
      </x:c>
      <x:c r="H906" s="26" t="str">
        <x:f>'Inputs'!C15</x:f>
        <x:v>Unused 5</x:v>
      </x:c>
      <x:c r="I906" s="26" t="n">
        <x:f>S901</x:f>
        <x:v>0</x:v>
      </x:c>
      <x:c r="J906" s="29" t="n">
        <x:f>IF('Inputs'!$D$9="Ready",'Inputs'!E15,"n.a.")</x:f>
        <x:v>0</x:v>
      </x:c>
      <x:c r="K906" s="26" t="n">
        <x:f>IF('Inputs'!$D$9="Ready",'Inputs'!F15,"n.a.")</x:f>
        <x:v>0</x:v>
      </x:c>
      <x:c r="L906" s="29" t="n">
        <x:f>IF('Inputs'!$D$9="Ready",'Inputs'!G15,"n.a.")</x:f>
        <x:v>0</x:v>
      </x:c>
      <x:c r="M906" s="22" t="n">
        <x:f>IF(COUNT(I906:L906)=4,ROUND(I906*J906/12,2),"n.a.")</x:f>
        <x:v>0</x:v>
      </x:c>
      <x:c r="N906" s="22" t="n">
        <x:f>IF(COUNT(I906:M906)=5,MIN(I906+M906,ROUND(MAX(K906,I906*L906+M906),2)),"n.a.")</x:f>
        <x:v>0</x:v>
      </x:c>
      <x:c r="O906" s="30" t="n">
        <x:f>IF(COUNT($I$902:$I$906)&lt;&gt;5,"n.a.",IF(I906=0,6,IF('Inputs'!$D$5=1,COUNTIFS($I$902:$I$906,"&gt;0",$I$902:$I$906,"&lt;"&amp;I906)+COUNTIFS($I$902:I906,I906),COUNTIFS($I$902:$I$906,"&gt;0",$J$902:$J$906,"&gt;"&amp;J906)+COUNTIFS($I$902:I906,"&gt;0",$J$902:J906,J906))))</x:f>
        <x:v>6</x:v>
      </x:c>
      <x:c r="P906" s="22" t="n">
        <x:f>IF(T906="Ready",MIN(U906,MAX(0,G906-SUMIFS($U$902:$U$906,$O$902:$O$906,"&lt;"&amp;O906))),"n.a.")</x:f>
        <x:v>0</x:v>
      </x:c>
      <x:c r="Q906" s="22" t="n">
        <x:f>IF(T906="Ready",ROUND(N906+P906,2),"n.a.")</x:f>
        <x:v>0</x:v>
      </x:c>
      <x:c r="R906" s="22" t="n">
        <x:f>IF(T906="Ready",ROUND(Q906-M906,2),"n.a.")</x:f>
        <x:v>0</x:v>
      </x:c>
      <x:c r="S906" s="22" t="n">
        <x:f>IF(T906="Ready",MAX(0,ROUND(I906+M906-Q906,2)),"n.a.")</x:f>
        <x:v>0</x:v>
      </x:c>
      <x:c r="T906" s="22" t="str">
        <x:f>IF(AND(COUNT($I$902:$I$906)=5,COUNT(E906:F906)=2),IF(E906&gt;=F906,"Ready","Budget below minima"),"Check inputs")</x:f>
        <x:v>Ready</x:v>
      </x:c>
      <x:c r="U906" s="22" t="n">
        <x:f>IF(COUNT(I906,M906,N906)=3,MAX(0,ROUND(I906+M906-N906,2)),"n.a.")</x:f>
        <x:v>0</x:v>
      </x:c>
    </x:row>
    <x:row r="907" ht="22" customHeight="1">
      <x:c r="A907" s="2"/>
      <x:c r="B907" s="2"/>
      <x:c r="C907" s="27" t="n">
        <x:f>181</x:f>
        <x:v>181</x:v>
      </x:c>
      <x:c r="D907" s="28" t="n">
        <x:f>IF(ISNUMBER('Inputs'!$D$7),EDATE('Inputs'!$D$7,180),"n.a.")</x:f>
        <x:v>51806</x:v>
      </x:c>
      <x:c r="E907" s="26" t="n">
        <x:f>IF('Inputs'!$D$9&lt;&gt;"Ready","n.a.",IF(ISNUMBER('Inputs'!E199),IF('Inputs'!E199&gt;=0,'Inputs'!E199,"n.a."),IF('Inputs'!E199="",'Inputs'!$D$6,"n.a.")))</x:f>
        <x:v>500</x:v>
      </x:c>
      <x:c r="F907" s="22" t="n">
        <x:f>IF(COUNT($N$907:$N$911)=5,SUM($N$907:$N$911),"n.a.")</x:f>
        <x:v>0</x:v>
      </x:c>
      <x:c r="G907" s="22" t="n">
        <x:f>IF(COUNT(E907:F907)=2,MAX(0,E907-F907),"n.a.")</x:f>
        <x:v>500</x:v>
      </x:c>
      <x:c r="H907" s="26" t="str">
        <x:f>'Inputs'!C11</x:f>
        <x:v>Card A</x:v>
      </x:c>
      <x:c r="I907" s="26" t="n">
        <x:f>S902</x:f>
        <x:v>0</x:v>
      </x:c>
      <x:c r="J907" s="29" t="n">
        <x:f>IF('Inputs'!$D$9="Ready",'Inputs'!E11,"n.a.")</x:f>
        <x:v>0.24</x:v>
      </x:c>
      <x:c r="K907" s="26" t="n">
        <x:f>IF('Inputs'!$D$9="Ready",'Inputs'!F11,"n.a.")</x:f>
        <x:v>35</x:v>
      </x:c>
      <x:c r="L907" s="29" t="n">
        <x:f>IF('Inputs'!$D$9="Ready",'Inputs'!G11,"n.a.")</x:f>
        <x:v>0.02</x:v>
      </x:c>
      <x:c r="M907" s="22" t="n">
        <x:f>IF(COUNT(I907:L907)=4,ROUND(I907*J907/12,2),"n.a.")</x:f>
        <x:v>0</x:v>
      </x:c>
      <x:c r="N907" s="22" t="n">
        <x:f>IF(COUNT(I907:M907)=5,MIN(I907+M907,ROUND(MAX(K907,I907*L907+M907),2)),"n.a.")</x:f>
        <x:v>0</x:v>
      </x:c>
      <x:c r="O907" s="30" t="n">
        <x:f>IF(COUNT($I$907:$I$911)&lt;&gt;5,"n.a.",IF(I907=0,6,IF('Inputs'!$D$5=1,COUNTIFS($I$907:$I$911,"&gt;0",$I$907:$I$911,"&lt;"&amp;I907)+COUNTIFS($I$907:I907,I907),COUNTIFS($I$907:$I$911,"&gt;0",$J$907:$J$911,"&gt;"&amp;J907)+COUNTIFS($I$907:I907,"&gt;0",$J$907:J907,J907))))</x:f>
        <x:v>6</x:v>
      </x:c>
      <x:c r="P907" s="22" t="n">
        <x:f>IF(T907="Ready",MIN(U907,MAX(0,G907-SUMIFS($U$907:$U$911,$O$907:$O$911,"&lt;"&amp;O907))),"n.a.")</x:f>
        <x:v>0</x:v>
      </x:c>
      <x:c r="Q907" s="22" t="n">
        <x:f>IF(T907="Ready",ROUND(N907+P907,2),"n.a.")</x:f>
        <x:v>0</x:v>
      </x:c>
      <x:c r="R907" s="22" t="n">
        <x:f>IF(T907="Ready",ROUND(Q907-M907,2),"n.a.")</x:f>
        <x:v>0</x:v>
      </x:c>
      <x:c r="S907" s="22" t="n">
        <x:f>IF(T907="Ready",MAX(0,ROUND(I907+M907-Q907,2)),"n.a.")</x:f>
        <x:v>0</x:v>
      </x:c>
      <x:c r="T907" s="22" t="str">
        <x:f>IF(AND(COUNT($I$907:$I$911)=5,COUNT(E907:F907)=2),IF(E907&gt;=F907,"Ready","Budget below minima"),"Check inputs")</x:f>
        <x:v>Ready</x:v>
      </x:c>
      <x:c r="U907" s="22" t="n">
        <x:f>IF(COUNT(I907,M907,N907)=3,MAX(0,ROUND(I907+M907-N907,2)),"n.a.")</x:f>
        <x:v>0</x:v>
      </x:c>
    </x:row>
    <x:row r="908" ht="22" customHeight="1">
      <x:c r="A908" s="2"/>
      <x:c r="B908" s="2"/>
      <x:c r="C908" s="27" t="n">
        <x:f>181</x:f>
        <x:v>181</x:v>
      </x:c>
      <x:c r="D908" s="28" t="n">
        <x:f>IF(ISNUMBER('Inputs'!$D$7),EDATE('Inputs'!$D$7,180),"n.a.")</x:f>
        <x:v>51806</x:v>
      </x:c>
      <x:c r="E908" s="26" t="n">
        <x:f>IF('Inputs'!$D$9&lt;&gt;"Ready","n.a.",IF(ISNUMBER('Inputs'!E199),IF('Inputs'!E199&gt;=0,'Inputs'!E199,"n.a."),IF('Inputs'!E199="",'Inputs'!$D$6,"n.a.")))</x:f>
        <x:v>500</x:v>
      </x:c>
      <x:c r="F908" s="22" t="n">
        <x:f>IF(COUNT($N$907:$N$911)=5,SUM($N$907:$N$911),"n.a.")</x:f>
        <x:v>0</x:v>
      </x:c>
      <x:c r="G908" s="22" t="n">
        <x:f>IF(COUNT(E908:F908)=2,MAX(0,E908-F908),"n.a.")</x:f>
        <x:v>500</x:v>
      </x:c>
      <x:c r="H908" s="26" t="str">
        <x:f>'Inputs'!C12</x:f>
        <x:v>Card B</x:v>
      </x:c>
      <x:c r="I908" s="26" t="n">
        <x:f>S903</x:f>
        <x:v>0</x:v>
      </x:c>
      <x:c r="J908" s="29" t="n">
        <x:f>IF('Inputs'!$D$9="Ready",'Inputs'!E12,"n.a.")</x:f>
        <x:v>0.18</x:v>
      </x:c>
      <x:c r="K908" s="26" t="n">
        <x:f>IF('Inputs'!$D$9="Ready",'Inputs'!F12,"n.a.")</x:f>
        <x:v>60</x:v>
      </x:c>
      <x:c r="L908" s="29" t="n">
        <x:f>IF('Inputs'!$D$9="Ready",'Inputs'!G12,"n.a.")</x:f>
        <x:v>0.02</x:v>
      </x:c>
      <x:c r="M908" s="22" t="n">
        <x:f>IF(COUNT(I908:L908)=4,ROUND(I908*J908/12,2),"n.a.")</x:f>
        <x:v>0</x:v>
      </x:c>
      <x:c r="N908" s="22" t="n">
        <x:f>IF(COUNT(I908:M908)=5,MIN(I908+M908,ROUND(MAX(K908,I908*L908+M908),2)),"n.a.")</x:f>
        <x:v>0</x:v>
      </x:c>
      <x:c r="O908" s="30" t="n">
        <x:f>IF(COUNT($I$907:$I$911)&lt;&gt;5,"n.a.",IF(I908=0,6,IF('Inputs'!$D$5=1,COUNTIFS($I$907:$I$911,"&gt;0",$I$907:$I$911,"&lt;"&amp;I908)+COUNTIFS($I$907:I908,I908),COUNTIFS($I$907:$I$911,"&gt;0",$J$907:$J$911,"&gt;"&amp;J908)+COUNTIFS($I$907:I908,"&gt;0",$J$907:J908,J908))))</x:f>
        <x:v>6</x:v>
      </x:c>
      <x:c r="P908" s="22" t="n">
        <x:f>IF(T908="Ready",MIN(U908,MAX(0,G908-SUMIFS($U$907:$U$911,$O$907:$O$911,"&lt;"&amp;O908))),"n.a.")</x:f>
        <x:v>0</x:v>
      </x:c>
      <x:c r="Q908" s="22" t="n">
        <x:f>IF(T908="Ready",ROUND(N908+P908,2),"n.a.")</x:f>
        <x:v>0</x:v>
      </x:c>
      <x:c r="R908" s="22" t="n">
        <x:f>IF(T908="Ready",ROUND(Q908-M908,2),"n.a.")</x:f>
        <x:v>0</x:v>
      </x:c>
      <x:c r="S908" s="22" t="n">
        <x:f>IF(T908="Ready",MAX(0,ROUND(I908+M908-Q908,2)),"n.a.")</x:f>
        <x:v>0</x:v>
      </x:c>
      <x:c r="T908" s="22" t="str">
        <x:f>IF(AND(COUNT($I$907:$I$911)=5,COUNT(E908:F908)=2),IF(E908&gt;=F908,"Ready","Budget below minima"),"Check inputs")</x:f>
        <x:v>Ready</x:v>
      </x:c>
      <x:c r="U908" s="22" t="n">
        <x:f>IF(COUNT(I908,M908,N908)=3,MAX(0,ROUND(I908+M908-N908,2)),"n.a.")</x:f>
        <x:v>0</x:v>
      </x:c>
    </x:row>
    <x:row r="909" ht="22" customHeight="1">
      <x:c r="A909" s="2"/>
      <x:c r="B909" s="2"/>
      <x:c r="C909" s="27" t="n">
        <x:f>181</x:f>
        <x:v>181</x:v>
      </x:c>
      <x:c r="D909" s="28" t="n">
        <x:f>IF(ISNUMBER('Inputs'!$D$7),EDATE('Inputs'!$D$7,180),"n.a.")</x:f>
        <x:v>51806</x:v>
      </x:c>
      <x:c r="E909" s="26" t="n">
        <x:f>IF('Inputs'!$D$9&lt;&gt;"Ready","n.a.",IF(ISNUMBER('Inputs'!E199),IF('Inputs'!E199&gt;=0,'Inputs'!E199,"n.a."),IF('Inputs'!E199="",'Inputs'!$D$6,"n.a.")))</x:f>
        <x:v>500</x:v>
      </x:c>
      <x:c r="F909" s="22" t="n">
        <x:f>IF(COUNT($N$907:$N$911)=5,SUM($N$907:$N$911),"n.a.")</x:f>
        <x:v>0</x:v>
      </x:c>
      <x:c r="G909" s="22" t="n">
        <x:f>IF(COUNT(E909:F909)=2,MAX(0,E909-F909),"n.a.")</x:f>
        <x:v>500</x:v>
      </x:c>
      <x:c r="H909" s="26" t="str">
        <x:f>'Inputs'!C13</x:f>
        <x:v>Loan C</x:v>
      </x:c>
      <x:c r="I909" s="26" t="n">
        <x:f>S904</x:f>
        <x:v>0</x:v>
      </x:c>
      <x:c r="J909" s="29" t="n">
        <x:f>IF('Inputs'!$D$9="Ready",'Inputs'!E13,"n.a.")</x:f>
        <x:v>0.08</x:v>
      </x:c>
      <x:c r="K909" s="26" t="n">
        <x:f>IF('Inputs'!$D$9="Ready",'Inputs'!F13,"n.a.")</x:f>
        <x:v>150</x:v>
      </x:c>
      <x:c r="L909" s="29" t="n">
        <x:f>IF('Inputs'!$D$9="Ready",'Inputs'!G13,"n.a.")</x:f>
        <x:v>0</x:v>
      </x:c>
      <x:c r="M909" s="22" t="n">
        <x:f>IF(COUNT(I909:L909)=4,ROUND(I909*J909/12,2),"n.a.")</x:f>
        <x:v>0</x:v>
      </x:c>
      <x:c r="N909" s="22" t="n">
        <x:f>IF(COUNT(I909:M909)=5,MIN(I909+M909,ROUND(MAX(K909,I909*L909+M909),2)),"n.a.")</x:f>
        <x:v>0</x:v>
      </x:c>
      <x:c r="O909" s="30" t="n">
        <x:f>IF(COUNT($I$907:$I$911)&lt;&gt;5,"n.a.",IF(I909=0,6,IF('Inputs'!$D$5=1,COUNTIFS($I$907:$I$911,"&gt;0",$I$907:$I$911,"&lt;"&amp;I909)+COUNTIFS($I$907:I909,I909),COUNTIFS($I$907:$I$911,"&gt;0",$J$907:$J$911,"&gt;"&amp;J909)+COUNTIFS($I$907:I909,"&gt;0",$J$907:J909,J909))))</x:f>
        <x:v>6</x:v>
      </x:c>
      <x:c r="P909" s="22" t="n">
        <x:f>IF(T909="Ready",MIN(U909,MAX(0,G909-SUMIFS($U$907:$U$911,$O$907:$O$911,"&lt;"&amp;O909))),"n.a.")</x:f>
        <x:v>0</x:v>
      </x:c>
      <x:c r="Q909" s="22" t="n">
        <x:f>IF(T909="Ready",ROUND(N909+P909,2),"n.a.")</x:f>
        <x:v>0</x:v>
      </x:c>
      <x:c r="R909" s="22" t="n">
        <x:f>IF(T909="Ready",ROUND(Q909-M909,2),"n.a.")</x:f>
        <x:v>0</x:v>
      </x:c>
      <x:c r="S909" s="22" t="n">
        <x:f>IF(T909="Ready",MAX(0,ROUND(I909+M909-Q909,2)),"n.a.")</x:f>
        <x:v>0</x:v>
      </x:c>
      <x:c r="T909" s="22" t="str">
        <x:f>IF(AND(COUNT($I$907:$I$911)=5,COUNT(E909:F909)=2),IF(E909&gt;=F909,"Ready","Budget below minima"),"Check inputs")</x:f>
        <x:v>Ready</x:v>
      </x:c>
      <x:c r="U909" s="22" t="n">
        <x:f>IF(COUNT(I909,M909,N909)=3,MAX(0,ROUND(I909+M909-N909,2)),"n.a.")</x:f>
        <x:v>0</x:v>
      </x:c>
    </x:row>
    <x:row r="910" ht="22" customHeight="1">
      <x:c r="A910" s="2"/>
      <x:c r="B910" s="2"/>
      <x:c r="C910" s="27" t="n">
        <x:f>181</x:f>
        <x:v>181</x:v>
      </x:c>
      <x:c r="D910" s="28" t="n">
        <x:f>IF(ISNUMBER('Inputs'!$D$7),EDATE('Inputs'!$D$7,180),"n.a.")</x:f>
        <x:v>51806</x:v>
      </x:c>
      <x:c r="E910" s="26" t="n">
        <x:f>IF('Inputs'!$D$9&lt;&gt;"Ready","n.a.",IF(ISNUMBER('Inputs'!E199),IF('Inputs'!E199&gt;=0,'Inputs'!E199,"n.a."),IF('Inputs'!E199="",'Inputs'!$D$6,"n.a.")))</x:f>
        <x:v>500</x:v>
      </x:c>
      <x:c r="F910" s="22" t="n">
        <x:f>IF(COUNT($N$907:$N$911)=5,SUM($N$907:$N$911),"n.a.")</x:f>
        <x:v>0</x:v>
      </x:c>
      <x:c r="G910" s="22" t="n">
        <x:f>IF(COUNT(E910:F910)=2,MAX(0,E910-F910),"n.a.")</x:f>
        <x:v>500</x:v>
      </x:c>
      <x:c r="H910" s="26" t="str">
        <x:f>'Inputs'!C14</x:f>
        <x:v>Unused 4</x:v>
      </x:c>
      <x:c r="I910" s="26" t="n">
        <x:f>S905</x:f>
        <x:v>0</x:v>
      </x:c>
      <x:c r="J910" s="29" t="n">
        <x:f>IF('Inputs'!$D$9="Ready",'Inputs'!E14,"n.a.")</x:f>
        <x:v>0</x:v>
      </x:c>
      <x:c r="K910" s="26" t="n">
        <x:f>IF('Inputs'!$D$9="Ready",'Inputs'!F14,"n.a.")</x:f>
        <x:v>0</x:v>
      </x:c>
      <x:c r="L910" s="29" t="n">
        <x:f>IF('Inputs'!$D$9="Ready",'Inputs'!G14,"n.a.")</x:f>
        <x:v>0</x:v>
      </x:c>
      <x:c r="M910" s="22" t="n">
        <x:f>IF(COUNT(I910:L910)=4,ROUND(I910*J910/12,2),"n.a.")</x:f>
        <x:v>0</x:v>
      </x:c>
      <x:c r="N910" s="22" t="n">
        <x:f>IF(COUNT(I910:M910)=5,MIN(I910+M910,ROUND(MAX(K910,I910*L910+M910),2)),"n.a.")</x:f>
        <x:v>0</x:v>
      </x:c>
      <x:c r="O910" s="30" t="n">
        <x:f>IF(COUNT($I$907:$I$911)&lt;&gt;5,"n.a.",IF(I910=0,6,IF('Inputs'!$D$5=1,COUNTIFS($I$907:$I$911,"&gt;0",$I$907:$I$911,"&lt;"&amp;I910)+COUNTIFS($I$907:I910,I910),COUNTIFS($I$907:$I$911,"&gt;0",$J$907:$J$911,"&gt;"&amp;J910)+COUNTIFS($I$907:I910,"&gt;0",$J$907:J910,J910))))</x:f>
        <x:v>6</x:v>
      </x:c>
      <x:c r="P910" s="22" t="n">
        <x:f>IF(T910="Ready",MIN(U910,MAX(0,G910-SUMIFS($U$907:$U$911,$O$907:$O$911,"&lt;"&amp;O910))),"n.a.")</x:f>
        <x:v>0</x:v>
      </x:c>
      <x:c r="Q910" s="22" t="n">
        <x:f>IF(T910="Ready",ROUND(N910+P910,2),"n.a.")</x:f>
        <x:v>0</x:v>
      </x:c>
      <x:c r="R910" s="22" t="n">
        <x:f>IF(T910="Ready",ROUND(Q910-M910,2),"n.a.")</x:f>
        <x:v>0</x:v>
      </x:c>
      <x:c r="S910" s="22" t="n">
        <x:f>IF(T910="Ready",MAX(0,ROUND(I910+M910-Q910,2)),"n.a.")</x:f>
        <x:v>0</x:v>
      </x:c>
      <x:c r="T910" s="22" t="str">
        <x:f>IF(AND(COUNT($I$907:$I$911)=5,COUNT(E910:F910)=2),IF(E910&gt;=F910,"Ready","Budget below minima"),"Check inputs")</x:f>
        <x:v>Ready</x:v>
      </x:c>
      <x:c r="U910" s="22" t="n">
        <x:f>IF(COUNT(I910,M910,N910)=3,MAX(0,ROUND(I910+M910-N910,2)),"n.a.")</x:f>
        <x:v>0</x:v>
      </x:c>
    </x:row>
    <x:row r="911" ht="22" customHeight="1">
      <x:c r="A911" s="2"/>
      <x:c r="B911" s="2"/>
      <x:c r="C911" s="27" t="n">
        <x:f>181</x:f>
        <x:v>181</x:v>
      </x:c>
      <x:c r="D911" s="28" t="n">
        <x:f>IF(ISNUMBER('Inputs'!$D$7),EDATE('Inputs'!$D$7,180),"n.a.")</x:f>
        <x:v>51806</x:v>
      </x:c>
      <x:c r="E911" s="26" t="n">
        <x:f>IF('Inputs'!$D$9&lt;&gt;"Ready","n.a.",IF(ISNUMBER('Inputs'!E199),IF('Inputs'!E199&gt;=0,'Inputs'!E199,"n.a."),IF('Inputs'!E199="",'Inputs'!$D$6,"n.a.")))</x:f>
        <x:v>500</x:v>
      </x:c>
      <x:c r="F911" s="22" t="n">
        <x:f>IF(COUNT($N$907:$N$911)=5,SUM($N$907:$N$911),"n.a.")</x:f>
        <x:v>0</x:v>
      </x:c>
      <x:c r="G911" s="22" t="n">
        <x:f>IF(COUNT(E911:F911)=2,MAX(0,E911-F911),"n.a.")</x:f>
        <x:v>500</x:v>
      </x:c>
      <x:c r="H911" s="26" t="str">
        <x:f>'Inputs'!C15</x:f>
        <x:v>Unused 5</x:v>
      </x:c>
      <x:c r="I911" s="26" t="n">
        <x:f>S906</x:f>
        <x:v>0</x:v>
      </x:c>
      <x:c r="J911" s="29" t="n">
        <x:f>IF('Inputs'!$D$9="Ready",'Inputs'!E15,"n.a.")</x:f>
        <x:v>0</x:v>
      </x:c>
      <x:c r="K911" s="26" t="n">
        <x:f>IF('Inputs'!$D$9="Ready",'Inputs'!F15,"n.a.")</x:f>
        <x:v>0</x:v>
      </x:c>
      <x:c r="L911" s="29" t="n">
        <x:f>IF('Inputs'!$D$9="Ready",'Inputs'!G15,"n.a.")</x:f>
        <x:v>0</x:v>
      </x:c>
      <x:c r="M911" s="22" t="n">
        <x:f>IF(COUNT(I911:L911)=4,ROUND(I911*J911/12,2),"n.a.")</x:f>
        <x:v>0</x:v>
      </x:c>
      <x:c r="N911" s="22" t="n">
        <x:f>IF(COUNT(I911:M911)=5,MIN(I911+M911,ROUND(MAX(K911,I911*L911+M911),2)),"n.a.")</x:f>
        <x:v>0</x:v>
      </x:c>
      <x:c r="O911" s="30" t="n">
        <x:f>IF(COUNT($I$907:$I$911)&lt;&gt;5,"n.a.",IF(I911=0,6,IF('Inputs'!$D$5=1,COUNTIFS($I$907:$I$911,"&gt;0",$I$907:$I$911,"&lt;"&amp;I911)+COUNTIFS($I$907:I911,I911),COUNTIFS($I$907:$I$911,"&gt;0",$J$907:$J$911,"&gt;"&amp;J911)+COUNTIFS($I$907:I911,"&gt;0",$J$907:J911,J911))))</x:f>
        <x:v>6</x:v>
      </x:c>
      <x:c r="P911" s="22" t="n">
        <x:f>IF(T911="Ready",MIN(U911,MAX(0,G911-SUMIFS($U$907:$U$911,$O$907:$O$911,"&lt;"&amp;O911))),"n.a.")</x:f>
        <x:v>0</x:v>
      </x:c>
      <x:c r="Q911" s="22" t="n">
        <x:f>IF(T911="Ready",ROUND(N911+P911,2),"n.a.")</x:f>
        <x:v>0</x:v>
      </x:c>
      <x:c r="R911" s="22" t="n">
        <x:f>IF(T911="Ready",ROUND(Q911-M911,2),"n.a.")</x:f>
        <x:v>0</x:v>
      </x:c>
      <x:c r="S911" s="22" t="n">
        <x:f>IF(T911="Ready",MAX(0,ROUND(I911+M911-Q911,2)),"n.a.")</x:f>
        <x:v>0</x:v>
      </x:c>
      <x:c r="T911" s="22" t="str">
        <x:f>IF(AND(COUNT($I$907:$I$911)=5,COUNT(E911:F911)=2),IF(E911&gt;=F911,"Ready","Budget below minima"),"Check inputs")</x:f>
        <x:v>Ready</x:v>
      </x:c>
      <x:c r="U911" s="22" t="n">
        <x:f>IF(COUNT(I911,M911,N911)=3,MAX(0,ROUND(I911+M911-N911,2)),"n.a.")</x:f>
        <x:v>0</x:v>
      </x:c>
    </x:row>
    <x:row r="912" ht="22" customHeight="1">
      <x:c r="A912" s="2"/>
      <x:c r="B912" s="2"/>
      <x:c r="C912" s="27" t="n">
        <x:f>182</x:f>
        <x:v>182</x:v>
      </x:c>
      <x:c r="D912" s="28" t="n">
        <x:f>IF(ISNUMBER('Inputs'!$D$7),EDATE('Inputs'!$D$7,181),"n.a.")</x:f>
        <x:v>51836</x:v>
      </x:c>
      <x:c r="E912" s="26" t="n">
        <x:f>IF('Inputs'!$D$9&lt;&gt;"Ready","n.a.",IF(ISNUMBER('Inputs'!E200),IF('Inputs'!E200&gt;=0,'Inputs'!E200,"n.a."),IF('Inputs'!E200="",'Inputs'!$D$6,"n.a.")))</x:f>
        <x:v>500</x:v>
      </x:c>
      <x:c r="F912" s="22" t="n">
        <x:f>IF(COUNT($N$912:$N$916)=5,SUM($N$912:$N$916),"n.a.")</x:f>
        <x:v>0</x:v>
      </x:c>
      <x:c r="G912" s="22" t="n">
        <x:f>IF(COUNT(E912:F912)=2,MAX(0,E912-F912),"n.a.")</x:f>
        <x:v>500</x:v>
      </x:c>
      <x:c r="H912" s="26" t="str">
        <x:f>'Inputs'!C11</x:f>
        <x:v>Card A</x:v>
      </x:c>
      <x:c r="I912" s="26" t="n">
        <x:f>S907</x:f>
        <x:v>0</x:v>
      </x:c>
      <x:c r="J912" s="29" t="n">
        <x:f>IF('Inputs'!$D$9="Ready",'Inputs'!E11,"n.a.")</x:f>
        <x:v>0.24</x:v>
      </x:c>
      <x:c r="K912" s="26" t="n">
        <x:f>IF('Inputs'!$D$9="Ready",'Inputs'!F11,"n.a.")</x:f>
        <x:v>35</x:v>
      </x:c>
      <x:c r="L912" s="29" t="n">
        <x:f>IF('Inputs'!$D$9="Ready",'Inputs'!G11,"n.a.")</x:f>
        <x:v>0.02</x:v>
      </x:c>
      <x:c r="M912" s="22" t="n">
        <x:f>IF(COUNT(I912:L912)=4,ROUND(I912*J912/12,2),"n.a.")</x:f>
        <x:v>0</x:v>
      </x:c>
      <x:c r="N912" s="22" t="n">
        <x:f>IF(COUNT(I912:M912)=5,MIN(I912+M912,ROUND(MAX(K912,I912*L912+M912),2)),"n.a.")</x:f>
        <x:v>0</x:v>
      </x:c>
      <x:c r="O912" s="30" t="n">
        <x:f>IF(COUNT($I$912:$I$916)&lt;&gt;5,"n.a.",IF(I912=0,6,IF('Inputs'!$D$5=1,COUNTIFS($I$912:$I$916,"&gt;0",$I$912:$I$916,"&lt;"&amp;I912)+COUNTIFS($I$912:I912,I912),COUNTIFS($I$912:$I$916,"&gt;0",$J$912:$J$916,"&gt;"&amp;J912)+COUNTIFS($I$912:I912,"&gt;0",$J$912:J912,J912))))</x:f>
        <x:v>6</x:v>
      </x:c>
      <x:c r="P912" s="22" t="n">
        <x:f>IF(T912="Ready",MIN(U912,MAX(0,G912-SUMIFS($U$912:$U$916,$O$912:$O$916,"&lt;"&amp;O912))),"n.a.")</x:f>
        <x:v>0</x:v>
      </x:c>
      <x:c r="Q912" s="22" t="n">
        <x:f>IF(T912="Ready",ROUND(N912+P912,2),"n.a.")</x:f>
        <x:v>0</x:v>
      </x:c>
      <x:c r="R912" s="22" t="n">
        <x:f>IF(T912="Ready",ROUND(Q912-M912,2),"n.a.")</x:f>
        <x:v>0</x:v>
      </x:c>
      <x:c r="S912" s="22" t="n">
        <x:f>IF(T912="Ready",MAX(0,ROUND(I912+M912-Q912,2)),"n.a.")</x:f>
        <x:v>0</x:v>
      </x:c>
      <x:c r="T912" s="22" t="str">
        <x:f>IF(AND(COUNT($I$912:$I$916)=5,COUNT(E912:F912)=2),IF(E912&gt;=F912,"Ready","Budget below minima"),"Check inputs")</x:f>
        <x:v>Ready</x:v>
      </x:c>
      <x:c r="U912" s="22" t="n">
        <x:f>IF(COUNT(I912,M912,N912)=3,MAX(0,ROUND(I912+M912-N912,2)),"n.a.")</x:f>
        <x:v>0</x:v>
      </x:c>
    </x:row>
    <x:row r="913" ht="22" customHeight="1">
      <x:c r="A913" s="2"/>
      <x:c r="B913" s="2"/>
      <x:c r="C913" s="27" t="n">
        <x:f>182</x:f>
        <x:v>182</x:v>
      </x:c>
      <x:c r="D913" s="28" t="n">
        <x:f>IF(ISNUMBER('Inputs'!$D$7),EDATE('Inputs'!$D$7,181),"n.a.")</x:f>
        <x:v>51836</x:v>
      </x:c>
      <x:c r="E913" s="26" t="n">
        <x:f>IF('Inputs'!$D$9&lt;&gt;"Ready","n.a.",IF(ISNUMBER('Inputs'!E200),IF('Inputs'!E200&gt;=0,'Inputs'!E200,"n.a."),IF('Inputs'!E200="",'Inputs'!$D$6,"n.a.")))</x:f>
        <x:v>500</x:v>
      </x:c>
      <x:c r="F913" s="22" t="n">
        <x:f>IF(COUNT($N$912:$N$916)=5,SUM($N$912:$N$916),"n.a.")</x:f>
        <x:v>0</x:v>
      </x:c>
      <x:c r="G913" s="22" t="n">
        <x:f>IF(COUNT(E913:F913)=2,MAX(0,E913-F913),"n.a.")</x:f>
        <x:v>500</x:v>
      </x:c>
      <x:c r="H913" s="26" t="str">
        <x:f>'Inputs'!C12</x:f>
        <x:v>Card B</x:v>
      </x:c>
      <x:c r="I913" s="26" t="n">
        <x:f>S908</x:f>
        <x:v>0</x:v>
      </x:c>
      <x:c r="J913" s="29" t="n">
        <x:f>IF('Inputs'!$D$9="Ready",'Inputs'!E12,"n.a.")</x:f>
        <x:v>0.18</x:v>
      </x:c>
      <x:c r="K913" s="26" t="n">
        <x:f>IF('Inputs'!$D$9="Ready",'Inputs'!F12,"n.a.")</x:f>
        <x:v>60</x:v>
      </x:c>
      <x:c r="L913" s="29" t="n">
        <x:f>IF('Inputs'!$D$9="Ready",'Inputs'!G12,"n.a.")</x:f>
        <x:v>0.02</x:v>
      </x:c>
      <x:c r="M913" s="22" t="n">
        <x:f>IF(COUNT(I913:L913)=4,ROUND(I913*J913/12,2),"n.a.")</x:f>
        <x:v>0</x:v>
      </x:c>
      <x:c r="N913" s="22" t="n">
        <x:f>IF(COUNT(I913:M913)=5,MIN(I913+M913,ROUND(MAX(K913,I913*L913+M913),2)),"n.a.")</x:f>
        <x:v>0</x:v>
      </x:c>
      <x:c r="O913" s="30" t="n">
        <x:f>IF(COUNT($I$912:$I$916)&lt;&gt;5,"n.a.",IF(I913=0,6,IF('Inputs'!$D$5=1,COUNTIFS($I$912:$I$916,"&gt;0",$I$912:$I$916,"&lt;"&amp;I913)+COUNTIFS($I$912:I913,I913),COUNTIFS($I$912:$I$916,"&gt;0",$J$912:$J$916,"&gt;"&amp;J913)+COUNTIFS($I$912:I913,"&gt;0",$J$912:J913,J913))))</x:f>
        <x:v>6</x:v>
      </x:c>
      <x:c r="P913" s="22" t="n">
        <x:f>IF(T913="Ready",MIN(U913,MAX(0,G913-SUMIFS($U$912:$U$916,$O$912:$O$916,"&lt;"&amp;O913))),"n.a.")</x:f>
        <x:v>0</x:v>
      </x:c>
      <x:c r="Q913" s="22" t="n">
        <x:f>IF(T913="Ready",ROUND(N913+P913,2),"n.a.")</x:f>
        <x:v>0</x:v>
      </x:c>
      <x:c r="R913" s="22" t="n">
        <x:f>IF(T913="Ready",ROUND(Q913-M913,2),"n.a.")</x:f>
        <x:v>0</x:v>
      </x:c>
      <x:c r="S913" s="22" t="n">
        <x:f>IF(T913="Ready",MAX(0,ROUND(I913+M913-Q913,2)),"n.a.")</x:f>
        <x:v>0</x:v>
      </x:c>
      <x:c r="T913" s="22" t="str">
        <x:f>IF(AND(COUNT($I$912:$I$916)=5,COUNT(E913:F913)=2),IF(E913&gt;=F913,"Ready","Budget below minima"),"Check inputs")</x:f>
        <x:v>Ready</x:v>
      </x:c>
      <x:c r="U913" s="22" t="n">
        <x:f>IF(COUNT(I913,M913,N913)=3,MAX(0,ROUND(I913+M913-N913,2)),"n.a.")</x:f>
        <x:v>0</x:v>
      </x:c>
    </x:row>
    <x:row r="914" ht="22" customHeight="1">
      <x:c r="A914" s="2"/>
      <x:c r="B914" s="2"/>
      <x:c r="C914" s="27" t="n">
        <x:f>182</x:f>
        <x:v>182</x:v>
      </x:c>
      <x:c r="D914" s="28" t="n">
        <x:f>IF(ISNUMBER('Inputs'!$D$7),EDATE('Inputs'!$D$7,181),"n.a.")</x:f>
        <x:v>51836</x:v>
      </x:c>
      <x:c r="E914" s="26" t="n">
        <x:f>IF('Inputs'!$D$9&lt;&gt;"Ready","n.a.",IF(ISNUMBER('Inputs'!E200),IF('Inputs'!E200&gt;=0,'Inputs'!E200,"n.a."),IF('Inputs'!E200="",'Inputs'!$D$6,"n.a.")))</x:f>
        <x:v>500</x:v>
      </x:c>
      <x:c r="F914" s="22" t="n">
        <x:f>IF(COUNT($N$912:$N$916)=5,SUM($N$912:$N$916),"n.a.")</x:f>
        <x:v>0</x:v>
      </x:c>
      <x:c r="G914" s="22" t="n">
        <x:f>IF(COUNT(E914:F914)=2,MAX(0,E914-F914),"n.a.")</x:f>
        <x:v>500</x:v>
      </x:c>
      <x:c r="H914" s="26" t="str">
        <x:f>'Inputs'!C13</x:f>
        <x:v>Loan C</x:v>
      </x:c>
      <x:c r="I914" s="26" t="n">
        <x:f>S909</x:f>
        <x:v>0</x:v>
      </x:c>
      <x:c r="J914" s="29" t="n">
        <x:f>IF('Inputs'!$D$9="Ready",'Inputs'!E13,"n.a.")</x:f>
        <x:v>0.08</x:v>
      </x:c>
      <x:c r="K914" s="26" t="n">
        <x:f>IF('Inputs'!$D$9="Ready",'Inputs'!F13,"n.a.")</x:f>
        <x:v>150</x:v>
      </x:c>
      <x:c r="L914" s="29" t="n">
        <x:f>IF('Inputs'!$D$9="Ready",'Inputs'!G13,"n.a.")</x:f>
        <x:v>0</x:v>
      </x:c>
      <x:c r="M914" s="22" t="n">
        <x:f>IF(COUNT(I914:L914)=4,ROUND(I914*J914/12,2),"n.a.")</x:f>
        <x:v>0</x:v>
      </x:c>
      <x:c r="N914" s="22" t="n">
        <x:f>IF(COUNT(I914:M914)=5,MIN(I914+M914,ROUND(MAX(K914,I914*L914+M914),2)),"n.a.")</x:f>
        <x:v>0</x:v>
      </x:c>
      <x:c r="O914" s="30" t="n">
        <x:f>IF(COUNT($I$912:$I$916)&lt;&gt;5,"n.a.",IF(I914=0,6,IF('Inputs'!$D$5=1,COUNTIFS($I$912:$I$916,"&gt;0",$I$912:$I$916,"&lt;"&amp;I914)+COUNTIFS($I$912:I914,I914),COUNTIFS($I$912:$I$916,"&gt;0",$J$912:$J$916,"&gt;"&amp;J914)+COUNTIFS($I$912:I914,"&gt;0",$J$912:J914,J914))))</x:f>
        <x:v>6</x:v>
      </x:c>
      <x:c r="P914" s="22" t="n">
        <x:f>IF(T914="Ready",MIN(U914,MAX(0,G914-SUMIFS($U$912:$U$916,$O$912:$O$916,"&lt;"&amp;O914))),"n.a.")</x:f>
        <x:v>0</x:v>
      </x:c>
      <x:c r="Q914" s="22" t="n">
        <x:f>IF(T914="Ready",ROUND(N914+P914,2),"n.a.")</x:f>
        <x:v>0</x:v>
      </x:c>
      <x:c r="R914" s="22" t="n">
        <x:f>IF(T914="Ready",ROUND(Q914-M914,2),"n.a.")</x:f>
        <x:v>0</x:v>
      </x:c>
      <x:c r="S914" s="22" t="n">
        <x:f>IF(T914="Ready",MAX(0,ROUND(I914+M914-Q914,2)),"n.a.")</x:f>
        <x:v>0</x:v>
      </x:c>
      <x:c r="T914" s="22" t="str">
        <x:f>IF(AND(COUNT($I$912:$I$916)=5,COUNT(E914:F914)=2),IF(E914&gt;=F914,"Ready","Budget below minima"),"Check inputs")</x:f>
        <x:v>Ready</x:v>
      </x:c>
      <x:c r="U914" s="22" t="n">
        <x:f>IF(COUNT(I914,M914,N914)=3,MAX(0,ROUND(I914+M914-N914,2)),"n.a.")</x:f>
        <x:v>0</x:v>
      </x:c>
    </x:row>
    <x:row r="915" ht="22" customHeight="1">
      <x:c r="A915" s="2"/>
      <x:c r="B915" s="2"/>
      <x:c r="C915" s="27" t="n">
        <x:f>182</x:f>
        <x:v>182</x:v>
      </x:c>
      <x:c r="D915" s="28" t="n">
        <x:f>IF(ISNUMBER('Inputs'!$D$7),EDATE('Inputs'!$D$7,181),"n.a.")</x:f>
        <x:v>51836</x:v>
      </x:c>
      <x:c r="E915" s="26" t="n">
        <x:f>IF('Inputs'!$D$9&lt;&gt;"Ready","n.a.",IF(ISNUMBER('Inputs'!E200),IF('Inputs'!E200&gt;=0,'Inputs'!E200,"n.a."),IF('Inputs'!E200="",'Inputs'!$D$6,"n.a.")))</x:f>
        <x:v>500</x:v>
      </x:c>
      <x:c r="F915" s="22" t="n">
        <x:f>IF(COUNT($N$912:$N$916)=5,SUM($N$912:$N$916),"n.a.")</x:f>
        <x:v>0</x:v>
      </x:c>
      <x:c r="G915" s="22" t="n">
        <x:f>IF(COUNT(E915:F915)=2,MAX(0,E915-F915),"n.a.")</x:f>
        <x:v>500</x:v>
      </x:c>
      <x:c r="H915" s="26" t="str">
        <x:f>'Inputs'!C14</x:f>
        <x:v>Unused 4</x:v>
      </x:c>
      <x:c r="I915" s="26" t="n">
        <x:f>S910</x:f>
        <x:v>0</x:v>
      </x:c>
      <x:c r="J915" s="29" t="n">
        <x:f>IF('Inputs'!$D$9="Ready",'Inputs'!E14,"n.a.")</x:f>
        <x:v>0</x:v>
      </x:c>
      <x:c r="K915" s="26" t="n">
        <x:f>IF('Inputs'!$D$9="Ready",'Inputs'!F14,"n.a.")</x:f>
        <x:v>0</x:v>
      </x:c>
      <x:c r="L915" s="29" t="n">
        <x:f>IF('Inputs'!$D$9="Ready",'Inputs'!G14,"n.a.")</x:f>
        <x:v>0</x:v>
      </x:c>
      <x:c r="M915" s="22" t="n">
        <x:f>IF(COUNT(I915:L915)=4,ROUND(I915*J915/12,2),"n.a.")</x:f>
        <x:v>0</x:v>
      </x:c>
      <x:c r="N915" s="22" t="n">
        <x:f>IF(COUNT(I915:M915)=5,MIN(I915+M915,ROUND(MAX(K915,I915*L915+M915),2)),"n.a.")</x:f>
        <x:v>0</x:v>
      </x:c>
      <x:c r="O915" s="30" t="n">
        <x:f>IF(COUNT($I$912:$I$916)&lt;&gt;5,"n.a.",IF(I915=0,6,IF('Inputs'!$D$5=1,COUNTIFS($I$912:$I$916,"&gt;0",$I$912:$I$916,"&lt;"&amp;I915)+COUNTIFS($I$912:I915,I915),COUNTIFS($I$912:$I$916,"&gt;0",$J$912:$J$916,"&gt;"&amp;J915)+COUNTIFS($I$912:I915,"&gt;0",$J$912:J915,J915))))</x:f>
        <x:v>6</x:v>
      </x:c>
      <x:c r="P915" s="22" t="n">
        <x:f>IF(T915="Ready",MIN(U915,MAX(0,G915-SUMIFS($U$912:$U$916,$O$912:$O$916,"&lt;"&amp;O915))),"n.a.")</x:f>
        <x:v>0</x:v>
      </x:c>
      <x:c r="Q915" s="22" t="n">
        <x:f>IF(T915="Ready",ROUND(N915+P915,2),"n.a.")</x:f>
        <x:v>0</x:v>
      </x:c>
      <x:c r="R915" s="22" t="n">
        <x:f>IF(T915="Ready",ROUND(Q915-M915,2),"n.a.")</x:f>
        <x:v>0</x:v>
      </x:c>
      <x:c r="S915" s="22" t="n">
        <x:f>IF(T915="Ready",MAX(0,ROUND(I915+M915-Q915,2)),"n.a.")</x:f>
        <x:v>0</x:v>
      </x:c>
      <x:c r="T915" s="22" t="str">
        <x:f>IF(AND(COUNT($I$912:$I$916)=5,COUNT(E915:F915)=2),IF(E915&gt;=F915,"Ready","Budget below minima"),"Check inputs")</x:f>
        <x:v>Ready</x:v>
      </x:c>
      <x:c r="U915" s="22" t="n">
        <x:f>IF(COUNT(I915,M915,N915)=3,MAX(0,ROUND(I915+M915-N915,2)),"n.a.")</x:f>
        <x:v>0</x:v>
      </x:c>
    </x:row>
    <x:row r="916" ht="22" customHeight="1">
      <x:c r="A916" s="2"/>
      <x:c r="B916" s="2"/>
      <x:c r="C916" s="27" t="n">
        <x:f>182</x:f>
        <x:v>182</x:v>
      </x:c>
      <x:c r="D916" s="28" t="n">
        <x:f>IF(ISNUMBER('Inputs'!$D$7),EDATE('Inputs'!$D$7,181),"n.a.")</x:f>
        <x:v>51836</x:v>
      </x:c>
      <x:c r="E916" s="26" t="n">
        <x:f>IF('Inputs'!$D$9&lt;&gt;"Ready","n.a.",IF(ISNUMBER('Inputs'!E200),IF('Inputs'!E200&gt;=0,'Inputs'!E200,"n.a."),IF('Inputs'!E200="",'Inputs'!$D$6,"n.a.")))</x:f>
        <x:v>500</x:v>
      </x:c>
      <x:c r="F916" s="22" t="n">
        <x:f>IF(COUNT($N$912:$N$916)=5,SUM($N$912:$N$916),"n.a.")</x:f>
        <x:v>0</x:v>
      </x:c>
      <x:c r="G916" s="22" t="n">
        <x:f>IF(COUNT(E916:F916)=2,MAX(0,E916-F916),"n.a.")</x:f>
        <x:v>500</x:v>
      </x:c>
      <x:c r="H916" s="26" t="str">
        <x:f>'Inputs'!C15</x:f>
        <x:v>Unused 5</x:v>
      </x:c>
      <x:c r="I916" s="26" t="n">
        <x:f>S911</x:f>
        <x:v>0</x:v>
      </x:c>
      <x:c r="J916" s="29" t="n">
        <x:f>IF('Inputs'!$D$9="Ready",'Inputs'!E15,"n.a.")</x:f>
        <x:v>0</x:v>
      </x:c>
      <x:c r="K916" s="26" t="n">
        <x:f>IF('Inputs'!$D$9="Ready",'Inputs'!F15,"n.a.")</x:f>
        <x:v>0</x:v>
      </x:c>
      <x:c r="L916" s="29" t="n">
        <x:f>IF('Inputs'!$D$9="Ready",'Inputs'!G15,"n.a.")</x:f>
        <x:v>0</x:v>
      </x:c>
      <x:c r="M916" s="22" t="n">
        <x:f>IF(COUNT(I916:L916)=4,ROUND(I916*J916/12,2),"n.a.")</x:f>
        <x:v>0</x:v>
      </x:c>
      <x:c r="N916" s="22" t="n">
        <x:f>IF(COUNT(I916:M916)=5,MIN(I916+M916,ROUND(MAX(K916,I916*L916+M916),2)),"n.a.")</x:f>
        <x:v>0</x:v>
      </x:c>
      <x:c r="O916" s="30" t="n">
        <x:f>IF(COUNT($I$912:$I$916)&lt;&gt;5,"n.a.",IF(I916=0,6,IF('Inputs'!$D$5=1,COUNTIFS($I$912:$I$916,"&gt;0",$I$912:$I$916,"&lt;"&amp;I916)+COUNTIFS($I$912:I916,I916),COUNTIFS($I$912:$I$916,"&gt;0",$J$912:$J$916,"&gt;"&amp;J916)+COUNTIFS($I$912:I916,"&gt;0",$J$912:J916,J916))))</x:f>
        <x:v>6</x:v>
      </x:c>
      <x:c r="P916" s="22" t="n">
        <x:f>IF(T916="Ready",MIN(U916,MAX(0,G916-SUMIFS($U$912:$U$916,$O$912:$O$916,"&lt;"&amp;O916))),"n.a.")</x:f>
        <x:v>0</x:v>
      </x:c>
      <x:c r="Q916" s="22" t="n">
        <x:f>IF(T916="Ready",ROUND(N916+P916,2),"n.a.")</x:f>
        <x:v>0</x:v>
      </x:c>
      <x:c r="R916" s="22" t="n">
        <x:f>IF(T916="Ready",ROUND(Q916-M916,2),"n.a.")</x:f>
        <x:v>0</x:v>
      </x:c>
      <x:c r="S916" s="22" t="n">
        <x:f>IF(T916="Ready",MAX(0,ROUND(I916+M916-Q916,2)),"n.a.")</x:f>
        <x:v>0</x:v>
      </x:c>
      <x:c r="T916" s="22" t="str">
        <x:f>IF(AND(COUNT($I$912:$I$916)=5,COUNT(E916:F916)=2),IF(E916&gt;=F916,"Ready","Budget below minima"),"Check inputs")</x:f>
        <x:v>Ready</x:v>
      </x:c>
      <x:c r="U916" s="22" t="n">
        <x:f>IF(COUNT(I916,M916,N916)=3,MAX(0,ROUND(I916+M916-N916,2)),"n.a.")</x:f>
        <x:v>0</x:v>
      </x:c>
    </x:row>
    <x:row r="917" ht="22" customHeight="1">
      <x:c r="A917" s="2"/>
      <x:c r="B917" s="2"/>
      <x:c r="C917" s="27" t="n">
        <x:f>183</x:f>
        <x:v>183</x:v>
      </x:c>
      <x:c r="D917" s="28" t="n">
        <x:f>IF(ISNUMBER('Inputs'!$D$7),EDATE('Inputs'!$D$7,182),"n.a.")</x:f>
        <x:v>51867</x:v>
      </x:c>
      <x:c r="E917" s="26" t="n">
        <x:f>IF('Inputs'!$D$9&lt;&gt;"Ready","n.a.",IF(ISNUMBER('Inputs'!E201),IF('Inputs'!E201&gt;=0,'Inputs'!E201,"n.a."),IF('Inputs'!E201="",'Inputs'!$D$6,"n.a.")))</x:f>
        <x:v>500</x:v>
      </x:c>
      <x:c r="F917" s="22" t="n">
        <x:f>IF(COUNT($N$917:$N$921)=5,SUM($N$917:$N$921),"n.a.")</x:f>
        <x:v>0</x:v>
      </x:c>
      <x:c r="G917" s="22" t="n">
        <x:f>IF(COUNT(E917:F917)=2,MAX(0,E917-F917),"n.a.")</x:f>
        <x:v>500</x:v>
      </x:c>
      <x:c r="H917" s="26" t="str">
        <x:f>'Inputs'!C11</x:f>
        <x:v>Card A</x:v>
      </x:c>
      <x:c r="I917" s="26" t="n">
        <x:f>S912</x:f>
        <x:v>0</x:v>
      </x:c>
      <x:c r="J917" s="29" t="n">
        <x:f>IF('Inputs'!$D$9="Ready",'Inputs'!E11,"n.a.")</x:f>
        <x:v>0.24</x:v>
      </x:c>
      <x:c r="K917" s="26" t="n">
        <x:f>IF('Inputs'!$D$9="Ready",'Inputs'!F11,"n.a.")</x:f>
        <x:v>35</x:v>
      </x:c>
      <x:c r="L917" s="29" t="n">
        <x:f>IF('Inputs'!$D$9="Ready",'Inputs'!G11,"n.a.")</x:f>
        <x:v>0.02</x:v>
      </x:c>
      <x:c r="M917" s="22" t="n">
        <x:f>IF(COUNT(I917:L917)=4,ROUND(I917*J917/12,2),"n.a.")</x:f>
        <x:v>0</x:v>
      </x:c>
      <x:c r="N917" s="22" t="n">
        <x:f>IF(COUNT(I917:M917)=5,MIN(I917+M917,ROUND(MAX(K917,I917*L917+M917),2)),"n.a.")</x:f>
        <x:v>0</x:v>
      </x:c>
      <x:c r="O917" s="30" t="n">
        <x:f>IF(COUNT($I$917:$I$921)&lt;&gt;5,"n.a.",IF(I917=0,6,IF('Inputs'!$D$5=1,COUNTIFS($I$917:$I$921,"&gt;0",$I$917:$I$921,"&lt;"&amp;I917)+COUNTIFS($I$917:I917,I917),COUNTIFS($I$917:$I$921,"&gt;0",$J$917:$J$921,"&gt;"&amp;J917)+COUNTIFS($I$917:I917,"&gt;0",$J$917:J917,J917))))</x:f>
        <x:v>6</x:v>
      </x:c>
      <x:c r="P917" s="22" t="n">
        <x:f>IF(T917="Ready",MIN(U917,MAX(0,G917-SUMIFS($U$917:$U$921,$O$917:$O$921,"&lt;"&amp;O917))),"n.a.")</x:f>
        <x:v>0</x:v>
      </x:c>
      <x:c r="Q917" s="22" t="n">
        <x:f>IF(T917="Ready",ROUND(N917+P917,2),"n.a.")</x:f>
        <x:v>0</x:v>
      </x:c>
      <x:c r="R917" s="22" t="n">
        <x:f>IF(T917="Ready",ROUND(Q917-M917,2),"n.a.")</x:f>
        <x:v>0</x:v>
      </x:c>
      <x:c r="S917" s="22" t="n">
        <x:f>IF(T917="Ready",MAX(0,ROUND(I917+M917-Q917,2)),"n.a.")</x:f>
        <x:v>0</x:v>
      </x:c>
      <x:c r="T917" s="22" t="str">
        <x:f>IF(AND(COUNT($I$917:$I$921)=5,COUNT(E917:F917)=2),IF(E917&gt;=F917,"Ready","Budget below minima"),"Check inputs")</x:f>
        <x:v>Ready</x:v>
      </x:c>
      <x:c r="U917" s="22" t="n">
        <x:f>IF(COUNT(I917,M917,N917)=3,MAX(0,ROUND(I917+M917-N917,2)),"n.a.")</x:f>
        <x:v>0</x:v>
      </x:c>
    </x:row>
    <x:row r="918" ht="22" customHeight="1">
      <x:c r="A918" s="2"/>
      <x:c r="B918" s="2"/>
      <x:c r="C918" s="27" t="n">
        <x:f>183</x:f>
        <x:v>183</x:v>
      </x:c>
      <x:c r="D918" s="28" t="n">
        <x:f>IF(ISNUMBER('Inputs'!$D$7),EDATE('Inputs'!$D$7,182),"n.a.")</x:f>
        <x:v>51867</x:v>
      </x:c>
      <x:c r="E918" s="26" t="n">
        <x:f>IF('Inputs'!$D$9&lt;&gt;"Ready","n.a.",IF(ISNUMBER('Inputs'!E201),IF('Inputs'!E201&gt;=0,'Inputs'!E201,"n.a."),IF('Inputs'!E201="",'Inputs'!$D$6,"n.a.")))</x:f>
        <x:v>500</x:v>
      </x:c>
      <x:c r="F918" s="22" t="n">
        <x:f>IF(COUNT($N$917:$N$921)=5,SUM($N$917:$N$921),"n.a.")</x:f>
        <x:v>0</x:v>
      </x:c>
      <x:c r="G918" s="22" t="n">
        <x:f>IF(COUNT(E918:F918)=2,MAX(0,E918-F918),"n.a.")</x:f>
        <x:v>500</x:v>
      </x:c>
      <x:c r="H918" s="26" t="str">
        <x:f>'Inputs'!C12</x:f>
        <x:v>Card B</x:v>
      </x:c>
      <x:c r="I918" s="26" t="n">
        <x:f>S913</x:f>
        <x:v>0</x:v>
      </x:c>
      <x:c r="J918" s="29" t="n">
        <x:f>IF('Inputs'!$D$9="Ready",'Inputs'!E12,"n.a.")</x:f>
        <x:v>0.18</x:v>
      </x:c>
      <x:c r="K918" s="26" t="n">
        <x:f>IF('Inputs'!$D$9="Ready",'Inputs'!F12,"n.a.")</x:f>
        <x:v>60</x:v>
      </x:c>
      <x:c r="L918" s="29" t="n">
        <x:f>IF('Inputs'!$D$9="Ready",'Inputs'!G12,"n.a.")</x:f>
        <x:v>0.02</x:v>
      </x:c>
      <x:c r="M918" s="22" t="n">
        <x:f>IF(COUNT(I918:L918)=4,ROUND(I918*J918/12,2),"n.a.")</x:f>
        <x:v>0</x:v>
      </x:c>
      <x:c r="N918" s="22" t="n">
        <x:f>IF(COUNT(I918:M918)=5,MIN(I918+M918,ROUND(MAX(K918,I918*L918+M918),2)),"n.a.")</x:f>
        <x:v>0</x:v>
      </x:c>
      <x:c r="O918" s="30" t="n">
        <x:f>IF(COUNT($I$917:$I$921)&lt;&gt;5,"n.a.",IF(I918=0,6,IF('Inputs'!$D$5=1,COUNTIFS($I$917:$I$921,"&gt;0",$I$917:$I$921,"&lt;"&amp;I918)+COUNTIFS($I$917:I918,I918),COUNTIFS($I$917:$I$921,"&gt;0",$J$917:$J$921,"&gt;"&amp;J918)+COUNTIFS($I$917:I918,"&gt;0",$J$917:J918,J918))))</x:f>
        <x:v>6</x:v>
      </x:c>
      <x:c r="P918" s="22" t="n">
        <x:f>IF(T918="Ready",MIN(U918,MAX(0,G918-SUMIFS($U$917:$U$921,$O$917:$O$921,"&lt;"&amp;O918))),"n.a.")</x:f>
        <x:v>0</x:v>
      </x:c>
      <x:c r="Q918" s="22" t="n">
        <x:f>IF(T918="Ready",ROUND(N918+P918,2),"n.a.")</x:f>
        <x:v>0</x:v>
      </x:c>
      <x:c r="R918" s="22" t="n">
        <x:f>IF(T918="Ready",ROUND(Q918-M918,2),"n.a.")</x:f>
        <x:v>0</x:v>
      </x:c>
      <x:c r="S918" s="22" t="n">
        <x:f>IF(T918="Ready",MAX(0,ROUND(I918+M918-Q918,2)),"n.a.")</x:f>
        <x:v>0</x:v>
      </x:c>
      <x:c r="T918" s="22" t="str">
        <x:f>IF(AND(COUNT($I$917:$I$921)=5,COUNT(E918:F918)=2),IF(E918&gt;=F918,"Ready","Budget below minima"),"Check inputs")</x:f>
        <x:v>Ready</x:v>
      </x:c>
      <x:c r="U918" s="22" t="n">
        <x:f>IF(COUNT(I918,M918,N918)=3,MAX(0,ROUND(I918+M918-N918,2)),"n.a.")</x:f>
        <x:v>0</x:v>
      </x:c>
    </x:row>
    <x:row r="919" ht="22" customHeight="1">
      <x:c r="A919" s="2"/>
      <x:c r="B919" s="2"/>
      <x:c r="C919" s="27" t="n">
        <x:f>183</x:f>
        <x:v>183</x:v>
      </x:c>
      <x:c r="D919" s="28" t="n">
        <x:f>IF(ISNUMBER('Inputs'!$D$7),EDATE('Inputs'!$D$7,182),"n.a.")</x:f>
        <x:v>51867</x:v>
      </x:c>
      <x:c r="E919" s="26" t="n">
        <x:f>IF('Inputs'!$D$9&lt;&gt;"Ready","n.a.",IF(ISNUMBER('Inputs'!E201),IF('Inputs'!E201&gt;=0,'Inputs'!E201,"n.a."),IF('Inputs'!E201="",'Inputs'!$D$6,"n.a.")))</x:f>
        <x:v>500</x:v>
      </x:c>
      <x:c r="F919" s="22" t="n">
        <x:f>IF(COUNT($N$917:$N$921)=5,SUM($N$917:$N$921),"n.a.")</x:f>
        <x:v>0</x:v>
      </x:c>
      <x:c r="G919" s="22" t="n">
        <x:f>IF(COUNT(E919:F919)=2,MAX(0,E919-F919),"n.a.")</x:f>
        <x:v>500</x:v>
      </x:c>
      <x:c r="H919" s="26" t="str">
        <x:f>'Inputs'!C13</x:f>
        <x:v>Loan C</x:v>
      </x:c>
      <x:c r="I919" s="26" t="n">
        <x:f>S914</x:f>
        <x:v>0</x:v>
      </x:c>
      <x:c r="J919" s="29" t="n">
        <x:f>IF('Inputs'!$D$9="Ready",'Inputs'!E13,"n.a.")</x:f>
        <x:v>0.08</x:v>
      </x:c>
      <x:c r="K919" s="26" t="n">
        <x:f>IF('Inputs'!$D$9="Ready",'Inputs'!F13,"n.a.")</x:f>
        <x:v>150</x:v>
      </x:c>
      <x:c r="L919" s="29" t="n">
        <x:f>IF('Inputs'!$D$9="Ready",'Inputs'!G13,"n.a.")</x:f>
        <x:v>0</x:v>
      </x:c>
      <x:c r="M919" s="22" t="n">
        <x:f>IF(COUNT(I919:L919)=4,ROUND(I919*J919/12,2),"n.a.")</x:f>
        <x:v>0</x:v>
      </x:c>
      <x:c r="N919" s="22" t="n">
        <x:f>IF(COUNT(I919:M919)=5,MIN(I919+M919,ROUND(MAX(K919,I919*L919+M919),2)),"n.a.")</x:f>
        <x:v>0</x:v>
      </x:c>
      <x:c r="O919" s="30" t="n">
        <x:f>IF(COUNT($I$917:$I$921)&lt;&gt;5,"n.a.",IF(I919=0,6,IF('Inputs'!$D$5=1,COUNTIFS($I$917:$I$921,"&gt;0",$I$917:$I$921,"&lt;"&amp;I919)+COUNTIFS($I$917:I919,I919),COUNTIFS($I$917:$I$921,"&gt;0",$J$917:$J$921,"&gt;"&amp;J919)+COUNTIFS($I$917:I919,"&gt;0",$J$917:J919,J919))))</x:f>
        <x:v>6</x:v>
      </x:c>
      <x:c r="P919" s="22" t="n">
        <x:f>IF(T919="Ready",MIN(U919,MAX(0,G919-SUMIFS($U$917:$U$921,$O$917:$O$921,"&lt;"&amp;O919))),"n.a.")</x:f>
        <x:v>0</x:v>
      </x:c>
      <x:c r="Q919" s="22" t="n">
        <x:f>IF(T919="Ready",ROUND(N919+P919,2),"n.a.")</x:f>
        <x:v>0</x:v>
      </x:c>
      <x:c r="R919" s="22" t="n">
        <x:f>IF(T919="Ready",ROUND(Q919-M919,2),"n.a.")</x:f>
        <x:v>0</x:v>
      </x:c>
      <x:c r="S919" s="22" t="n">
        <x:f>IF(T919="Ready",MAX(0,ROUND(I919+M919-Q919,2)),"n.a.")</x:f>
        <x:v>0</x:v>
      </x:c>
      <x:c r="T919" s="22" t="str">
        <x:f>IF(AND(COUNT($I$917:$I$921)=5,COUNT(E919:F919)=2),IF(E919&gt;=F919,"Ready","Budget below minima"),"Check inputs")</x:f>
        <x:v>Ready</x:v>
      </x:c>
      <x:c r="U919" s="22" t="n">
        <x:f>IF(COUNT(I919,M919,N919)=3,MAX(0,ROUND(I919+M919-N919,2)),"n.a.")</x:f>
        <x:v>0</x:v>
      </x:c>
    </x:row>
    <x:row r="920" ht="22" customHeight="1">
      <x:c r="A920" s="2"/>
      <x:c r="B920" s="2"/>
      <x:c r="C920" s="27" t="n">
        <x:f>183</x:f>
        <x:v>183</x:v>
      </x:c>
      <x:c r="D920" s="28" t="n">
        <x:f>IF(ISNUMBER('Inputs'!$D$7),EDATE('Inputs'!$D$7,182),"n.a.")</x:f>
        <x:v>51867</x:v>
      </x:c>
      <x:c r="E920" s="26" t="n">
        <x:f>IF('Inputs'!$D$9&lt;&gt;"Ready","n.a.",IF(ISNUMBER('Inputs'!E201),IF('Inputs'!E201&gt;=0,'Inputs'!E201,"n.a."),IF('Inputs'!E201="",'Inputs'!$D$6,"n.a.")))</x:f>
        <x:v>500</x:v>
      </x:c>
      <x:c r="F920" s="22" t="n">
        <x:f>IF(COUNT($N$917:$N$921)=5,SUM($N$917:$N$921),"n.a.")</x:f>
        <x:v>0</x:v>
      </x:c>
      <x:c r="G920" s="22" t="n">
        <x:f>IF(COUNT(E920:F920)=2,MAX(0,E920-F920),"n.a.")</x:f>
        <x:v>500</x:v>
      </x:c>
      <x:c r="H920" s="26" t="str">
        <x:f>'Inputs'!C14</x:f>
        <x:v>Unused 4</x:v>
      </x:c>
      <x:c r="I920" s="26" t="n">
        <x:f>S915</x:f>
        <x:v>0</x:v>
      </x:c>
      <x:c r="J920" s="29" t="n">
        <x:f>IF('Inputs'!$D$9="Ready",'Inputs'!E14,"n.a.")</x:f>
        <x:v>0</x:v>
      </x:c>
      <x:c r="K920" s="26" t="n">
        <x:f>IF('Inputs'!$D$9="Ready",'Inputs'!F14,"n.a.")</x:f>
        <x:v>0</x:v>
      </x:c>
      <x:c r="L920" s="29" t="n">
        <x:f>IF('Inputs'!$D$9="Ready",'Inputs'!G14,"n.a.")</x:f>
        <x:v>0</x:v>
      </x:c>
      <x:c r="M920" s="22" t="n">
        <x:f>IF(COUNT(I920:L920)=4,ROUND(I920*J920/12,2),"n.a.")</x:f>
        <x:v>0</x:v>
      </x:c>
      <x:c r="N920" s="22" t="n">
        <x:f>IF(COUNT(I920:M920)=5,MIN(I920+M920,ROUND(MAX(K920,I920*L920+M920),2)),"n.a.")</x:f>
        <x:v>0</x:v>
      </x:c>
      <x:c r="O920" s="30" t="n">
        <x:f>IF(COUNT($I$917:$I$921)&lt;&gt;5,"n.a.",IF(I920=0,6,IF('Inputs'!$D$5=1,COUNTIFS($I$917:$I$921,"&gt;0",$I$917:$I$921,"&lt;"&amp;I920)+COUNTIFS($I$917:I920,I920),COUNTIFS($I$917:$I$921,"&gt;0",$J$917:$J$921,"&gt;"&amp;J920)+COUNTIFS($I$917:I920,"&gt;0",$J$917:J920,J920))))</x:f>
        <x:v>6</x:v>
      </x:c>
      <x:c r="P920" s="22" t="n">
        <x:f>IF(T920="Ready",MIN(U920,MAX(0,G920-SUMIFS($U$917:$U$921,$O$917:$O$921,"&lt;"&amp;O920))),"n.a.")</x:f>
        <x:v>0</x:v>
      </x:c>
      <x:c r="Q920" s="22" t="n">
        <x:f>IF(T920="Ready",ROUND(N920+P920,2),"n.a.")</x:f>
        <x:v>0</x:v>
      </x:c>
      <x:c r="R920" s="22" t="n">
        <x:f>IF(T920="Ready",ROUND(Q920-M920,2),"n.a.")</x:f>
        <x:v>0</x:v>
      </x:c>
      <x:c r="S920" s="22" t="n">
        <x:f>IF(T920="Ready",MAX(0,ROUND(I920+M920-Q920,2)),"n.a.")</x:f>
        <x:v>0</x:v>
      </x:c>
      <x:c r="T920" s="22" t="str">
        <x:f>IF(AND(COUNT($I$917:$I$921)=5,COUNT(E920:F920)=2),IF(E920&gt;=F920,"Ready","Budget below minima"),"Check inputs")</x:f>
        <x:v>Ready</x:v>
      </x:c>
      <x:c r="U920" s="22" t="n">
        <x:f>IF(COUNT(I920,M920,N920)=3,MAX(0,ROUND(I920+M920-N920,2)),"n.a.")</x:f>
        <x:v>0</x:v>
      </x:c>
    </x:row>
    <x:row r="921" ht="22" customHeight="1">
      <x:c r="A921" s="2"/>
      <x:c r="B921" s="2"/>
      <x:c r="C921" s="27" t="n">
        <x:f>183</x:f>
        <x:v>183</x:v>
      </x:c>
      <x:c r="D921" s="28" t="n">
        <x:f>IF(ISNUMBER('Inputs'!$D$7),EDATE('Inputs'!$D$7,182),"n.a.")</x:f>
        <x:v>51867</x:v>
      </x:c>
      <x:c r="E921" s="26" t="n">
        <x:f>IF('Inputs'!$D$9&lt;&gt;"Ready","n.a.",IF(ISNUMBER('Inputs'!E201),IF('Inputs'!E201&gt;=0,'Inputs'!E201,"n.a."),IF('Inputs'!E201="",'Inputs'!$D$6,"n.a.")))</x:f>
        <x:v>500</x:v>
      </x:c>
      <x:c r="F921" s="22" t="n">
        <x:f>IF(COUNT($N$917:$N$921)=5,SUM($N$917:$N$921),"n.a.")</x:f>
        <x:v>0</x:v>
      </x:c>
      <x:c r="G921" s="22" t="n">
        <x:f>IF(COUNT(E921:F921)=2,MAX(0,E921-F921),"n.a.")</x:f>
        <x:v>500</x:v>
      </x:c>
      <x:c r="H921" s="26" t="str">
        <x:f>'Inputs'!C15</x:f>
        <x:v>Unused 5</x:v>
      </x:c>
      <x:c r="I921" s="26" t="n">
        <x:f>S916</x:f>
        <x:v>0</x:v>
      </x:c>
      <x:c r="J921" s="29" t="n">
        <x:f>IF('Inputs'!$D$9="Ready",'Inputs'!E15,"n.a.")</x:f>
        <x:v>0</x:v>
      </x:c>
      <x:c r="K921" s="26" t="n">
        <x:f>IF('Inputs'!$D$9="Ready",'Inputs'!F15,"n.a.")</x:f>
        <x:v>0</x:v>
      </x:c>
      <x:c r="L921" s="29" t="n">
        <x:f>IF('Inputs'!$D$9="Ready",'Inputs'!G15,"n.a.")</x:f>
        <x:v>0</x:v>
      </x:c>
      <x:c r="M921" s="22" t="n">
        <x:f>IF(COUNT(I921:L921)=4,ROUND(I921*J921/12,2),"n.a.")</x:f>
        <x:v>0</x:v>
      </x:c>
      <x:c r="N921" s="22" t="n">
        <x:f>IF(COUNT(I921:M921)=5,MIN(I921+M921,ROUND(MAX(K921,I921*L921+M921),2)),"n.a.")</x:f>
        <x:v>0</x:v>
      </x:c>
      <x:c r="O921" s="30" t="n">
        <x:f>IF(COUNT($I$917:$I$921)&lt;&gt;5,"n.a.",IF(I921=0,6,IF('Inputs'!$D$5=1,COUNTIFS($I$917:$I$921,"&gt;0",$I$917:$I$921,"&lt;"&amp;I921)+COUNTIFS($I$917:I921,I921),COUNTIFS($I$917:$I$921,"&gt;0",$J$917:$J$921,"&gt;"&amp;J921)+COUNTIFS($I$917:I921,"&gt;0",$J$917:J921,J921))))</x:f>
        <x:v>6</x:v>
      </x:c>
      <x:c r="P921" s="22" t="n">
        <x:f>IF(T921="Ready",MIN(U921,MAX(0,G921-SUMIFS($U$917:$U$921,$O$917:$O$921,"&lt;"&amp;O921))),"n.a.")</x:f>
        <x:v>0</x:v>
      </x:c>
      <x:c r="Q921" s="22" t="n">
        <x:f>IF(T921="Ready",ROUND(N921+P921,2),"n.a.")</x:f>
        <x:v>0</x:v>
      </x:c>
      <x:c r="R921" s="22" t="n">
        <x:f>IF(T921="Ready",ROUND(Q921-M921,2),"n.a.")</x:f>
        <x:v>0</x:v>
      </x:c>
      <x:c r="S921" s="22" t="n">
        <x:f>IF(T921="Ready",MAX(0,ROUND(I921+M921-Q921,2)),"n.a.")</x:f>
        <x:v>0</x:v>
      </x:c>
      <x:c r="T921" s="22" t="str">
        <x:f>IF(AND(COUNT($I$917:$I$921)=5,COUNT(E921:F921)=2),IF(E921&gt;=F921,"Ready","Budget below minima"),"Check inputs")</x:f>
        <x:v>Ready</x:v>
      </x:c>
      <x:c r="U921" s="22" t="n">
        <x:f>IF(COUNT(I921,M921,N921)=3,MAX(0,ROUND(I921+M921-N921,2)),"n.a.")</x:f>
        <x:v>0</x:v>
      </x:c>
    </x:row>
    <x:row r="922" ht="22" customHeight="1">
      <x:c r="A922" s="2"/>
      <x:c r="B922" s="2"/>
      <x:c r="C922" s="27" t="n">
        <x:f>184</x:f>
        <x:v>184</x:v>
      </x:c>
      <x:c r="D922" s="28" t="n">
        <x:f>IF(ISNUMBER('Inputs'!$D$7),EDATE('Inputs'!$D$7,183),"n.a.")</x:f>
        <x:v>51898</x:v>
      </x:c>
      <x:c r="E922" s="26" t="n">
        <x:f>IF('Inputs'!$D$9&lt;&gt;"Ready","n.a.",IF(ISNUMBER('Inputs'!E202),IF('Inputs'!E202&gt;=0,'Inputs'!E202,"n.a."),IF('Inputs'!E202="",'Inputs'!$D$6,"n.a.")))</x:f>
        <x:v>500</x:v>
      </x:c>
      <x:c r="F922" s="22" t="n">
        <x:f>IF(COUNT($N$922:$N$926)=5,SUM($N$922:$N$926),"n.a.")</x:f>
        <x:v>0</x:v>
      </x:c>
      <x:c r="G922" s="22" t="n">
        <x:f>IF(COUNT(E922:F922)=2,MAX(0,E922-F922),"n.a.")</x:f>
        <x:v>500</x:v>
      </x:c>
      <x:c r="H922" s="26" t="str">
        <x:f>'Inputs'!C11</x:f>
        <x:v>Card A</x:v>
      </x:c>
      <x:c r="I922" s="26" t="n">
        <x:f>S917</x:f>
        <x:v>0</x:v>
      </x:c>
      <x:c r="J922" s="29" t="n">
        <x:f>IF('Inputs'!$D$9="Ready",'Inputs'!E11,"n.a.")</x:f>
        <x:v>0.24</x:v>
      </x:c>
      <x:c r="K922" s="26" t="n">
        <x:f>IF('Inputs'!$D$9="Ready",'Inputs'!F11,"n.a.")</x:f>
        <x:v>35</x:v>
      </x:c>
      <x:c r="L922" s="29" t="n">
        <x:f>IF('Inputs'!$D$9="Ready",'Inputs'!G11,"n.a.")</x:f>
        <x:v>0.02</x:v>
      </x:c>
      <x:c r="M922" s="22" t="n">
        <x:f>IF(COUNT(I922:L922)=4,ROUND(I922*J922/12,2),"n.a.")</x:f>
        <x:v>0</x:v>
      </x:c>
      <x:c r="N922" s="22" t="n">
        <x:f>IF(COUNT(I922:M922)=5,MIN(I922+M922,ROUND(MAX(K922,I922*L922+M922),2)),"n.a.")</x:f>
        <x:v>0</x:v>
      </x:c>
      <x:c r="O922" s="30" t="n">
        <x:f>IF(COUNT($I$922:$I$926)&lt;&gt;5,"n.a.",IF(I922=0,6,IF('Inputs'!$D$5=1,COUNTIFS($I$922:$I$926,"&gt;0",$I$922:$I$926,"&lt;"&amp;I922)+COUNTIFS($I$922:I922,I922),COUNTIFS($I$922:$I$926,"&gt;0",$J$922:$J$926,"&gt;"&amp;J922)+COUNTIFS($I$922:I922,"&gt;0",$J$922:J922,J922))))</x:f>
        <x:v>6</x:v>
      </x:c>
      <x:c r="P922" s="22" t="n">
        <x:f>IF(T922="Ready",MIN(U922,MAX(0,G922-SUMIFS($U$922:$U$926,$O$922:$O$926,"&lt;"&amp;O922))),"n.a.")</x:f>
        <x:v>0</x:v>
      </x:c>
      <x:c r="Q922" s="22" t="n">
        <x:f>IF(T922="Ready",ROUND(N922+P922,2),"n.a.")</x:f>
        <x:v>0</x:v>
      </x:c>
      <x:c r="R922" s="22" t="n">
        <x:f>IF(T922="Ready",ROUND(Q922-M922,2),"n.a.")</x:f>
        <x:v>0</x:v>
      </x:c>
      <x:c r="S922" s="22" t="n">
        <x:f>IF(T922="Ready",MAX(0,ROUND(I922+M922-Q922,2)),"n.a.")</x:f>
        <x:v>0</x:v>
      </x:c>
      <x:c r="T922" s="22" t="str">
        <x:f>IF(AND(COUNT($I$922:$I$926)=5,COUNT(E922:F922)=2),IF(E922&gt;=F922,"Ready","Budget below minima"),"Check inputs")</x:f>
        <x:v>Ready</x:v>
      </x:c>
      <x:c r="U922" s="22" t="n">
        <x:f>IF(COUNT(I922,M922,N922)=3,MAX(0,ROUND(I922+M922-N922,2)),"n.a.")</x:f>
        <x:v>0</x:v>
      </x:c>
    </x:row>
    <x:row r="923" ht="22" customHeight="1">
      <x:c r="A923" s="2"/>
      <x:c r="B923" s="2"/>
      <x:c r="C923" s="27" t="n">
        <x:f>184</x:f>
        <x:v>184</x:v>
      </x:c>
      <x:c r="D923" s="28" t="n">
        <x:f>IF(ISNUMBER('Inputs'!$D$7),EDATE('Inputs'!$D$7,183),"n.a.")</x:f>
        <x:v>51898</x:v>
      </x:c>
      <x:c r="E923" s="26" t="n">
        <x:f>IF('Inputs'!$D$9&lt;&gt;"Ready","n.a.",IF(ISNUMBER('Inputs'!E202),IF('Inputs'!E202&gt;=0,'Inputs'!E202,"n.a."),IF('Inputs'!E202="",'Inputs'!$D$6,"n.a.")))</x:f>
        <x:v>500</x:v>
      </x:c>
      <x:c r="F923" s="22" t="n">
        <x:f>IF(COUNT($N$922:$N$926)=5,SUM($N$922:$N$926),"n.a.")</x:f>
        <x:v>0</x:v>
      </x:c>
      <x:c r="G923" s="22" t="n">
        <x:f>IF(COUNT(E923:F923)=2,MAX(0,E923-F923),"n.a.")</x:f>
        <x:v>500</x:v>
      </x:c>
      <x:c r="H923" s="26" t="str">
        <x:f>'Inputs'!C12</x:f>
        <x:v>Card B</x:v>
      </x:c>
      <x:c r="I923" s="26" t="n">
        <x:f>S918</x:f>
        <x:v>0</x:v>
      </x:c>
      <x:c r="J923" s="29" t="n">
        <x:f>IF('Inputs'!$D$9="Ready",'Inputs'!E12,"n.a.")</x:f>
        <x:v>0.18</x:v>
      </x:c>
      <x:c r="K923" s="26" t="n">
        <x:f>IF('Inputs'!$D$9="Ready",'Inputs'!F12,"n.a.")</x:f>
        <x:v>60</x:v>
      </x:c>
      <x:c r="L923" s="29" t="n">
        <x:f>IF('Inputs'!$D$9="Ready",'Inputs'!G12,"n.a.")</x:f>
        <x:v>0.02</x:v>
      </x:c>
      <x:c r="M923" s="22" t="n">
        <x:f>IF(COUNT(I923:L923)=4,ROUND(I923*J923/12,2),"n.a.")</x:f>
        <x:v>0</x:v>
      </x:c>
      <x:c r="N923" s="22" t="n">
        <x:f>IF(COUNT(I923:M923)=5,MIN(I923+M923,ROUND(MAX(K923,I923*L923+M923),2)),"n.a.")</x:f>
        <x:v>0</x:v>
      </x:c>
      <x:c r="O923" s="30" t="n">
        <x:f>IF(COUNT($I$922:$I$926)&lt;&gt;5,"n.a.",IF(I923=0,6,IF('Inputs'!$D$5=1,COUNTIFS($I$922:$I$926,"&gt;0",$I$922:$I$926,"&lt;"&amp;I923)+COUNTIFS($I$922:I923,I923),COUNTIFS($I$922:$I$926,"&gt;0",$J$922:$J$926,"&gt;"&amp;J923)+COUNTIFS($I$922:I923,"&gt;0",$J$922:J923,J923))))</x:f>
        <x:v>6</x:v>
      </x:c>
      <x:c r="P923" s="22" t="n">
        <x:f>IF(T923="Ready",MIN(U923,MAX(0,G923-SUMIFS($U$922:$U$926,$O$922:$O$926,"&lt;"&amp;O923))),"n.a.")</x:f>
        <x:v>0</x:v>
      </x:c>
      <x:c r="Q923" s="22" t="n">
        <x:f>IF(T923="Ready",ROUND(N923+P923,2),"n.a.")</x:f>
        <x:v>0</x:v>
      </x:c>
      <x:c r="R923" s="22" t="n">
        <x:f>IF(T923="Ready",ROUND(Q923-M923,2),"n.a.")</x:f>
        <x:v>0</x:v>
      </x:c>
      <x:c r="S923" s="22" t="n">
        <x:f>IF(T923="Ready",MAX(0,ROUND(I923+M923-Q923,2)),"n.a.")</x:f>
        <x:v>0</x:v>
      </x:c>
      <x:c r="T923" s="22" t="str">
        <x:f>IF(AND(COUNT($I$922:$I$926)=5,COUNT(E923:F923)=2),IF(E923&gt;=F923,"Ready","Budget below minima"),"Check inputs")</x:f>
        <x:v>Ready</x:v>
      </x:c>
      <x:c r="U923" s="22" t="n">
        <x:f>IF(COUNT(I923,M923,N923)=3,MAX(0,ROUND(I923+M923-N923,2)),"n.a.")</x:f>
        <x:v>0</x:v>
      </x:c>
    </x:row>
    <x:row r="924" ht="22" customHeight="1">
      <x:c r="A924" s="2"/>
      <x:c r="B924" s="2"/>
      <x:c r="C924" s="27" t="n">
        <x:f>184</x:f>
        <x:v>184</x:v>
      </x:c>
      <x:c r="D924" s="28" t="n">
        <x:f>IF(ISNUMBER('Inputs'!$D$7),EDATE('Inputs'!$D$7,183),"n.a.")</x:f>
        <x:v>51898</x:v>
      </x:c>
      <x:c r="E924" s="26" t="n">
        <x:f>IF('Inputs'!$D$9&lt;&gt;"Ready","n.a.",IF(ISNUMBER('Inputs'!E202),IF('Inputs'!E202&gt;=0,'Inputs'!E202,"n.a."),IF('Inputs'!E202="",'Inputs'!$D$6,"n.a.")))</x:f>
        <x:v>500</x:v>
      </x:c>
      <x:c r="F924" s="22" t="n">
        <x:f>IF(COUNT($N$922:$N$926)=5,SUM($N$922:$N$926),"n.a.")</x:f>
        <x:v>0</x:v>
      </x:c>
      <x:c r="G924" s="22" t="n">
        <x:f>IF(COUNT(E924:F924)=2,MAX(0,E924-F924),"n.a.")</x:f>
        <x:v>500</x:v>
      </x:c>
      <x:c r="H924" s="26" t="str">
        <x:f>'Inputs'!C13</x:f>
        <x:v>Loan C</x:v>
      </x:c>
      <x:c r="I924" s="26" t="n">
        <x:f>S919</x:f>
        <x:v>0</x:v>
      </x:c>
      <x:c r="J924" s="29" t="n">
        <x:f>IF('Inputs'!$D$9="Ready",'Inputs'!E13,"n.a.")</x:f>
        <x:v>0.08</x:v>
      </x:c>
      <x:c r="K924" s="26" t="n">
        <x:f>IF('Inputs'!$D$9="Ready",'Inputs'!F13,"n.a.")</x:f>
        <x:v>150</x:v>
      </x:c>
      <x:c r="L924" s="29" t="n">
        <x:f>IF('Inputs'!$D$9="Ready",'Inputs'!G13,"n.a.")</x:f>
        <x:v>0</x:v>
      </x:c>
      <x:c r="M924" s="22" t="n">
        <x:f>IF(COUNT(I924:L924)=4,ROUND(I924*J924/12,2),"n.a.")</x:f>
        <x:v>0</x:v>
      </x:c>
      <x:c r="N924" s="22" t="n">
        <x:f>IF(COUNT(I924:M924)=5,MIN(I924+M924,ROUND(MAX(K924,I924*L924+M924),2)),"n.a.")</x:f>
        <x:v>0</x:v>
      </x:c>
      <x:c r="O924" s="30" t="n">
        <x:f>IF(COUNT($I$922:$I$926)&lt;&gt;5,"n.a.",IF(I924=0,6,IF('Inputs'!$D$5=1,COUNTIFS($I$922:$I$926,"&gt;0",$I$922:$I$926,"&lt;"&amp;I924)+COUNTIFS($I$922:I924,I924),COUNTIFS($I$922:$I$926,"&gt;0",$J$922:$J$926,"&gt;"&amp;J924)+COUNTIFS($I$922:I924,"&gt;0",$J$922:J924,J924))))</x:f>
        <x:v>6</x:v>
      </x:c>
      <x:c r="P924" s="22" t="n">
        <x:f>IF(T924="Ready",MIN(U924,MAX(0,G924-SUMIFS($U$922:$U$926,$O$922:$O$926,"&lt;"&amp;O924))),"n.a.")</x:f>
        <x:v>0</x:v>
      </x:c>
      <x:c r="Q924" s="22" t="n">
        <x:f>IF(T924="Ready",ROUND(N924+P924,2),"n.a.")</x:f>
        <x:v>0</x:v>
      </x:c>
      <x:c r="R924" s="22" t="n">
        <x:f>IF(T924="Ready",ROUND(Q924-M924,2),"n.a.")</x:f>
        <x:v>0</x:v>
      </x:c>
      <x:c r="S924" s="22" t="n">
        <x:f>IF(T924="Ready",MAX(0,ROUND(I924+M924-Q924,2)),"n.a.")</x:f>
        <x:v>0</x:v>
      </x:c>
      <x:c r="T924" s="22" t="str">
        <x:f>IF(AND(COUNT($I$922:$I$926)=5,COUNT(E924:F924)=2),IF(E924&gt;=F924,"Ready","Budget below minima"),"Check inputs")</x:f>
        <x:v>Ready</x:v>
      </x:c>
      <x:c r="U924" s="22" t="n">
        <x:f>IF(COUNT(I924,M924,N924)=3,MAX(0,ROUND(I924+M924-N924,2)),"n.a.")</x:f>
        <x:v>0</x:v>
      </x:c>
    </x:row>
    <x:row r="925" ht="22" customHeight="1">
      <x:c r="A925" s="2"/>
      <x:c r="B925" s="2"/>
      <x:c r="C925" s="27" t="n">
        <x:f>184</x:f>
        <x:v>184</x:v>
      </x:c>
      <x:c r="D925" s="28" t="n">
        <x:f>IF(ISNUMBER('Inputs'!$D$7),EDATE('Inputs'!$D$7,183),"n.a.")</x:f>
        <x:v>51898</x:v>
      </x:c>
      <x:c r="E925" s="26" t="n">
        <x:f>IF('Inputs'!$D$9&lt;&gt;"Ready","n.a.",IF(ISNUMBER('Inputs'!E202),IF('Inputs'!E202&gt;=0,'Inputs'!E202,"n.a."),IF('Inputs'!E202="",'Inputs'!$D$6,"n.a.")))</x:f>
        <x:v>500</x:v>
      </x:c>
      <x:c r="F925" s="22" t="n">
        <x:f>IF(COUNT($N$922:$N$926)=5,SUM($N$922:$N$926),"n.a.")</x:f>
        <x:v>0</x:v>
      </x:c>
      <x:c r="G925" s="22" t="n">
        <x:f>IF(COUNT(E925:F925)=2,MAX(0,E925-F925),"n.a.")</x:f>
        <x:v>500</x:v>
      </x:c>
      <x:c r="H925" s="26" t="str">
        <x:f>'Inputs'!C14</x:f>
        <x:v>Unused 4</x:v>
      </x:c>
      <x:c r="I925" s="26" t="n">
        <x:f>S920</x:f>
        <x:v>0</x:v>
      </x:c>
      <x:c r="J925" s="29" t="n">
        <x:f>IF('Inputs'!$D$9="Ready",'Inputs'!E14,"n.a.")</x:f>
        <x:v>0</x:v>
      </x:c>
      <x:c r="K925" s="26" t="n">
        <x:f>IF('Inputs'!$D$9="Ready",'Inputs'!F14,"n.a.")</x:f>
        <x:v>0</x:v>
      </x:c>
      <x:c r="L925" s="29" t="n">
        <x:f>IF('Inputs'!$D$9="Ready",'Inputs'!G14,"n.a.")</x:f>
        <x:v>0</x:v>
      </x:c>
      <x:c r="M925" s="22" t="n">
        <x:f>IF(COUNT(I925:L925)=4,ROUND(I925*J925/12,2),"n.a.")</x:f>
        <x:v>0</x:v>
      </x:c>
      <x:c r="N925" s="22" t="n">
        <x:f>IF(COUNT(I925:M925)=5,MIN(I925+M925,ROUND(MAX(K925,I925*L925+M925),2)),"n.a.")</x:f>
        <x:v>0</x:v>
      </x:c>
      <x:c r="O925" s="30" t="n">
        <x:f>IF(COUNT($I$922:$I$926)&lt;&gt;5,"n.a.",IF(I925=0,6,IF('Inputs'!$D$5=1,COUNTIFS($I$922:$I$926,"&gt;0",$I$922:$I$926,"&lt;"&amp;I925)+COUNTIFS($I$922:I925,I925),COUNTIFS($I$922:$I$926,"&gt;0",$J$922:$J$926,"&gt;"&amp;J925)+COUNTIFS($I$922:I925,"&gt;0",$J$922:J925,J925))))</x:f>
        <x:v>6</x:v>
      </x:c>
      <x:c r="P925" s="22" t="n">
        <x:f>IF(T925="Ready",MIN(U925,MAX(0,G925-SUMIFS($U$922:$U$926,$O$922:$O$926,"&lt;"&amp;O925))),"n.a.")</x:f>
        <x:v>0</x:v>
      </x:c>
      <x:c r="Q925" s="22" t="n">
        <x:f>IF(T925="Ready",ROUND(N925+P925,2),"n.a.")</x:f>
        <x:v>0</x:v>
      </x:c>
      <x:c r="R925" s="22" t="n">
        <x:f>IF(T925="Ready",ROUND(Q925-M925,2),"n.a.")</x:f>
        <x:v>0</x:v>
      </x:c>
      <x:c r="S925" s="22" t="n">
        <x:f>IF(T925="Ready",MAX(0,ROUND(I925+M925-Q925,2)),"n.a.")</x:f>
        <x:v>0</x:v>
      </x:c>
      <x:c r="T925" s="22" t="str">
        <x:f>IF(AND(COUNT($I$922:$I$926)=5,COUNT(E925:F925)=2),IF(E925&gt;=F925,"Ready","Budget below minima"),"Check inputs")</x:f>
        <x:v>Ready</x:v>
      </x:c>
      <x:c r="U925" s="22" t="n">
        <x:f>IF(COUNT(I925,M925,N925)=3,MAX(0,ROUND(I925+M925-N925,2)),"n.a.")</x:f>
        <x:v>0</x:v>
      </x:c>
    </x:row>
    <x:row r="926" ht="22" customHeight="1">
      <x:c r="A926" s="2"/>
      <x:c r="B926" s="2"/>
      <x:c r="C926" s="27" t="n">
        <x:f>184</x:f>
        <x:v>184</x:v>
      </x:c>
      <x:c r="D926" s="28" t="n">
        <x:f>IF(ISNUMBER('Inputs'!$D$7),EDATE('Inputs'!$D$7,183),"n.a.")</x:f>
        <x:v>51898</x:v>
      </x:c>
      <x:c r="E926" s="26" t="n">
        <x:f>IF('Inputs'!$D$9&lt;&gt;"Ready","n.a.",IF(ISNUMBER('Inputs'!E202),IF('Inputs'!E202&gt;=0,'Inputs'!E202,"n.a."),IF('Inputs'!E202="",'Inputs'!$D$6,"n.a.")))</x:f>
        <x:v>500</x:v>
      </x:c>
      <x:c r="F926" s="22" t="n">
        <x:f>IF(COUNT($N$922:$N$926)=5,SUM($N$922:$N$926),"n.a.")</x:f>
        <x:v>0</x:v>
      </x:c>
      <x:c r="G926" s="22" t="n">
        <x:f>IF(COUNT(E926:F926)=2,MAX(0,E926-F926),"n.a.")</x:f>
        <x:v>500</x:v>
      </x:c>
      <x:c r="H926" s="26" t="str">
        <x:f>'Inputs'!C15</x:f>
        <x:v>Unused 5</x:v>
      </x:c>
      <x:c r="I926" s="26" t="n">
        <x:f>S921</x:f>
        <x:v>0</x:v>
      </x:c>
      <x:c r="J926" s="29" t="n">
        <x:f>IF('Inputs'!$D$9="Ready",'Inputs'!E15,"n.a.")</x:f>
        <x:v>0</x:v>
      </x:c>
      <x:c r="K926" s="26" t="n">
        <x:f>IF('Inputs'!$D$9="Ready",'Inputs'!F15,"n.a.")</x:f>
        <x:v>0</x:v>
      </x:c>
      <x:c r="L926" s="29" t="n">
        <x:f>IF('Inputs'!$D$9="Ready",'Inputs'!G15,"n.a.")</x:f>
        <x:v>0</x:v>
      </x:c>
      <x:c r="M926" s="22" t="n">
        <x:f>IF(COUNT(I926:L926)=4,ROUND(I926*J926/12,2),"n.a.")</x:f>
        <x:v>0</x:v>
      </x:c>
      <x:c r="N926" s="22" t="n">
        <x:f>IF(COUNT(I926:M926)=5,MIN(I926+M926,ROUND(MAX(K926,I926*L926+M926),2)),"n.a.")</x:f>
        <x:v>0</x:v>
      </x:c>
      <x:c r="O926" s="30" t="n">
        <x:f>IF(COUNT($I$922:$I$926)&lt;&gt;5,"n.a.",IF(I926=0,6,IF('Inputs'!$D$5=1,COUNTIFS($I$922:$I$926,"&gt;0",$I$922:$I$926,"&lt;"&amp;I926)+COUNTIFS($I$922:I926,I926),COUNTIFS($I$922:$I$926,"&gt;0",$J$922:$J$926,"&gt;"&amp;J926)+COUNTIFS($I$922:I926,"&gt;0",$J$922:J926,J926))))</x:f>
        <x:v>6</x:v>
      </x:c>
      <x:c r="P926" s="22" t="n">
        <x:f>IF(T926="Ready",MIN(U926,MAX(0,G926-SUMIFS($U$922:$U$926,$O$922:$O$926,"&lt;"&amp;O926))),"n.a.")</x:f>
        <x:v>0</x:v>
      </x:c>
      <x:c r="Q926" s="22" t="n">
        <x:f>IF(T926="Ready",ROUND(N926+P926,2),"n.a.")</x:f>
        <x:v>0</x:v>
      </x:c>
      <x:c r="R926" s="22" t="n">
        <x:f>IF(T926="Ready",ROUND(Q926-M926,2),"n.a.")</x:f>
        <x:v>0</x:v>
      </x:c>
      <x:c r="S926" s="22" t="n">
        <x:f>IF(T926="Ready",MAX(0,ROUND(I926+M926-Q926,2)),"n.a.")</x:f>
        <x:v>0</x:v>
      </x:c>
      <x:c r="T926" s="22" t="str">
        <x:f>IF(AND(COUNT($I$922:$I$926)=5,COUNT(E926:F926)=2),IF(E926&gt;=F926,"Ready","Budget below minima"),"Check inputs")</x:f>
        <x:v>Ready</x:v>
      </x:c>
      <x:c r="U926" s="22" t="n">
        <x:f>IF(COUNT(I926,M926,N926)=3,MAX(0,ROUND(I926+M926-N926,2)),"n.a.")</x:f>
        <x:v>0</x:v>
      </x:c>
    </x:row>
    <x:row r="927" ht="22" customHeight="1">
      <x:c r="A927" s="2"/>
      <x:c r="B927" s="2"/>
      <x:c r="C927" s="27" t="n">
        <x:f>185</x:f>
        <x:v>185</x:v>
      </x:c>
      <x:c r="D927" s="28" t="n">
        <x:f>IF(ISNUMBER('Inputs'!$D$7),EDATE('Inputs'!$D$7,184),"n.a.")</x:f>
        <x:v>51926</x:v>
      </x:c>
      <x:c r="E927" s="26" t="n">
        <x:f>IF('Inputs'!$D$9&lt;&gt;"Ready","n.a.",IF(ISNUMBER('Inputs'!E203),IF('Inputs'!E203&gt;=0,'Inputs'!E203,"n.a."),IF('Inputs'!E203="",'Inputs'!$D$6,"n.a.")))</x:f>
        <x:v>500</x:v>
      </x:c>
      <x:c r="F927" s="22" t="n">
        <x:f>IF(COUNT($N$927:$N$931)=5,SUM($N$927:$N$931),"n.a.")</x:f>
        <x:v>0</x:v>
      </x:c>
      <x:c r="G927" s="22" t="n">
        <x:f>IF(COUNT(E927:F927)=2,MAX(0,E927-F927),"n.a.")</x:f>
        <x:v>500</x:v>
      </x:c>
      <x:c r="H927" s="26" t="str">
        <x:f>'Inputs'!C11</x:f>
        <x:v>Card A</x:v>
      </x:c>
      <x:c r="I927" s="26" t="n">
        <x:f>S922</x:f>
        <x:v>0</x:v>
      </x:c>
      <x:c r="J927" s="29" t="n">
        <x:f>IF('Inputs'!$D$9="Ready",'Inputs'!E11,"n.a.")</x:f>
        <x:v>0.24</x:v>
      </x:c>
      <x:c r="K927" s="26" t="n">
        <x:f>IF('Inputs'!$D$9="Ready",'Inputs'!F11,"n.a.")</x:f>
        <x:v>35</x:v>
      </x:c>
      <x:c r="L927" s="29" t="n">
        <x:f>IF('Inputs'!$D$9="Ready",'Inputs'!G11,"n.a.")</x:f>
        <x:v>0.02</x:v>
      </x:c>
      <x:c r="M927" s="22" t="n">
        <x:f>IF(COUNT(I927:L927)=4,ROUND(I927*J927/12,2),"n.a.")</x:f>
        <x:v>0</x:v>
      </x:c>
      <x:c r="N927" s="22" t="n">
        <x:f>IF(COUNT(I927:M927)=5,MIN(I927+M927,ROUND(MAX(K927,I927*L927+M927),2)),"n.a.")</x:f>
        <x:v>0</x:v>
      </x:c>
      <x:c r="O927" s="30" t="n">
        <x:f>IF(COUNT($I$927:$I$931)&lt;&gt;5,"n.a.",IF(I927=0,6,IF('Inputs'!$D$5=1,COUNTIFS($I$927:$I$931,"&gt;0",$I$927:$I$931,"&lt;"&amp;I927)+COUNTIFS($I$927:I927,I927),COUNTIFS($I$927:$I$931,"&gt;0",$J$927:$J$931,"&gt;"&amp;J927)+COUNTIFS($I$927:I927,"&gt;0",$J$927:J927,J927))))</x:f>
        <x:v>6</x:v>
      </x:c>
      <x:c r="P927" s="22" t="n">
        <x:f>IF(T927="Ready",MIN(U927,MAX(0,G927-SUMIFS($U$927:$U$931,$O$927:$O$931,"&lt;"&amp;O927))),"n.a.")</x:f>
        <x:v>0</x:v>
      </x:c>
      <x:c r="Q927" s="22" t="n">
        <x:f>IF(T927="Ready",ROUND(N927+P927,2),"n.a.")</x:f>
        <x:v>0</x:v>
      </x:c>
      <x:c r="R927" s="22" t="n">
        <x:f>IF(T927="Ready",ROUND(Q927-M927,2),"n.a.")</x:f>
        <x:v>0</x:v>
      </x:c>
      <x:c r="S927" s="22" t="n">
        <x:f>IF(T927="Ready",MAX(0,ROUND(I927+M927-Q927,2)),"n.a.")</x:f>
        <x:v>0</x:v>
      </x:c>
      <x:c r="T927" s="22" t="str">
        <x:f>IF(AND(COUNT($I$927:$I$931)=5,COUNT(E927:F927)=2),IF(E927&gt;=F927,"Ready","Budget below minima"),"Check inputs")</x:f>
        <x:v>Ready</x:v>
      </x:c>
      <x:c r="U927" s="22" t="n">
        <x:f>IF(COUNT(I927,M927,N927)=3,MAX(0,ROUND(I927+M927-N927,2)),"n.a.")</x:f>
        <x:v>0</x:v>
      </x:c>
    </x:row>
    <x:row r="928" ht="22" customHeight="1">
      <x:c r="A928" s="2"/>
      <x:c r="B928" s="2"/>
      <x:c r="C928" s="27" t="n">
        <x:f>185</x:f>
        <x:v>185</x:v>
      </x:c>
      <x:c r="D928" s="28" t="n">
        <x:f>IF(ISNUMBER('Inputs'!$D$7),EDATE('Inputs'!$D$7,184),"n.a.")</x:f>
        <x:v>51926</x:v>
      </x:c>
      <x:c r="E928" s="26" t="n">
        <x:f>IF('Inputs'!$D$9&lt;&gt;"Ready","n.a.",IF(ISNUMBER('Inputs'!E203),IF('Inputs'!E203&gt;=0,'Inputs'!E203,"n.a."),IF('Inputs'!E203="",'Inputs'!$D$6,"n.a.")))</x:f>
        <x:v>500</x:v>
      </x:c>
      <x:c r="F928" s="22" t="n">
        <x:f>IF(COUNT($N$927:$N$931)=5,SUM($N$927:$N$931),"n.a.")</x:f>
        <x:v>0</x:v>
      </x:c>
      <x:c r="G928" s="22" t="n">
        <x:f>IF(COUNT(E928:F928)=2,MAX(0,E928-F928),"n.a.")</x:f>
        <x:v>500</x:v>
      </x:c>
      <x:c r="H928" s="26" t="str">
        <x:f>'Inputs'!C12</x:f>
        <x:v>Card B</x:v>
      </x:c>
      <x:c r="I928" s="26" t="n">
        <x:f>S923</x:f>
        <x:v>0</x:v>
      </x:c>
      <x:c r="J928" s="29" t="n">
        <x:f>IF('Inputs'!$D$9="Ready",'Inputs'!E12,"n.a.")</x:f>
        <x:v>0.18</x:v>
      </x:c>
      <x:c r="K928" s="26" t="n">
        <x:f>IF('Inputs'!$D$9="Ready",'Inputs'!F12,"n.a.")</x:f>
        <x:v>60</x:v>
      </x:c>
      <x:c r="L928" s="29" t="n">
        <x:f>IF('Inputs'!$D$9="Ready",'Inputs'!G12,"n.a.")</x:f>
        <x:v>0.02</x:v>
      </x:c>
      <x:c r="M928" s="22" t="n">
        <x:f>IF(COUNT(I928:L928)=4,ROUND(I928*J928/12,2),"n.a.")</x:f>
        <x:v>0</x:v>
      </x:c>
      <x:c r="N928" s="22" t="n">
        <x:f>IF(COUNT(I928:M928)=5,MIN(I928+M928,ROUND(MAX(K928,I928*L928+M928),2)),"n.a.")</x:f>
        <x:v>0</x:v>
      </x:c>
      <x:c r="O928" s="30" t="n">
        <x:f>IF(COUNT($I$927:$I$931)&lt;&gt;5,"n.a.",IF(I928=0,6,IF('Inputs'!$D$5=1,COUNTIFS($I$927:$I$931,"&gt;0",$I$927:$I$931,"&lt;"&amp;I928)+COUNTIFS($I$927:I928,I928),COUNTIFS($I$927:$I$931,"&gt;0",$J$927:$J$931,"&gt;"&amp;J928)+COUNTIFS($I$927:I928,"&gt;0",$J$927:J928,J928))))</x:f>
        <x:v>6</x:v>
      </x:c>
      <x:c r="P928" s="22" t="n">
        <x:f>IF(T928="Ready",MIN(U928,MAX(0,G928-SUMIFS($U$927:$U$931,$O$927:$O$931,"&lt;"&amp;O928))),"n.a.")</x:f>
        <x:v>0</x:v>
      </x:c>
      <x:c r="Q928" s="22" t="n">
        <x:f>IF(T928="Ready",ROUND(N928+P928,2),"n.a.")</x:f>
        <x:v>0</x:v>
      </x:c>
      <x:c r="R928" s="22" t="n">
        <x:f>IF(T928="Ready",ROUND(Q928-M928,2),"n.a.")</x:f>
        <x:v>0</x:v>
      </x:c>
      <x:c r="S928" s="22" t="n">
        <x:f>IF(T928="Ready",MAX(0,ROUND(I928+M928-Q928,2)),"n.a.")</x:f>
        <x:v>0</x:v>
      </x:c>
      <x:c r="T928" s="22" t="str">
        <x:f>IF(AND(COUNT($I$927:$I$931)=5,COUNT(E928:F928)=2),IF(E928&gt;=F928,"Ready","Budget below minima"),"Check inputs")</x:f>
        <x:v>Ready</x:v>
      </x:c>
      <x:c r="U928" s="22" t="n">
        <x:f>IF(COUNT(I928,M928,N928)=3,MAX(0,ROUND(I928+M928-N928,2)),"n.a.")</x:f>
        <x:v>0</x:v>
      </x:c>
    </x:row>
    <x:row r="929" ht="22" customHeight="1">
      <x:c r="A929" s="2"/>
      <x:c r="B929" s="2"/>
      <x:c r="C929" s="27" t="n">
        <x:f>185</x:f>
        <x:v>185</x:v>
      </x:c>
      <x:c r="D929" s="28" t="n">
        <x:f>IF(ISNUMBER('Inputs'!$D$7),EDATE('Inputs'!$D$7,184),"n.a.")</x:f>
        <x:v>51926</x:v>
      </x:c>
      <x:c r="E929" s="26" t="n">
        <x:f>IF('Inputs'!$D$9&lt;&gt;"Ready","n.a.",IF(ISNUMBER('Inputs'!E203),IF('Inputs'!E203&gt;=0,'Inputs'!E203,"n.a."),IF('Inputs'!E203="",'Inputs'!$D$6,"n.a.")))</x:f>
        <x:v>500</x:v>
      </x:c>
      <x:c r="F929" s="22" t="n">
        <x:f>IF(COUNT($N$927:$N$931)=5,SUM($N$927:$N$931),"n.a.")</x:f>
        <x:v>0</x:v>
      </x:c>
      <x:c r="G929" s="22" t="n">
        <x:f>IF(COUNT(E929:F929)=2,MAX(0,E929-F929),"n.a.")</x:f>
        <x:v>500</x:v>
      </x:c>
      <x:c r="H929" s="26" t="str">
        <x:f>'Inputs'!C13</x:f>
        <x:v>Loan C</x:v>
      </x:c>
      <x:c r="I929" s="26" t="n">
        <x:f>S924</x:f>
        <x:v>0</x:v>
      </x:c>
      <x:c r="J929" s="29" t="n">
        <x:f>IF('Inputs'!$D$9="Ready",'Inputs'!E13,"n.a.")</x:f>
        <x:v>0.08</x:v>
      </x:c>
      <x:c r="K929" s="26" t="n">
        <x:f>IF('Inputs'!$D$9="Ready",'Inputs'!F13,"n.a.")</x:f>
        <x:v>150</x:v>
      </x:c>
      <x:c r="L929" s="29" t="n">
        <x:f>IF('Inputs'!$D$9="Ready",'Inputs'!G13,"n.a.")</x:f>
        <x:v>0</x:v>
      </x:c>
      <x:c r="M929" s="22" t="n">
        <x:f>IF(COUNT(I929:L929)=4,ROUND(I929*J929/12,2),"n.a.")</x:f>
        <x:v>0</x:v>
      </x:c>
      <x:c r="N929" s="22" t="n">
        <x:f>IF(COUNT(I929:M929)=5,MIN(I929+M929,ROUND(MAX(K929,I929*L929+M929),2)),"n.a.")</x:f>
        <x:v>0</x:v>
      </x:c>
      <x:c r="O929" s="30" t="n">
        <x:f>IF(COUNT($I$927:$I$931)&lt;&gt;5,"n.a.",IF(I929=0,6,IF('Inputs'!$D$5=1,COUNTIFS($I$927:$I$931,"&gt;0",$I$927:$I$931,"&lt;"&amp;I929)+COUNTIFS($I$927:I929,I929),COUNTIFS($I$927:$I$931,"&gt;0",$J$927:$J$931,"&gt;"&amp;J929)+COUNTIFS($I$927:I929,"&gt;0",$J$927:J929,J929))))</x:f>
        <x:v>6</x:v>
      </x:c>
      <x:c r="P929" s="22" t="n">
        <x:f>IF(T929="Ready",MIN(U929,MAX(0,G929-SUMIFS($U$927:$U$931,$O$927:$O$931,"&lt;"&amp;O929))),"n.a.")</x:f>
        <x:v>0</x:v>
      </x:c>
      <x:c r="Q929" s="22" t="n">
        <x:f>IF(T929="Ready",ROUND(N929+P929,2),"n.a.")</x:f>
        <x:v>0</x:v>
      </x:c>
      <x:c r="R929" s="22" t="n">
        <x:f>IF(T929="Ready",ROUND(Q929-M929,2),"n.a.")</x:f>
        <x:v>0</x:v>
      </x:c>
      <x:c r="S929" s="22" t="n">
        <x:f>IF(T929="Ready",MAX(0,ROUND(I929+M929-Q929,2)),"n.a.")</x:f>
        <x:v>0</x:v>
      </x:c>
      <x:c r="T929" s="22" t="str">
        <x:f>IF(AND(COUNT($I$927:$I$931)=5,COUNT(E929:F929)=2),IF(E929&gt;=F929,"Ready","Budget below minima"),"Check inputs")</x:f>
        <x:v>Ready</x:v>
      </x:c>
      <x:c r="U929" s="22" t="n">
        <x:f>IF(COUNT(I929,M929,N929)=3,MAX(0,ROUND(I929+M929-N929,2)),"n.a.")</x:f>
        <x:v>0</x:v>
      </x:c>
    </x:row>
    <x:row r="930" ht="22" customHeight="1">
      <x:c r="A930" s="2"/>
      <x:c r="B930" s="2"/>
      <x:c r="C930" s="27" t="n">
        <x:f>185</x:f>
        <x:v>185</x:v>
      </x:c>
      <x:c r="D930" s="28" t="n">
        <x:f>IF(ISNUMBER('Inputs'!$D$7),EDATE('Inputs'!$D$7,184),"n.a.")</x:f>
        <x:v>51926</x:v>
      </x:c>
      <x:c r="E930" s="26" t="n">
        <x:f>IF('Inputs'!$D$9&lt;&gt;"Ready","n.a.",IF(ISNUMBER('Inputs'!E203),IF('Inputs'!E203&gt;=0,'Inputs'!E203,"n.a."),IF('Inputs'!E203="",'Inputs'!$D$6,"n.a.")))</x:f>
        <x:v>500</x:v>
      </x:c>
      <x:c r="F930" s="22" t="n">
        <x:f>IF(COUNT($N$927:$N$931)=5,SUM($N$927:$N$931),"n.a.")</x:f>
        <x:v>0</x:v>
      </x:c>
      <x:c r="G930" s="22" t="n">
        <x:f>IF(COUNT(E930:F930)=2,MAX(0,E930-F930),"n.a.")</x:f>
        <x:v>500</x:v>
      </x:c>
      <x:c r="H930" s="26" t="str">
        <x:f>'Inputs'!C14</x:f>
        <x:v>Unused 4</x:v>
      </x:c>
      <x:c r="I930" s="26" t="n">
        <x:f>S925</x:f>
        <x:v>0</x:v>
      </x:c>
      <x:c r="J930" s="29" t="n">
        <x:f>IF('Inputs'!$D$9="Ready",'Inputs'!E14,"n.a.")</x:f>
        <x:v>0</x:v>
      </x:c>
      <x:c r="K930" s="26" t="n">
        <x:f>IF('Inputs'!$D$9="Ready",'Inputs'!F14,"n.a.")</x:f>
        <x:v>0</x:v>
      </x:c>
      <x:c r="L930" s="29" t="n">
        <x:f>IF('Inputs'!$D$9="Ready",'Inputs'!G14,"n.a.")</x:f>
        <x:v>0</x:v>
      </x:c>
      <x:c r="M930" s="22" t="n">
        <x:f>IF(COUNT(I930:L930)=4,ROUND(I930*J930/12,2),"n.a.")</x:f>
        <x:v>0</x:v>
      </x:c>
      <x:c r="N930" s="22" t="n">
        <x:f>IF(COUNT(I930:M930)=5,MIN(I930+M930,ROUND(MAX(K930,I930*L930+M930),2)),"n.a.")</x:f>
        <x:v>0</x:v>
      </x:c>
      <x:c r="O930" s="30" t="n">
        <x:f>IF(COUNT($I$927:$I$931)&lt;&gt;5,"n.a.",IF(I930=0,6,IF('Inputs'!$D$5=1,COUNTIFS($I$927:$I$931,"&gt;0",$I$927:$I$931,"&lt;"&amp;I930)+COUNTIFS($I$927:I930,I930),COUNTIFS($I$927:$I$931,"&gt;0",$J$927:$J$931,"&gt;"&amp;J930)+COUNTIFS($I$927:I930,"&gt;0",$J$927:J930,J930))))</x:f>
        <x:v>6</x:v>
      </x:c>
      <x:c r="P930" s="22" t="n">
        <x:f>IF(T930="Ready",MIN(U930,MAX(0,G930-SUMIFS($U$927:$U$931,$O$927:$O$931,"&lt;"&amp;O930))),"n.a.")</x:f>
        <x:v>0</x:v>
      </x:c>
      <x:c r="Q930" s="22" t="n">
        <x:f>IF(T930="Ready",ROUND(N930+P930,2),"n.a.")</x:f>
        <x:v>0</x:v>
      </x:c>
      <x:c r="R930" s="22" t="n">
        <x:f>IF(T930="Ready",ROUND(Q930-M930,2),"n.a.")</x:f>
        <x:v>0</x:v>
      </x:c>
      <x:c r="S930" s="22" t="n">
        <x:f>IF(T930="Ready",MAX(0,ROUND(I930+M930-Q930,2)),"n.a.")</x:f>
        <x:v>0</x:v>
      </x:c>
      <x:c r="T930" s="22" t="str">
        <x:f>IF(AND(COUNT($I$927:$I$931)=5,COUNT(E930:F930)=2),IF(E930&gt;=F930,"Ready","Budget below minima"),"Check inputs")</x:f>
        <x:v>Ready</x:v>
      </x:c>
      <x:c r="U930" s="22" t="n">
        <x:f>IF(COUNT(I930,M930,N930)=3,MAX(0,ROUND(I930+M930-N930,2)),"n.a.")</x:f>
        <x:v>0</x:v>
      </x:c>
    </x:row>
    <x:row r="931" ht="22" customHeight="1">
      <x:c r="A931" s="2"/>
      <x:c r="B931" s="2"/>
      <x:c r="C931" s="27" t="n">
        <x:f>185</x:f>
        <x:v>185</x:v>
      </x:c>
      <x:c r="D931" s="28" t="n">
        <x:f>IF(ISNUMBER('Inputs'!$D$7),EDATE('Inputs'!$D$7,184),"n.a.")</x:f>
        <x:v>51926</x:v>
      </x:c>
      <x:c r="E931" s="26" t="n">
        <x:f>IF('Inputs'!$D$9&lt;&gt;"Ready","n.a.",IF(ISNUMBER('Inputs'!E203),IF('Inputs'!E203&gt;=0,'Inputs'!E203,"n.a."),IF('Inputs'!E203="",'Inputs'!$D$6,"n.a.")))</x:f>
        <x:v>500</x:v>
      </x:c>
      <x:c r="F931" s="22" t="n">
        <x:f>IF(COUNT($N$927:$N$931)=5,SUM($N$927:$N$931),"n.a.")</x:f>
        <x:v>0</x:v>
      </x:c>
      <x:c r="G931" s="22" t="n">
        <x:f>IF(COUNT(E931:F931)=2,MAX(0,E931-F931),"n.a.")</x:f>
        <x:v>500</x:v>
      </x:c>
      <x:c r="H931" s="26" t="str">
        <x:f>'Inputs'!C15</x:f>
        <x:v>Unused 5</x:v>
      </x:c>
      <x:c r="I931" s="26" t="n">
        <x:f>S926</x:f>
        <x:v>0</x:v>
      </x:c>
      <x:c r="J931" s="29" t="n">
        <x:f>IF('Inputs'!$D$9="Ready",'Inputs'!E15,"n.a.")</x:f>
        <x:v>0</x:v>
      </x:c>
      <x:c r="K931" s="26" t="n">
        <x:f>IF('Inputs'!$D$9="Ready",'Inputs'!F15,"n.a.")</x:f>
        <x:v>0</x:v>
      </x:c>
      <x:c r="L931" s="29" t="n">
        <x:f>IF('Inputs'!$D$9="Ready",'Inputs'!G15,"n.a.")</x:f>
        <x:v>0</x:v>
      </x:c>
      <x:c r="M931" s="22" t="n">
        <x:f>IF(COUNT(I931:L931)=4,ROUND(I931*J931/12,2),"n.a.")</x:f>
        <x:v>0</x:v>
      </x:c>
      <x:c r="N931" s="22" t="n">
        <x:f>IF(COUNT(I931:M931)=5,MIN(I931+M931,ROUND(MAX(K931,I931*L931+M931),2)),"n.a.")</x:f>
        <x:v>0</x:v>
      </x:c>
      <x:c r="O931" s="30" t="n">
        <x:f>IF(COUNT($I$927:$I$931)&lt;&gt;5,"n.a.",IF(I931=0,6,IF('Inputs'!$D$5=1,COUNTIFS($I$927:$I$931,"&gt;0",$I$927:$I$931,"&lt;"&amp;I931)+COUNTIFS($I$927:I931,I931),COUNTIFS($I$927:$I$931,"&gt;0",$J$927:$J$931,"&gt;"&amp;J931)+COUNTIFS($I$927:I931,"&gt;0",$J$927:J931,J931))))</x:f>
        <x:v>6</x:v>
      </x:c>
      <x:c r="P931" s="22" t="n">
        <x:f>IF(T931="Ready",MIN(U931,MAX(0,G931-SUMIFS($U$927:$U$931,$O$927:$O$931,"&lt;"&amp;O931))),"n.a.")</x:f>
        <x:v>0</x:v>
      </x:c>
      <x:c r="Q931" s="22" t="n">
        <x:f>IF(T931="Ready",ROUND(N931+P931,2),"n.a.")</x:f>
        <x:v>0</x:v>
      </x:c>
      <x:c r="R931" s="22" t="n">
        <x:f>IF(T931="Ready",ROUND(Q931-M931,2),"n.a.")</x:f>
        <x:v>0</x:v>
      </x:c>
      <x:c r="S931" s="22" t="n">
        <x:f>IF(T931="Ready",MAX(0,ROUND(I931+M931-Q931,2)),"n.a.")</x:f>
        <x:v>0</x:v>
      </x:c>
      <x:c r="T931" s="22" t="str">
        <x:f>IF(AND(COUNT($I$927:$I$931)=5,COUNT(E931:F931)=2),IF(E931&gt;=F931,"Ready","Budget below minima"),"Check inputs")</x:f>
        <x:v>Ready</x:v>
      </x:c>
      <x:c r="U931" s="22" t="n">
        <x:f>IF(COUNT(I931,M931,N931)=3,MAX(0,ROUND(I931+M931-N931,2)),"n.a.")</x:f>
        <x:v>0</x:v>
      </x:c>
    </x:row>
    <x:row r="932" ht="22" customHeight="1">
      <x:c r="A932" s="2"/>
      <x:c r="B932" s="2"/>
      <x:c r="C932" s="27" t="n">
        <x:f>186</x:f>
        <x:v>186</x:v>
      </x:c>
      <x:c r="D932" s="28" t="n">
        <x:f>IF(ISNUMBER('Inputs'!$D$7),EDATE('Inputs'!$D$7,185),"n.a.")</x:f>
        <x:v>51957</x:v>
      </x:c>
      <x:c r="E932" s="26" t="n">
        <x:f>IF('Inputs'!$D$9&lt;&gt;"Ready","n.a.",IF(ISNUMBER('Inputs'!E204),IF('Inputs'!E204&gt;=0,'Inputs'!E204,"n.a."),IF('Inputs'!E204="",'Inputs'!$D$6,"n.a.")))</x:f>
        <x:v>500</x:v>
      </x:c>
      <x:c r="F932" s="22" t="n">
        <x:f>IF(COUNT($N$932:$N$936)=5,SUM($N$932:$N$936),"n.a.")</x:f>
        <x:v>0</x:v>
      </x:c>
      <x:c r="G932" s="22" t="n">
        <x:f>IF(COUNT(E932:F932)=2,MAX(0,E932-F932),"n.a.")</x:f>
        <x:v>500</x:v>
      </x:c>
      <x:c r="H932" s="26" t="str">
        <x:f>'Inputs'!C11</x:f>
        <x:v>Card A</x:v>
      </x:c>
      <x:c r="I932" s="26" t="n">
        <x:f>S927</x:f>
        <x:v>0</x:v>
      </x:c>
      <x:c r="J932" s="29" t="n">
        <x:f>IF('Inputs'!$D$9="Ready",'Inputs'!E11,"n.a.")</x:f>
        <x:v>0.24</x:v>
      </x:c>
      <x:c r="K932" s="26" t="n">
        <x:f>IF('Inputs'!$D$9="Ready",'Inputs'!F11,"n.a.")</x:f>
        <x:v>35</x:v>
      </x:c>
      <x:c r="L932" s="29" t="n">
        <x:f>IF('Inputs'!$D$9="Ready",'Inputs'!G11,"n.a.")</x:f>
        <x:v>0.02</x:v>
      </x:c>
      <x:c r="M932" s="22" t="n">
        <x:f>IF(COUNT(I932:L932)=4,ROUND(I932*J932/12,2),"n.a.")</x:f>
        <x:v>0</x:v>
      </x:c>
      <x:c r="N932" s="22" t="n">
        <x:f>IF(COUNT(I932:M932)=5,MIN(I932+M932,ROUND(MAX(K932,I932*L932+M932),2)),"n.a.")</x:f>
        <x:v>0</x:v>
      </x:c>
      <x:c r="O932" s="30" t="n">
        <x:f>IF(COUNT($I$932:$I$936)&lt;&gt;5,"n.a.",IF(I932=0,6,IF('Inputs'!$D$5=1,COUNTIFS($I$932:$I$936,"&gt;0",$I$932:$I$936,"&lt;"&amp;I932)+COUNTIFS($I$932:I932,I932),COUNTIFS($I$932:$I$936,"&gt;0",$J$932:$J$936,"&gt;"&amp;J932)+COUNTIFS($I$932:I932,"&gt;0",$J$932:J932,J932))))</x:f>
        <x:v>6</x:v>
      </x:c>
      <x:c r="P932" s="22" t="n">
        <x:f>IF(T932="Ready",MIN(U932,MAX(0,G932-SUMIFS($U$932:$U$936,$O$932:$O$936,"&lt;"&amp;O932))),"n.a.")</x:f>
        <x:v>0</x:v>
      </x:c>
      <x:c r="Q932" s="22" t="n">
        <x:f>IF(T932="Ready",ROUND(N932+P932,2),"n.a.")</x:f>
        <x:v>0</x:v>
      </x:c>
      <x:c r="R932" s="22" t="n">
        <x:f>IF(T932="Ready",ROUND(Q932-M932,2),"n.a.")</x:f>
        <x:v>0</x:v>
      </x:c>
      <x:c r="S932" s="22" t="n">
        <x:f>IF(T932="Ready",MAX(0,ROUND(I932+M932-Q932,2)),"n.a.")</x:f>
        <x:v>0</x:v>
      </x:c>
      <x:c r="T932" s="22" t="str">
        <x:f>IF(AND(COUNT($I$932:$I$936)=5,COUNT(E932:F932)=2),IF(E932&gt;=F932,"Ready","Budget below minima"),"Check inputs")</x:f>
        <x:v>Ready</x:v>
      </x:c>
      <x:c r="U932" s="22" t="n">
        <x:f>IF(COUNT(I932,M932,N932)=3,MAX(0,ROUND(I932+M932-N932,2)),"n.a.")</x:f>
        <x:v>0</x:v>
      </x:c>
    </x:row>
    <x:row r="933" ht="22" customHeight="1">
      <x:c r="A933" s="2"/>
      <x:c r="B933" s="2"/>
      <x:c r="C933" s="27" t="n">
        <x:f>186</x:f>
        <x:v>186</x:v>
      </x:c>
      <x:c r="D933" s="28" t="n">
        <x:f>IF(ISNUMBER('Inputs'!$D$7),EDATE('Inputs'!$D$7,185),"n.a.")</x:f>
        <x:v>51957</x:v>
      </x:c>
      <x:c r="E933" s="26" t="n">
        <x:f>IF('Inputs'!$D$9&lt;&gt;"Ready","n.a.",IF(ISNUMBER('Inputs'!E204),IF('Inputs'!E204&gt;=0,'Inputs'!E204,"n.a."),IF('Inputs'!E204="",'Inputs'!$D$6,"n.a.")))</x:f>
        <x:v>500</x:v>
      </x:c>
      <x:c r="F933" s="22" t="n">
        <x:f>IF(COUNT($N$932:$N$936)=5,SUM($N$932:$N$936),"n.a.")</x:f>
        <x:v>0</x:v>
      </x:c>
      <x:c r="G933" s="22" t="n">
        <x:f>IF(COUNT(E933:F933)=2,MAX(0,E933-F933),"n.a.")</x:f>
        <x:v>500</x:v>
      </x:c>
      <x:c r="H933" s="26" t="str">
        <x:f>'Inputs'!C12</x:f>
        <x:v>Card B</x:v>
      </x:c>
      <x:c r="I933" s="26" t="n">
        <x:f>S928</x:f>
        <x:v>0</x:v>
      </x:c>
      <x:c r="J933" s="29" t="n">
        <x:f>IF('Inputs'!$D$9="Ready",'Inputs'!E12,"n.a.")</x:f>
        <x:v>0.18</x:v>
      </x:c>
      <x:c r="K933" s="26" t="n">
        <x:f>IF('Inputs'!$D$9="Ready",'Inputs'!F12,"n.a.")</x:f>
        <x:v>60</x:v>
      </x:c>
      <x:c r="L933" s="29" t="n">
        <x:f>IF('Inputs'!$D$9="Ready",'Inputs'!G12,"n.a.")</x:f>
        <x:v>0.02</x:v>
      </x:c>
      <x:c r="M933" s="22" t="n">
        <x:f>IF(COUNT(I933:L933)=4,ROUND(I933*J933/12,2),"n.a.")</x:f>
        <x:v>0</x:v>
      </x:c>
      <x:c r="N933" s="22" t="n">
        <x:f>IF(COUNT(I933:M933)=5,MIN(I933+M933,ROUND(MAX(K933,I933*L933+M933),2)),"n.a.")</x:f>
        <x:v>0</x:v>
      </x:c>
      <x:c r="O933" s="30" t="n">
        <x:f>IF(COUNT($I$932:$I$936)&lt;&gt;5,"n.a.",IF(I933=0,6,IF('Inputs'!$D$5=1,COUNTIFS($I$932:$I$936,"&gt;0",$I$932:$I$936,"&lt;"&amp;I933)+COUNTIFS($I$932:I933,I933),COUNTIFS($I$932:$I$936,"&gt;0",$J$932:$J$936,"&gt;"&amp;J933)+COUNTIFS($I$932:I933,"&gt;0",$J$932:J933,J933))))</x:f>
        <x:v>6</x:v>
      </x:c>
      <x:c r="P933" s="22" t="n">
        <x:f>IF(T933="Ready",MIN(U933,MAX(0,G933-SUMIFS($U$932:$U$936,$O$932:$O$936,"&lt;"&amp;O933))),"n.a.")</x:f>
        <x:v>0</x:v>
      </x:c>
      <x:c r="Q933" s="22" t="n">
        <x:f>IF(T933="Ready",ROUND(N933+P933,2),"n.a.")</x:f>
        <x:v>0</x:v>
      </x:c>
      <x:c r="R933" s="22" t="n">
        <x:f>IF(T933="Ready",ROUND(Q933-M933,2),"n.a.")</x:f>
        <x:v>0</x:v>
      </x:c>
      <x:c r="S933" s="22" t="n">
        <x:f>IF(T933="Ready",MAX(0,ROUND(I933+M933-Q933,2)),"n.a.")</x:f>
        <x:v>0</x:v>
      </x:c>
      <x:c r="T933" s="22" t="str">
        <x:f>IF(AND(COUNT($I$932:$I$936)=5,COUNT(E933:F933)=2),IF(E933&gt;=F933,"Ready","Budget below minima"),"Check inputs")</x:f>
        <x:v>Ready</x:v>
      </x:c>
      <x:c r="U933" s="22" t="n">
        <x:f>IF(COUNT(I933,M933,N933)=3,MAX(0,ROUND(I933+M933-N933,2)),"n.a.")</x:f>
        <x:v>0</x:v>
      </x:c>
    </x:row>
    <x:row r="934" ht="22" customHeight="1">
      <x:c r="A934" s="2"/>
      <x:c r="B934" s="2"/>
      <x:c r="C934" s="27" t="n">
        <x:f>186</x:f>
        <x:v>186</x:v>
      </x:c>
      <x:c r="D934" s="28" t="n">
        <x:f>IF(ISNUMBER('Inputs'!$D$7),EDATE('Inputs'!$D$7,185),"n.a.")</x:f>
        <x:v>51957</x:v>
      </x:c>
      <x:c r="E934" s="26" t="n">
        <x:f>IF('Inputs'!$D$9&lt;&gt;"Ready","n.a.",IF(ISNUMBER('Inputs'!E204),IF('Inputs'!E204&gt;=0,'Inputs'!E204,"n.a."),IF('Inputs'!E204="",'Inputs'!$D$6,"n.a.")))</x:f>
        <x:v>500</x:v>
      </x:c>
      <x:c r="F934" s="22" t="n">
        <x:f>IF(COUNT($N$932:$N$936)=5,SUM($N$932:$N$936),"n.a.")</x:f>
        <x:v>0</x:v>
      </x:c>
      <x:c r="G934" s="22" t="n">
        <x:f>IF(COUNT(E934:F934)=2,MAX(0,E934-F934),"n.a.")</x:f>
        <x:v>500</x:v>
      </x:c>
      <x:c r="H934" s="26" t="str">
        <x:f>'Inputs'!C13</x:f>
        <x:v>Loan C</x:v>
      </x:c>
      <x:c r="I934" s="26" t="n">
        <x:f>S929</x:f>
        <x:v>0</x:v>
      </x:c>
      <x:c r="J934" s="29" t="n">
        <x:f>IF('Inputs'!$D$9="Ready",'Inputs'!E13,"n.a.")</x:f>
        <x:v>0.08</x:v>
      </x:c>
      <x:c r="K934" s="26" t="n">
        <x:f>IF('Inputs'!$D$9="Ready",'Inputs'!F13,"n.a.")</x:f>
        <x:v>150</x:v>
      </x:c>
      <x:c r="L934" s="29" t="n">
        <x:f>IF('Inputs'!$D$9="Ready",'Inputs'!G13,"n.a.")</x:f>
        <x:v>0</x:v>
      </x:c>
      <x:c r="M934" s="22" t="n">
        <x:f>IF(COUNT(I934:L934)=4,ROUND(I934*J934/12,2),"n.a.")</x:f>
        <x:v>0</x:v>
      </x:c>
      <x:c r="N934" s="22" t="n">
        <x:f>IF(COUNT(I934:M934)=5,MIN(I934+M934,ROUND(MAX(K934,I934*L934+M934),2)),"n.a.")</x:f>
        <x:v>0</x:v>
      </x:c>
      <x:c r="O934" s="30" t="n">
        <x:f>IF(COUNT($I$932:$I$936)&lt;&gt;5,"n.a.",IF(I934=0,6,IF('Inputs'!$D$5=1,COUNTIFS($I$932:$I$936,"&gt;0",$I$932:$I$936,"&lt;"&amp;I934)+COUNTIFS($I$932:I934,I934),COUNTIFS($I$932:$I$936,"&gt;0",$J$932:$J$936,"&gt;"&amp;J934)+COUNTIFS($I$932:I934,"&gt;0",$J$932:J934,J934))))</x:f>
        <x:v>6</x:v>
      </x:c>
      <x:c r="P934" s="22" t="n">
        <x:f>IF(T934="Ready",MIN(U934,MAX(0,G934-SUMIFS($U$932:$U$936,$O$932:$O$936,"&lt;"&amp;O934))),"n.a.")</x:f>
        <x:v>0</x:v>
      </x:c>
      <x:c r="Q934" s="22" t="n">
        <x:f>IF(T934="Ready",ROUND(N934+P934,2),"n.a.")</x:f>
        <x:v>0</x:v>
      </x:c>
      <x:c r="R934" s="22" t="n">
        <x:f>IF(T934="Ready",ROUND(Q934-M934,2),"n.a.")</x:f>
        <x:v>0</x:v>
      </x:c>
      <x:c r="S934" s="22" t="n">
        <x:f>IF(T934="Ready",MAX(0,ROUND(I934+M934-Q934,2)),"n.a.")</x:f>
        <x:v>0</x:v>
      </x:c>
      <x:c r="T934" s="22" t="str">
        <x:f>IF(AND(COUNT($I$932:$I$936)=5,COUNT(E934:F934)=2),IF(E934&gt;=F934,"Ready","Budget below minima"),"Check inputs")</x:f>
        <x:v>Ready</x:v>
      </x:c>
      <x:c r="U934" s="22" t="n">
        <x:f>IF(COUNT(I934,M934,N934)=3,MAX(0,ROUND(I934+M934-N934,2)),"n.a.")</x:f>
        <x:v>0</x:v>
      </x:c>
    </x:row>
    <x:row r="935" ht="22" customHeight="1">
      <x:c r="A935" s="2"/>
      <x:c r="B935" s="2"/>
      <x:c r="C935" s="27" t="n">
        <x:f>186</x:f>
        <x:v>186</x:v>
      </x:c>
      <x:c r="D935" s="28" t="n">
        <x:f>IF(ISNUMBER('Inputs'!$D$7),EDATE('Inputs'!$D$7,185),"n.a.")</x:f>
        <x:v>51957</x:v>
      </x:c>
      <x:c r="E935" s="26" t="n">
        <x:f>IF('Inputs'!$D$9&lt;&gt;"Ready","n.a.",IF(ISNUMBER('Inputs'!E204),IF('Inputs'!E204&gt;=0,'Inputs'!E204,"n.a."),IF('Inputs'!E204="",'Inputs'!$D$6,"n.a.")))</x:f>
        <x:v>500</x:v>
      </x:c>
      <x:c r="F935" s="22" t="n">
        <x:f>IF(COUNT($N$932:$N$936)=5,SUM($N$932:$N$936),"n.a.")</x:f>
        <x:v>0</x:v>
      </x:c>
      <x:c r="G935" s="22" t="n">
        <x:f>IF(COUNT(E935:F935)=2,MAX(0,E935-F935),"n.a.")</x:f>
        <x:v>500</x:v>
      </x:c>
      <x:c r="H935" s="26" t="str">
        <x:f>'Inputs'!C14</x:f>
        <x:v>Unused 4</x:v>
      </x:c>
      <x:c r="I935" s="26" t="n">
        <x:f>S930</x:f>
        <x:v>0</x:v>
      </x:c>
      <x:c r="J935" s="29" t="n">
        <x:f>IF('Inputs'!$D$9="Ready",'Inputs'!E14,"n.a.")</x:f>
        <x:v>0</x:v>
      </x:c>
      <x:c r="K935" s="26" t="n">
        <x:f>IF('Inputs'!$D$9="Ready",'Inputs'!F14,"n.a.")</x:f>
        <x:v>0</x:v>
      </x:c>
      <x:c r="L935" s="29" t="n">
        <x:f>IF('Inputs'!$D$9="Ready",'Inputs'!G14,"n.a.")</x:f>
        <x:v>0</x:v>
      </x:c>
      <x:c r="M935" s="22" t="n">
        <x:f>IF(COUNT(I935:L935)=4,ROUND(I935*J935/12,2),"n.a.")</x:f>
        <x:v>0</x:v>
      </x:c>
      <x:c r="N935" s="22" t="n">
        <x:f>IF(COUNT(I935:M935)=5,MIN(I935+M935,ROUND(MAX(K935,I935*L935+M935),2)),"n.a.")</x:f>
        <x:v>0</x:v>
      </x:c>
      <x:c r="O935" s="30" t="n">
        <x:f>IF(COUNT($I$932:$I$936)&lt;&gt;5,"n.a.",IF(I935=0,6,IF('Inputs'!$D$5=1,COUNTIFS($I$932:$I$936,"&gt;0",$I$932:$I$936,"&lt;"&amp;I935)+COUNTIFS($I$932:I935,I935),COUNTIFS($I$932:$I$936,"&gt;0",$J$932:$J$936,"&gt;"&amp;J935)+COUNTIFS($I$932:I935,"&gt;0",$J$932:J935,J935))))</x:f>
        <x:v>6</x:v>
      </x:c>
      <x:c r="P935" s="22" t="n">
        <x:f>IF(T935="Ready",MIN(U935,MAX(0,G935-SUMIFS($U$932:$U$936,$O$932:$O$936,"&lt;"&amp;O935))),"n.a.")</x:f>
        <x:v>0</x:v>
      </x:c>
      <x:c r="Q935" s="22" t="n">
        <x:f>IF(T935="Ready",ROUND(N935+P935,2),"n.a.")</x:f>
        <x:v>0</x:v>
      </x:c>
      <x:c r="R935" s="22" t="n">
        <x:f>IF(T935="Ready",ROUND(Q935-M935,2),"n.a.")</x:f>
        <x:v>0</x:v>
      </x:c>
      <x:c r="S935" s="22" t="n">
        <x:f>IF(T935="Ready",MAX(0,ROUND(I935+M935-Q935,2)),"n.a.")</x:f>
        <x:v>0</x:v>
      </x:c>
      <x:c r="T935" s="22" t="str">
        <x:f>IF(AND(COUNT($I$932:$I$936)=5,COUNT(E935:F935)=2),IF(E935&gt;=F935,"Ready","Budget below minima"),"Check inputs")</x:f>
        <x:v>Ready</x:v>
      </x:c>
      <x:c r="U935" s="22" t="n">
        <x:f>IF(COUNT(I935,M935,N935)=3,MAX(0,ROUND(I935+M935-N935,2)),"n.a.")</x:f>
        <x:v>0</x:v>
      </x:c>
    </x:row>
    <x:row r="936" ht="22" customHeight="1">
      <x:c r="A936" s="2"/>
      <x:c r="B936" s="2"/>
      <x:c r="C936" s="27" t="n">
        <x:f>186</x:f>
        <x:v>186</x:v>
      </x:c>
      <x:c r="D936" s="28" t="n">
        <x:f>IF(ISNUMBER('Inputs'!$D$7),EDATE('Inputs'!$D$7,185),"n.a.")</x:f>
        <x:v>51957</x:v>
      </x:c>
      <x:c r="E936" s="26" t="n">
        <x:f>IF('Inputs'!$D$9&lt;&gt;"Ready","n.a.",IF(ISNUMBER('Inputs'!E204),IF('Inputs'!E204&gt;=0,'Inputs'!E204,"n.a."),IF('Inputs'!E204="",'Inputs'!$D$6,"n.a.")))</x:f>
        <x:v>500</x:v>
      </x:c>
      <x:c r="F936" s="22" t="n">
        <x:f>IF(COUNT($N$932:$N$936)=5,SUM($N$932:$N$936),"n.a.")</x:f>
        <x:v>0</x:v>
      </x:c>
      <x:c r="G936" s="22" t="n">
        <x:f>IF(COUNT(E936:F936)=2,MAX(0,E936-F936),"n.a.")</x:f>
        <x:v>500</x:v>
      </x:c>
      <x:c r="H936" s="26" t="str">
        <x:f>'Inputs'!C15</x:f>
        <x:v>Unused 5</x:v>
      </x:c>
      <x:c r="I936" s="26" t="n">
        <x:f>S931</x:f>
        <x:v>0</x:v>
      </x:c>
      <x:c r="J936" s="29" t="n">
        <x:f>IF('Inputs'!$D$9="Ready",'Inputs'!E15,"n.a.")</x:f>
        <x:v>0</x:v>
      </x:c>
      <x:c r="K936" s="26" t="n">
        <x:f>IF('Inputs'!$D$9="Ready",'Inputs'!F15,"n.a.")</x:f>
        <x:v>0</x:v>
      </x:c>
      <x:c r="L936" s="29" t="n">
        <x:f>IF('Inputs'!$D$9="Ready",'Inputs'!G15,"n.a.")</x:f>
        <x:v>0</x:v>
      </x:c>
      <x:c r="M936" s="22" t="n">
        <x:f>IF(COUNT(I936:L936)=4,ROUND(I936*J936/12,2),"n.a.")</x:f>
        <x:v>0</x:v>
      </x:c>
      <x:c r="N936" s="22" t="n">
        <x:f>IF(COUNT(I936:M936)=5,MIN(I936+M936,ROUND(MAX(K936,I936*L936+M936),2)),"n.a.")</x:f>
        <x:v>0</x:v>
      </x:c>
      <x:c r="O936" s="30" t="n">
        <x:f>IF(COUNT($I$932:$I$936)&lt;&gt;5,"n.a.",IF(I936=0,6,IF('Inputs'!$D$5=1,COUNTIFS($I$932:$I$936,"&gt;0",$I$932:$I$936,"&lt;"&amp;I936)+COUNTIFS($I$932:I936,I936),COUNTIFS($I$932:$I$936,"&gt;0",$J$932:$J$936,"&gt;"&amp;J936)+COUNTIFS($I$932:I936,"&gt;0",$J$932:J936,J936))))</x:f>
        <x:v>6</x:v>
      </x:c>
      <x:c r="P936" s="22" t="n">
        <x:f>IF(T936="Ready",MIN(U936,MAX(0,G936-SUMIFS($U$932:$U$936,$O$932:$O$936,"&lt;"&amp;O936))),"n.a.")</x:f>
        <x:v>0</x:v>
      </x:c>
      <x:c r="Q936" s="22" t="n">
        <x:f>IF(T936="Ready",ROUND(N936+P936,2),"n.a.")</x:f>
        <x:v>0</x:v>
      </x:c>
      <x:c r="R936" s="22" t="n">
        <x:f>IF(T936="Ready",ROUND(Q936-M936,2),"n.a.")</x:f>
        <x:v>0</x:v>
      </x:c>
      <x:c r="S936" s="22" t="n">
        <x:f>IF(T936="Ready",MAX(0,ROUND(I936+M936-Q936,2)),"n.a.")</x:f>
        <x:v>0</x:v>
      </x:c>
      <x:c r="T936" s="22" t="str">
        <x:f>IF(AND(COUNT($I$932:$I$936)=5,COUNT(E936:F936)=2),IF(E936&gt;=F936,"Ready","Budget below minima"),"Check inputs")</x:f>
        <x:v>Ready</x:v>
      </x:c>
      <x:c r="U936" s="22" t="n">
        <x:f>IF(COUNT(I936,M936,N936)=3,MAX(0,ROUND(I936+M936-N936,2)),"n.a.")</x:f>
        <x:v>0</x:v>
      </x:c>
    </x:row>
    <x:row r="937" ht="22" customHeight="1">
      <x:c r="A937" s="2"/>
      <x:c r="B937" s="2"/>
      <x:c r="C937" s="27" t="n">
        <x:f>187</x:f>
        <x:v>187</x:v>
      </x:c>
      <x:c r="D937" s="28" t="n">
        <x:f>IF(ISNUMBER('Inputs'!$D$7),EDATE('Inputs'!$D$7,186),"n.a.")</x:f>
        <x:v>51987</x:v>
      </x:c>
      <x:c r="E937" s="26" t="n">
        <x:f>IF('Inputs'!$D$9&lt;&gt;"Ready","n.a.",IF(ISNUMBER('Inputs'!E205),IF('Inputs'!E205&gt;=0,'Inputs'!E205,"n.a."),IF('Inputs'!E205="",'Inputs'!$D$6,"n.a.")))</x:f>
        <x:v>500</x:v>
      </x:c>
      <x:c r="F937" s="22" t="n">
        <x:f>IF(COUNT($N$937:$N$941)=5,SUM($N$937:$N$941),"n.a.")</x:f>
        <x:v>0</x:v>
      </x:c>
      <x:c r="G937" s="22" t="n">
        <x:f>IF(COUNT(E937:F937)=2,MAX(0,E937-F937),"n.a.")</x:f>
        <x:v>500</x:v>
      </x:c>
      <x:c r="H937" s="26" t="str">
        <x:f>'Inputs'!C11</x:f>
        <x:v>Card A</x:v>
      </x:c>
      <x:c r="I937" s="26" t="n">
        <x:f>S932</x:f>
        <x:v>0</x:v>
      </x:c>
      <x:c r="J937" s="29" t="n">
        <x:f>IF('Inputs'!$D$9="Ready",'Inputs'!E11,"n.a.")</x:f>
        <x:v>0.24</x:v>
      </x:c>
      <x:c r="K937" s="26" t="n">
        <x:f>IF('Inputs'!$D$9="Ready",'Inputs'!F11,"n.a.")</x:f>
        <x:v>35</x:v>
      </x:c>
      <x:c r="L937" s="29" t="n">
        <x:f>IF('Inputs'!$D$9="Ready",'Inputs'!G11,"n.a.")</x:f>
        <x:v>0.02</x:v>
      </x:c>
      <x:c r="M937" s="22" t="n">
        <x:f>IF(COUNT(I937:L937)=4,ROUND(I937*J937/12,2),"n.a.")</x:f>
        <x:v>0</x:v>
      </x:c>
      <x:c r="N937" s="22" t="n">
        <x:f>IF(COUNT(I937:M937)=5,MIN(I937+M937,ROUND(MAX(K937,I937*L937+M937),2)),"n.a.")</x:f>
        <x:v>0</x:v>
      </x:c>
      <x:c r="O937" s="30" t="n">
        <x:f>IF(COUNT($I$937:$I$941)&lt;&gt;5,"n.a.",IF(I937=0,6,IF('Inputs'!$D$5=1,COUNTIFS($I$937:$I$941,"&gt;0",$I$937:$I$941,"&lt;"&amp;I937)+COUNTIFS($I$937:I937,I937),COUNTIFS($I$937:$I$941,"&gt;0",$J$937:$J$941,"&gt;"&amp;J937)+COUNTIFS($I$937:I937,"&gt;0",$J$937:J937,J937))))</x:f>
        <x:v>6</x:v>
      </x:c>
      <x:c r="P937" s="22" t="n">
        <x:f>IF(T937="Ready",MIN(U937,MAX(0,G937-SUMIFS($U$937:$U$941,$O$937:$O$941,"&lt;"&amp;O937))),"n.a.")</x:f>
        <x:v>0</x:v>
      </x:c>
      <x:c r="Q937" s="22" t="n">
        <x:f>IF(T937="Ready",ROUND(N937+P937,2),"n.a.")</x:f>
        <x:v>0</x:v>
      </x:c>
      <x:c r="R937" s="22" t="n">
        <x:f>IF(T937="Ready",ROUND(Q937-M937,2),"n.a.")</x:f>
        <x:v>0</x:v>
      </x:c>
      <x:c r="S937" s="22" t="n">
        <x:f>IF(T937="Ready",MAX(0,ROUND(I937+M937-Q937,2)),"n.a.")</x:f>
        <x:v>0</x:v>
      </x:c>
      <x:c r="T937" s="22" t="str">
        <x:f>IF(AND(COUNT($I$937:$I$941)=5,COUNT(E937:F937)=2),IF(E937&gt;=F937,"Ready","Budget below minima"),"Check inputs")</x:f>
        <x:v>Ready</x:v>
      </x:c>
      <x:c r="U937" s="22" t="n">
        <x:f>IF(COUNT(I937,M937,N937)=3,MAX(0,ROUND(I937+M937-N937,2)),"n.a.")</x:f>
        <x:v>0</x:v>
      </x:c>
    </x:row>
    <x:row r="938" ht="22" customHeight="1">
      <x:c r="A938" s="2"/>
      <x:c r="B938" s="2"/>
      <x:c r="C938" s="27" t="n">
        <x:f>187</x:f>
        <x:v>187</x:v>
      </x:c>
      <x:c r="D938" s="28" t="n">
        <x:f>IF(ISNUMBER('Inputs'!$D$7),EDATE('Inputs'!$D$7,186),"n.a.")</x:f>
        <x:v>51987</x:v>
      </x:c>
      <x:c r="E938" s="26" t="n">
        <x:f>IF('Inputs'!$D$9&lt;&gt;"Ready","n.a.",IF(ISNUMBER('Inputs'!E205),IF('Inputs'!E205&gt;=0,'Inputs'!E205,"n.a."),IF('Inputs'!E205="",'Inputs'!$D$6,"n.a.")))</x:f>
        <x:v>500</x:v>
      </x:c>
      <x:c r="F938" s="22" t="n">
        <x:f>IF(COUNT($N$937:$N$941)=5,SUM($N$937:$N$941),"n.a.")</x:f>
        <x:v>0</x:v>
      </x:c>
      <x:c r="G938" s="22" t="n">
        <x:f>IF(COUNT(E938:F938)=2,MAX(0,E938-F938),"n.a.")</x:f>
        <x:v>500</x:v>
      </x:c>
      <x:c r="H938" s="26" t="str">
        <x:f>'Inputs'!C12</x:f>
        <x:v>Card B</x:v>
      </x:c>
      <x:c r="I938" s="26" t="n">
        <x:f>S933</x:f>
        <x:v>0</x:v>
      </x:c>
      <x:c r="J938" s="29" t="n">
        <x:f>IF('Inputs'!$D$9="Ready",'Inputs'!E12,"n.a.")</x:f>
        <x:v>0.18</x:v>
      </x:c>
      <x:c r="K938" s="26" t="n">
        <x:f>IF('Inputs'!$D$9="Ready",'Inputs'!F12,"n.a.")</x:f>
        <x:v>60</x:v>
      </x:c>
      <x:c r="L938" s="29" t="n">
        <x:f>IF('Inputs'!$D$9="Ready",'Inputs'!G12,"n.a.")</x:f>
        <x:v>0.02</x:v>
      </x:c>
      <x:c r="M938" s="22" t="n">
        <x:f>IF(COUNT(I938:L938)=4,ROUND(I938*J938/12,2),"n.a.")</x:f>
        <x:v>0</x:v>
      </x:c>
      <x:c r="N938" s="22" t="n">
        <x:f>IF(COUNT(I938:M938)=5,MIN(I938+M938,ROUND(MAX(K938,I938*L938+M938),2)),"n.a.")</x:f>
        <x:v>0</x:v>
      </x:c>
      <x:c r="O938" s="30" t="n">
        <x:f>IF(COUNT($I$937:$I$941)&lt;&gt;5,"n.a.",IF(I938=0,6,IF('Inputs'!$D$5=1,COUNTIFS($I$937:$I$941,"&gt;0",$I$937:$I$941,"&lt;"&amp;I938)+COUNTIFS($I$937:I938,I938),COUNTIFS($I$937:$I$941,"&gt;0",$J$937:$J$941,"&gt;"&amp;J938)+COUNTIFS($I$937:I938,"&gt;0",$J$937:J938,J938))))</x:f>
        <x:v>6</x:v>
      </x:c>
      <x:c r="P938" s="22" t="n">
        <x:f>IF(T938="Ready",MIN(U938,MAX(0,G938-SUMIFS($U$937:$U$941,$O$937:$O$941,"&lt;"&amp;O938))),"n.a.")</x:f>
        <x:v>0</x:v>
      </x:c>
      <x:c r="Q938" s="22" t="n">
        <x:f>IF(T938="Ready",ROUND(N938+P938,2),"n.a.")</x:f>
        <x:v>0</x:v>
      </x:c>
      <x:c r="R938" s="22" t="n">
        <x:f>IF(T938="Ready",ROUND(Q938-M938,2),"n.a.")</x:f>
        <x:v>0</x:v>
      </x:c>
      <x:c r="S938" s="22" t="n">
        <x:f>IF(T938="Ready",MAX(0,ROUND(I938+M938-Q938,2)),"n.a.")</x:f>
        <x:v>0</x:v>
      </x:c>
      <x:c r="T938" s="22" t="str">
        <x:f>IF(AND(COUNT($I$937:$I$941)=5,COUNT(E938:F938)=2),IF(E938&gt;=F938,"Ready","Budget below minima"),"Check inputs")</x:f>
        <x:v>Ready</x:v>
      </x:c>
      <x:c r="U938" s="22" t="n">
        <x:f>IF(COUNT(I938,M938,N938)=3,MAX(0,ROUND(I938+M938-N938,2)),"n.a.")</x:f>
        <x:v>0</x:v>
      </x:c>
    </x:row>
    <x:row r="939" ht="22" customHeight="1">
      <x:c r="A939" s="2"/>
      <x:c r="B939" s="2"/>
      <x:c r="C939" s="27" t="n">
        <x:f>187</x:f>
        <x:v>187</x:v>
      </x:c>
      <x:c r="D939" s="28" t="n">
        <x:f>IF(ISNUMBER('Inputs'!$D$7),EDATE('Inputs'!$D$7,186),"n.a.")</x:f>
        <x:v>51987</x:v>
      </x:c>
      <x:c r="E939" s="26" t="n">
        <x:f>IF('Inputs'!$D$9&lt;&gt;"Ready","n.a.",IF(ISNUMBER('Inputs'!E205),IF('Inputs'!E205&gt;=0,'Inputs'!E205,"n.a."),IF('Inputs'!E205="",'Inputs'!$D$6,"n.a.")))</x:f>
        <x:v>500</x:v>
      </x:c>
      <x:c r="F939" s="22" t="n">
        <x:f>IF(COUNT($N$937:$N$941)=5,SUM($N$937:$N$941),"n.a.")</x:f>
        <x:v>0</x:v>
      </x:c>
      <x:c r="G939" s="22" t="n">
        <x:f>IF(COUNT(E939:F939)=2,MAX(0,E939-F939),"n.a.")</x:f>
        <x:v>500</x:v>
      </x:c>
      <x:c r="H939" s="26" t="str">
        <x:f>'Inputs'!C13</x:f>
        <x:v>Loan C</x:v>
      </x:c>
      <x:c r="I939" s="26" t="n">
        <x:f>S934</x:f>
        <x:v>0</x:v>
      </x:c>
      <x:c r="J939" s="29" t="n">
        <x:f>IF('Inputs'!$D$9="Ready",'Inputs'!E13,"n.a.")</x:f>
        <x:v>0.08</x:v>
      </x:c>
      <x:c r="K939" s="26" t="n">
        <x:f>IF('Inputs'!$D$9="Ready",'Inputs'!F13,"n.a.")</x:f>
        <x:v>150</x:v>
      </x:c>
      <x:c r="L939" s="29" t="n">
        <x:f>IF('Inputs'!$D$9="Ready",'Inputs'!G13,"n.a.")</x:f>
        <x:v>0</x:v>
      </x:c>
      <x:c r="M939" s="22" t="n">
        <x:f>IF(COUNT(I939:L939)=4,ROUND(I939*J939/12,2),"n.a.")</x:f>
        <x:v>0</x:v>
      </x:c>
      <x:c r="N939" s="22" t="n">
        <x:f>IF(COUNT(I939:M939)=5,MIN(I939+M939,ROUND(MAX(K939,I939*L939+M939),2)),"n.a.")</x:f>
        <x:v>0</x:v>
      </x:c>
      <x:c r="O939" s="30" t="n">
        <x:f>IF(COUNT($I$937:$I$941)&lt;&gt;5,"n.a.",IF(I939=0,6,IF('Inputs'!$D$5=1,COUNTIFS($I$937:$I$941,"&gt;0",$I$937:$I$941,"&lt;"&amp;I939)+COUNTIFS($I$937:I939,I939),COUNTIFS($I$937:$I$941,"&gt;0",$J$937:$J$941,"&gt;"&amp;J939)+COUNTIFS($I$937:I939,"&gt;0",$J$937:J939,J939))))</x:f>
        <x:v>6</x:v>
      </x:c>
      <x:c r="P939" s="22" t="n">
        <x:f>IF(T939="Ready",MIN(U939,MAX(0,G939-SUMIFS($U$937:$U$941,$O$937:$O$941,"&lt;"&amp;O939))),"n.a.")</x:f>
        <x:v>0</x:v>
      </x:c>
      <x:c r="Q939" s="22" t="n">
        <x:f>IF(T939="Ready",ROUND(N939+P939,2),"n.a.")</x:f>
        <x:v>0</x:v>
      </x:c>
      <x:c r="R939" s="22" t="n">
        <x:f>IF(T939="Ready",ROUND(Q939-M939,2),"n.a.")</x:f>
        <x:v>0</x:v>
      </x:c>
      <x:c r="S939" s="22" t="n">
        <x:f>IF(T939="Ready",MAX(0,ROUND(I939+M939-Q939,2)),"n.a.")</x:f>
        <x:v>0</x:v>
      </x:c>
      <x:c r="T939" s="22" t="str">
        <x:f>IF(AND(COUNT($I$937:$I$941)=5,COUNT(E939:F939)=2),IF(E939&gt;=F939,"Ready","Budget below minima"),"Check inputs")</x:f>
        <x:v>Ready</x:v>
      </x:c>
      <x:c r="U939" s="22" t="n">
        <x:f>IF(COUNT(I939,M939,N939)=3,MAX(0,ROUND(I939+M939-N939,2)),"n.a.")</x:f>
        <x:v>0</x:v>
      </x:c>
    </x:row>
    <x:row r="940" ht="22" customHeight="1">
      <x:c r="A940" s="2"/>
      <x:c r="B940" s="2"/>
      <x:c r="C940" s="27" t="n">
        <x:f>187</x:f>
        <x:v>187</x:v>
      </x:c>
      <x:c r="D940" s="28" t="n">
        <x:f>IF(ISNUMBER('Inputs'!$D$7),EDATE('Inputs'!$D$7,186),"n.a.")</x:f>
        <x:v>51987</x:v>
      </x:c>
      <x:c r="E940" s="26" t="n">
        <x:f>IF('Inputs'!$D$9&lt;&gt;"Ready","n.a.",IF(ISNUMBER('Inputs'!E205),IF('Inputs'!E205&gt;=0,'Inputs'!E205,"n.a."),IF('Inputs'!E205="",'Inputs'!$D$6,"n.a.")))</x:f>
        <x:v>500</x:v>
      </x:c>
      <x:c r="F940" s="22" t="n">
        <x:f>IF(COUNT($N$937:$N$941)=5,SUM($N$937:$N$941),"n.a.")</x:f>
        <x:v>0</x:v>
      </x:c>
      <x:c r="G940" s="22" t="n">
        <x:f>IF(COUNT(E940:F940)=2,MAX(0,E940-F940),"n.a.")</x:f>
        <x:v>500</x:v>
      </x:c>
      <x:c r="H940" s="26" t="str">
        <x:f>'Inputs'!C14</x:f>
        <x:v>Unused 4</x:v>
      </x:c>
      <x:c r="I940" s="26" t="n">
        <x:f>S935</x:f>
        <x:v>0</x:v>
      </x:c>
      <x:c r="J940" s="29" t="n">
        <x:f>IF('Inputs'!$D$9="Ready",'Inputs'!E14,"n.a.")</x:f>
        <x:v>0</x:v>
      </x:c>
      <x:c r="K940" s="26" t="n">
        <x:f>IF('Inputs'!$D$9="Ready",'Inputs'!F14,"n.a.")</x:f>
        <x:v>0</x:v>
      </x:c>
      <x:c r="L940" s="29" t="n">
        <x:f>IF('Inputs'!$D$9="Ready",'Inputs'!G14,"n.a.")</x:f>
        <x:v>0</x:v>
      </x:c>
      <x:c r="M940" s="22" t="n">
        <x:f>IF(COUNT(I940:L940)=4,ROUND(I940*J940/12,2),"n.a.")</x:f>
        <x:v>0</x:v>
      </x:c>
      <x:c r="N940" s="22" t="n">
        <x:f>IF(COUNT(I940:M940)=5,MIN(I940+M940,ROUND(MAX(K940,I940*L940+M940),2)),"n.a.")</x:f>
        <x:v>0</x:v>
      </x:c>
      <x:c r="O940" s="30" t="n">
        <x:f>IF(COUNT($I$937:$I$941)&lt;&gt;5,"n.a.",IF(I940=0,6,IF('Inputs'!$D$5=1,COUNTIFS($I$937:$I$941,"&gt;0",$I$937:$I$941,"&lt;"&amp;I940)+COUNTIFS($I$937:I940,I940),COUNTIFS($I$937:$I$941,"&gt;0",$J$937:$J$941,"&gt;"&amp;J940)+COUNTIFS($I$937:I940,"&gt;0",$J$937:J940,J940))))</x:f>
        <x:v>6</x:v>
      </x:c>
      <x:c r="P940" s="22" t="n">
        <x:f>IF(T940="Ready",MIN(U940,MAX(0,G940-SUMIFS($U$937:$U$941,$O$937:$O$941,"&lt;"&amp;O940))),"n.a.")</x:f>
        <x:v>0</x:v>
      </x:c>
      <x:c r="Q940" s="22" t="n">
        <x:f>IF(T940="Ready",ROUND(N940+P940,2),"n.a.")</x:f>
        <x:v>0</x:v>
      </x:c>
      <x:c r="R940" s="22" t="n">
        <x:f>IF(T940="Ready",ROUND(Q940-M940,2),"n.a.")</x:f>
        <x:v>0</x:v>
      </x:c>
      <x:c r="S940" s="22" t="n">
        <x:f>IF(T940="Ready",MAX(0,ROUND(I940+M940-Q940,2)),"n.a.")</x:f>
        <x:v>0</x:v>
      </x:c>
      <x:c r="T940" s="22" t="str">
        <x:f>IF(AND(COUNT($I$937:$I$941)=5,COUNT(E940:F940)=2),IF(E940&gt;=F940,"Ready","Budget below minima"),"Check inputs")</x:f>
        <x:v>Ready</x:v>
      </x:c>
      <x:c r="U940" s="22" t="n">
        <x:f>IF(COUNT(I940,M940,N940)=3,MAX(0,ROUND(I940+M940-N940,2)),"n.a.")</x:f>
        <x:v>0</x:v>
      </x:c>
    </x:row>
    <x:row r="941" ht="22" customHeight="1">
      <x:c r="A941" s="2"/>
      <x:c r="B941" s="2"/>
      <x:c r="C941" s="27" t="n">
        <x:f>187</x:f>
        <x:v>187</x:v>
      </x:c>
      <x:c r="D941" s="28" t="n">
        <x:f>IF(ISNUMBER('Inputs'!$D$7),EDATE('Inputs'!$D$7,186),"n.a.")</x:f>
        <x:v>51987</x:v>
      </x:c>
      <x:c r="E941" s="26" t="n">
        <x:f>IF('Inputs'!$D$9&lt;&gt;"Ready","n.a.",IF(ISNUMBER('Inputs'!E205),IF('Inputs'!E205&gt;=0,'Inputs'!E205,"n.a."),IF('Inputs'!E205="",'Inputs'!$D$6,"n.a.")))</x:f>
        <x:v>500</x:v>
      </x:c>
      <x:c r="F941" s="22" t="n">
        <x:f>IF(COUNT($N$937:$N$941)=5,SUM($N$937:$N$941),"n.a.")</x:f>
        <x:v>0</x:v>
      </x:c>
      <x:c r="G941" s="22" t="n">
        <x:f>IF(COUNT(E941:F941)=2,MAX(0,E941-F941),"n.a.")</x:f>
        <x:v>500</x:v>
      </x:c>
      <x:c r="H941" s="26" t="str">
        <x:f>'Inputs'!C15</x:f>
        <x:v>Unused 5</x:v>
      </x:c>
      <x:c r="I941" s="26" t="n">
        <x:f>S936</x:f>
        <x:v>0</x:v>
      </x:c>
      <x:c r="J941" s="29" t="n">
        <x:f>IF('Inputs'!$D$9="Ready",'Inputs'!E15,"n.a.")</x:f>
        <x:v>0</x:v>
      </x:c>
      <x:c r="K941" s="26" t="n">
        <x:f>IF('Inputs'!$D$9="Ready",'Inputs'!F15,"n.a.")</x:f>
        <x:v>0</x:v>
      </x:c>
      <x:c r="L941" s="29" t="n">
        <x:f>IF('Inputs'!$D$9="Ready",'Inputs'!G15,"n.a.")</x:f>
        <x:v>0</x:v>
      </x:c>
      <x:c r="M941" s="22" t="n">
        <x:f>IF(COUNT(I941:L941)=4,ROUND(I941*J941/12,2),"n.a.")</x:f>
        <x:v>0</x:v>
      </x:c>
      <x:c r="N941" s="22" t="n">
        <x:f>IF(COUNT(I941:M941)=5,MIN(I941+M941,ROUND(MAX(K941,I941*L941+M941),2)),"n.a.")</x:f>
        <x:v>0</x:v>
      </x:c>
      <x:c r="O941" s="30" t="n">
        <x:f>IF(COUNT($I$937:$I$941)&lt;&gt;5,"n.a.",IF(I941=0,6,IF('Inputs'!$D$5=1,COUNTIFS($I$937:$I$941,"&gt;0",$I$937:$I$941,"&lt;"&amp;I941)+COUNTIFS($I$937:I941,I941),COUNTIFS($I$937:$I$941,"&gt;0",$J$937:$J$941,"&gt;"&amp;J941)+COUNTIFS($I$937:I941,"&gt;0",$J$937:J941,J941))))</x:f>
        <x:v>6</x:v>
      </x:c>
      <x:c r="P941" s="22" t="n">
        <x:f>IF(T941="Ready",MIN(U941,MAX(0,G941-SUMIFS($U$937:$U$941,$O$937:$O$941,"&lt;"&amp;O941))),"n.a.")</x:f>
        <x:v>0</x:v>
      </x:c>
      <x:c r="Q941" s="22" t="n">
        <x:f>IF(T941="Ready",ROUND(N941+P941,2),"n.a.")</x:f>
        <x:v>0</x:v>
      </x:c>
      <x:c r="R941" s="22" t="n">
        <x:f>IF(T941="Ready",ROUND(Q941-M941,2),"n.a.")</x:f>
        <x:v>0</x:v>
      </x:c>
      <x:c r="S941" s="22" t="n">
        <x:f>IF(T941="Ready",MAX(0,ROUND(I941+M941-Q941,2)),"n.a.")</x:f>
        <x:v>0</x:v>
      </x:c>
      <x:c r="T941" s="22" t="str">
        <x:f>IF(AND(COUNT($I$937:$I$941)=5,COUNT(E941:F941)=2),IF(E941&gt;=F941,"Ready","Budget below minima"),"Check inputs")</x:f>
        <x:v>Ready</x:v>
      </x:c>
      <x:c r="U941" s="22" t="n">
        <x:f>IF(COUNT(I941,M941,N941)=3,MAX(0,ROUND(I941+M941-N941,2)),"n.a.")</x:f>
        <x:v>0</x:v>
      </x:c>
    </x:row>
    <x:row r="942" ht="22" customHeight="1">
      <x:c r="A942" s="2"/>
      <x:c r="B942" s="2"/>
      <x:c r="C942" s="27" t="n">
        <x:f>188</x:f>
        <x:v>188</x:v>
      </x:c>
      <x:c r="D942" s="28" t="n">
        <x:f>IF(ISNUMBER('Inputs'!$D$7),EDATE('Inputs'!$D$7,187),"n.a.")</x:f>
        <x:v>52018</x:v>
      </x:c>
      <x:c r="E942" s="26" t="n">
        <x:f>IF('Inputs'!$D$9&lt;&gt;"Ready","n.a.",IF(ISNUMBER('Inputs'!E206),IF('Inputs'!E206&gt;=0,'Inputs'!E206,"n.a."),IF('Inputs'!E206="",'Inputs'!$D$6,"n.a.")))</x:f>
        <x:v>500</x:v>
      </x:c>
      <x:c r="F942" s="22" t="n">
        <x:f>IF(COUNT($N$942:$N$946)=5,SUM($N$942:$N$946),"n.a.")</x:f>
        <x:v>0</x:v>
      </x:c>
      <x:c r="G942" s="22" t="n">
        <x:f>IF(COUNT(E942:F942)=2,MAX(0,E942-F942),"n.a.")</x:f>
        <x:v>500</x:v>
      </x:c>
      <x:c r="H942" s="26" t="str">
        <x:f>'Inputs'!C11</x:f>
        <x:v>Card A</x:v>
      </x:c>
      <x:c r="I942" s="26" t="n">
        <x:f>S937</x:f>
        <x:v>0</x:v>
      </x:c>
      <x:c r="J942" s="29" t="n">
        <x:f>IF('Inputs'!$D$9="Ready",'Inputs'!E11,"n.a.")</x:f>
        <x:v>0.24</x:v>
      </x:c>
      <x:c r="K942" s="26" t="n">
        <x:f>IF('Inputs'!$D$9="Ready",'Inputs'!F11,"n.a.")</x:f>
        <x:v>35</x:v>
      </x:c>
      <x:c r="L942" s="29" t="n">
        <x:f>IF('Inputs'!$D$9="Ready",'Inputs'!G11,"n.a.")</x:f>
        <x:v>0.02</x:v>
      </x:c>
      <x:c r="M942" s="22" t="n">
        <x:f>IF(COUNT(I942:L942)=4,ROUND(I942*J942/12,2),"n.a.")</x:f>
        <x:v>0</x:v>
      </x:c>
      <x:c r="N942" s="22" t="n">
        <x:f>IF(COUNT(I942:M942)=5,MIN(I942+M942,ROUND(MAX(K942,I942*L942+M942),2)),"n.a.")</x:f>
        <x:v>0</x:v>
      </x:c>
      <x:c r="O942" s="30" t="n">
        <x:f>IF(COUNT($I$942:$I$946)&lt;&gt;5,"n.a.",IF(I942=0,6,IF('Inputs'!$D$5=1,COUNTIFS($I$942:$I$946,"&gt;0",$I$942:$I$946,"&lt;"&amp;I942)+COUNTIFS($I$942:I942,I942),COUNTIFS($I$942:$I$946,"&gt;0",$J$942:$J$946,"&gt;"&amp;J942)+COUNTIFS($I$942:I942,"&gt;0",$J$942:J942,J942))))</x:f>
        <x:v>6</x:v>
      </x:c>
      <x:c r="P942" s="22" t="n">
        <x:f>IF(T942="Ready",MIN(U942,MAX(0,G942-SUMIFS($U$942:$U$946,$O$942:$O$946,"&lt;"&amp;O942))),"n.a.")</x:f>
        <x:v>0</x:v>
      </x:c>
      <x:c r="Q942" s="22" t="n">
        <x:f>IF(T942="Ready",ROUND(N942+P942,2),"n.a.")</x:f>
        <x:v>0</x:v>
      </x:c>
      <x:c r="R942" s="22" t="n">
        <x:f>IF(T942="Ready",ROUND(Q942-M942,2),"n.a.")</x:f>
        <x:v>0</x:v>
      </x:c>
      <x:c r="S942" s="22" t="n">
        <x:f>IF(T942="Ready",MAX(0,ROUND(I942+M942-Q942,2)),"n.a.")</x:f>
        <x:v>0</x:v>
      </x:c>
      <x:c r="T942" s="22" t="str">
        <x:f>IF(AND(COUNT($I$942:$I$946)=5,COUNT(E942:F942)=2),IF(E942&gt;=F942,"Ready","Budget below minima"),"Check inputs")</x:f>
        <x:v>Ready</x:v>
      </x:c>
      <x:c r="U942" s="22" t="n">
        <x:f>IF(COUNT(I942,M942,N942)=3,MAX(0,ROUND(I942+M942-N942,2)),"n.a.")</x:f>
        <x:v>0</x:v>
      </x:c>
    </x:row>
    <x:row r="943" ht="22" customHeight="1">
      <x:c r="A943" s="2"/>
      <x:c r="B943" s="2"/>
      <x:c r="C943" s="27" t="n">
        <x:f>188</x:f>
        <x:v>188</x:v>
      </x:c>
      <x:c r="D943" s="28" t="n">
        <x:f>IF(ISNUMBER('Inputs'!$D$7),EDATE('Inputs'!$D$7,187),"n.a.")</x:f>
        <x:v>52018</x:v>
      </x:c>
      <x:c r="E943" s="26" t="n">
        <x:f>IF('Inputs'!$D$9&lt;&gt;"Ready","n.a.",IF(ISNUMBER('Inputs'!E206),IF('Inputs'!E206&gt;=0,'Inputs'!E206,"n.a."),IF('Inputs'!E206="",'Inputs'!$D$6,"n.a.")))</x:f>
        <x:v>500</x:v>
      </x:c>
      <x:c r="F943" s="22" t="n">
        <x:f>IF(COUNT($N$942:$N$946)=5,SUM($N$942:$N$946),"n.a.")</x:f>
        <x:v>0</x:v>
      </x:c>
      <x:c r="G943" s="22" t="n">
        <x:f>IF(COUNT(E943:F943)=2,MAX(0,E943-F943),"n.a.")</x:f>
        <x:v>500</x:v>
      </x:c>
      <x:c r="H943" s="26" t="str">
        <x:f>'Inputs'!C12</x:f>
        <x:v>Card B</x:v>
      </x:c>
      <x:c r="I943" s="26" t="n">
        <x:f>S938</x:f>
        <x:v>0</x:v>
      </x:c>
      <x:c r="J943" s="29" t="n">
        <x:f>IF('Inputs'!$D$9="Ready",'Inputs'!E12,"n.a.")</x:f>
        <x:v>0.18</x:v>
      </x:c>
      <x:c r="K943" s="26" t="n">
        <x:f>IF('Inputs'!$D$9="Ready",'Inputs'!F12,"n.a.")</x:f>
        <x:v>60</x:v>
      </x:c>
      <x:c r="L943" s="29" t="n">
        <x:f>IF('Inputs'!$D$9="Ready",'Inputs'!G12,"n.a.")</x:f>
        <x:v>0.02</x:v>
      </x:c>
      <x:c r="M943" s="22" t="n">
        <x:f>IF(COUNT(I943:L943)=4,ROUND(I943*J943/12,2),"n.a.")</x:f>
        <x:v>0</x:v>
      </x:c>
      <x:c r="N943" s="22" t="n">
        <x:f>IF(COUNT(I943:M943)=5,MIN(I943+M943,ROUND(MAX(K943,I943*L943+M943),2)),"n.a.")</x:f>
        <x:v>0</x:v>
      </x:c>
      <x:c r="O943" s="30" t="n">
        <x:f>IF(COUNT($I$942:$I$946)&lt;&gt;5,"n.a.",IF(I943=0,6,IF('Inputs'!$D$5=1,COUNTIFS($I$942:$I$946,"&gt;0",$I$942:$I$946,"&lt;"&amp;I943)+COUNTIFS($I$942:I943,I943),COUNTIFS($I$942:$I$946,"&gt;0",$J$942:$J$946,"&gt;"&amp;J943)+COUNTIFS($I$942:I943,"&gt;0",$J$942:J943,J943))))</x:f>
        <x:v>6</x:v>
      </x:c>
      <x:c r="P943" s="22" t="n">
        <x:f>IF(T943="Ready",MIN(U943,MAX(0,G943-SUMIFS($U$942:$U$946,$O$942:$O$946,"&lt;"&amp;O943))),"n.a.")</x:f>
        <x:v>0</x:v>
      </x:c>
      <x:c r="Q943" s="22" t="n">
        <x:f>IF(T943="Ready",ROUND(N943+P943,2),"n.a.")</x:f>
        <x:v>0</x:v>
      </x:c>
      <x:c r="R943" s="22" t="n">
        <x:f>IF(T943="Ready",ROUND(Q943-M943,2),"n.a.")</x:f>
        <x:v>0</x:v>
      </x:c>
      <x:c r="S943" s="22" t="n">
        <x:f>IF(T943="Ready",MAX(0,ROUND(I943+M943-Q943,2)),"n.a.")</x:f>
        <x:v>0</x:v>
      </x:c>
      <x:c r="T943" s="22" t="str">
        <x:f>IF(AND(COUNT($I$942:$I$946)=5,COUNT(E943:F943)=2),IF(E943&gt;=F943,"Ready","Budget below minima"),"Check inputs")</x:f>
        <x:v>Ready</x:v>
      </x:c>
      <x:c r="U943" s="22" t="n">
        <x:f>IF(COUNT(I943,M943,N943)=3,MAX(0,ROUND(I943+M943-N943,2)),"n.a.")</x:f>
        <x:v>0</x:v>
      </x:c>
    </x:row>
    <x:row r="944" ht="22" customHeight="1">
      <x:c r="A944" s="2"/>
      <x:c r="B944" s="2"/>
      <x:c r="C944" s="27" t="n">
        <x:f>188</x:f>
        <x:v>188</x:v>
      </x:c>
      <x:c r="D944" s="28" t="n">
        <x:f>IF(ISNUMBER('Inputs'!$D$7),EDATE('Inputs'!$D$7,187),"n.a.")</x:f>
        <x:v>52018</x:v>
      </x:c>
      <x:c r="E944" s="26" t="n">
        <x:f>IF('Inputs'!$D$9&lt;&gt;"Ready","n.a.",IF(ISNUMBER('Inputs'!E206),IF('Inputs'!E206&gt;=0,'Inputs'!E206,"n.a."),IF('Inputs'!E206="",'Inputs'!$D$6,"n.a.")))</x:f>
        <x:v>500</x:v>
      </x:c>
      <x:c r="F944" s="22" t="n">
        <x:f>IF(COUNT($N$942:$N$946)=5,SUM($N$942:$N$946),"n.a.")</x:f>
        <x:v>0</x:v>
      </x:c>
      <x:c r="G944" s="22" t="n">
        <x:f>IF(COUNT(E944:F944)=2,MAX(0,E944-F944),"n.a.")</x:f>
        <x:v>500</x:v>
      </x:c>
      <x:c r="H944" s="26" t="str">
        <x:f>'Inputs'!C13</x:f>
        <x:v>Loan C</x:v>
      </x:c>
      <x:c r="I944" s="26" t="n">
        <x:f>S939</x:f>
        <x:v>0</x:v>
      </x:c>
      <x:c r="J944" s="29" t="n">
        <x:f>IF('Inputs'!$D$9="Ready",'Inputs'!E13,"n.a.")</x:f>
        <x:v>0.08</x:v>
      </x:c>
      <x:c r="K944" s="26" t="n">
        <x:f>IF('Inputs'!$D$9="Ready",'Inputs'!F13,"n.a.")</x:f>
        <x:v>150</x:v>
      </x:c>
      <x:c r="L944" s="29" t="n">
        <x:f>IF('Inputs'!$D$9="Ready",'Inputs'!G13,"n.a.")</x:f>
        <x:v>0</x:v>
      </x:c>
      <x:c r="M944" s="22" t="n">
        <x:f>IF(COUNT(I944:L944)=4,ROUND(I944*J944/12,2),"n.a.")</x:f>
        <x:v>0</x:v>
      </x:c>
      <x:c r="N944" s="22" t="n">
        <x:f>IF(COUNT(I944:M944)=5,MIN(I944+M944,ROUND(MAX(K944,I944*L944+M944),2)),"n.a.")</x:f>
        <x:v>0</x:v>
      </x:c>
      <x:c r="O944" s="30" t="n">
        <x:f>IF(COUNT($I$942:$I$946)&lt;&gt;5,"n.a.",IF(I944=0,6,IF('Inputs'!$D$5=1,COUNTIFS($I$942:$I$946,"&gt;0",$I$942:$I$946,"&lt;"&amp;I944)+COUNTIFS($I$942:I944,I944),COUNTIFS($I$942:$I$946,"&gt;0",$J$942:$J$946,"&gt;"&amp;J944)+COUNTIFS($I$942:I944,"&gt;0",$J$942:J944,J944))))</x:f>
        <x:v>6</x:v>
      </x:c>
      <x:c r="P944" s="22" t="n">
        <x:f>IF(T944="Ready",MIN(U944,MAX(0,G944-SUMIFS($U$942:$U$946,$O$942:$O$946,"&lt;"&amp;O944))),"n.a.")</x:f>
        <x:v>0</x:v>
      </x:c>
      <x:c r="Q944" s="22" t="n">
        <x:f>IF(T944="Ready",ROUND(N944+P944,2),"n.a.")</x:f>
        <x:v>0</x:v>
      </x:c>
      <x:c r="R944" s="22" t="n">
        <x:f>IF(T944="Ready",ROUND(Q944-M944,2),"n.a.")</x:f>
        <x:v>0</x:v>
      </x:c>
      <x:c r="S944" s="22" t="n">
        <x:f>IF(T944="Ready",MAX(0,ROUND(I944+M944-Q944,2)),"n.a.")</x:f>
        <x:v>0</x:v>
      </x:c>
      <x:c r="T944" s="22" t="str">
        <x:f>IF(AND(COUNT($I$942:$I$946)=5,COUNT(E944:F944)=2),IF(E944&gt;=F944,"Ready","Budget below minima"),"Check inputs")</x:f>
        <x:v>Ready</x:v>
      </x:c>
      <x:c r="U944" s="22" t="n">
        <x:f>IF(COUNT(I944,M944,N944)=3,MAX(0,ROUND(I944+M944-N944,2)),"n.a.")</x:f>
        <x:v>0</x:v>
      </x:c>
    </x:row>
    <x:row r="945" ht="22" customHeight="1">
      <x:c r="A945" s="2"/>
      <x:c r="B945" s="2"/>
      <x:c r="C945" s="27" t="n">
        <x:f>188</x:f>
        <x:v>188</x:v>
      </x:c>
      <x:c r="D945" s="28" t="n">
        <x:f>IF(ISNUMBER('Inputs'!$D$7),EDATE('Inputs'!$D$7,187),"n.a.")</x:f>
        <x:v>52018</x:v>
      </x:c>
      <x:c r="E945" s="26" t="n">
        <x:f>IF('Inputs'!$D$9&lt;&gt;"Ready","n.a.",IF(ISNUMBER('Inputs'!E206),IF('Inputs'!E206&gt;=0,'Inputs'!E206,"n.a."),IF('Inputs'!E206="",'Inputs'!$D$6,"n.a.")))</x:f>
        <x:v>500</x:v>
      </x:c>
      <x:c r="F945" s="22" t="n">
        <x:f>IF(COUNT($N$942:$N$946)=5,SUM($N$942:$N$946),"n.a.")</x:f>
        <x:v>0</x:v>
      </x:c>
      <x:c r="G945" s="22" t="n">
        <x:f>IF(COUNT(E945:F945)=2,MAX(0,E945-F945),"n.a.")</x:f>
        <x:v>500</x:v>
      </x:c>
      <x:c r="H945" s="26" t="str">
        <x:f>'Inputs'!C14</x:f>
        <x:v>Unused 4</x:v>
      </x:c>
      <x:c r="I945" s="26" t="n">
        <x:f>S940</x:f>
        <x:v>0</x:v>
      </x:c>
      <x:c r="J945" s="29" t="n">
        <x:f>IF('Inputs'!$D$9="Ready",'Inputs'!E14,"n.a.")</x:f>
        <x:v>0</x:v>
      </x:c>
      <x:c r="K945" s="26" t="n">
        <x:f>IF('Inputs'!$D$9="Ready",'Inputs'!F14,"n.a.")</x:f>
        <x:v>0</x:v>
      </x:c>
      <x:c r="L945" s="29" t="n">
        <x:f>IF('Inputs'!$D$9="Ready",'Inputs'!G14,"n.a.")</x:f>
        <x:v>0</x:v>
      </x:c>
      <x:c r="M945" s="22" t="n">
        <x:f>IF(COUNT(I945:L945)=4,ROUND(I945*J945/12,2),"n.a.")</x:f>
        <x:v>0</x:v>
      </x:c>
      <x:c r="N945" s="22" t="n">
        <x:f>IF(COUNT(I945:M945)=5,MIN(I945+M945,ROUND(MAX(K945,I945*L945+M945),2)),"n.a.")</x:f>
        <x:v>0</x:v>
      </x:c>
      <x:c r="O945" s="30" t="n">
        <x:f>IF(COUNT($I$942:$I$946)&lt;&gt;5,"n.a.",IF(I945=0,6,IF('Inputs'!$D$5=1,COUNTIFS($I$942:$I$946,"&gt;0",$I$942:$I$946,"&lt;"&amp;I945)+COUNTIFS($I$942:I945,I945),COUNTIFS($I$942:$I$946,"&gt;0",$J$942:$J$946,"&gt;"&amp;J945)+COUNTIFS($I$942:I945,"&gt;0",$J$942:J945,J945))))</x:f>
        <x:v>6</x:v>
      </x:c>
      <x:c r="P945" s="22" t="n">
        <x:f>IF(T945="Ready",MIN(U945,MAX(0,G945-SUMIFS($U$942:$U$946,$O$942:$O$946,"&lt;"&amp;O945))),"n.a.")</x:f>
        <x:v>0</x:v>
      </x:c>
      <x:c r="Q945" s="22" t="n">
        <x:f>IF(T945="Ready",ROUND(N945+P945,2),"n.a.")</x:f>
        <x:v>0</x:v>
      </x:c>
      <x:c r="R945" s="22" t="n">
        <x:f>IF(T945="Ready",ROUND(Q945-M945,2),"n.a.")</x:f>
        <x:v>0</x:v>
      </x:c>
      <x:c r="S945" s="22" t="n">
        <x:f>IF(T945="Ready",MAX(0,ROUND(I945+M945-Q945,2)),"n.a.")</x:f>
        <x:v>0</x:v>
      </x:c>
      <x:c r="T945" s="22" t="str">
        <x:f>IF(AND(COUNT($I$942:$I$946)=5,COUNT(E945:F945)=2),IF(E945&gt;=F945,"Ready","Budget below minima"),"Check inputs")</x:f>
        <x:v>Ready</x:v>
      </x:c>
      <x:c r="U945" s="22" t="n">
        <x:f>IF(COUNT(I945,M945,N945)=3,MAX(0,ROUND(I945+M945-N945,2)),"n.a.")</x:f>
        <x:v>0</x:v>
      </x:c>
    </x:row>
    <x:row r="946" ht="22" customHeight="1">
      <x:c r="A946" s="2"/>
      <x:c r="B946" s="2"/>
      <x:c r="C946" s="27" t="n">
        <x:f>188</x:f>
        <x:v>188</x:v>
      </x:c>
      <x:c r="D946" s="28" t="n">
        <x:f>IF(ISNUMBER('Inputs'!$D$7),EDATE('Inputs'!$D$7,187),"n.a.")</x:f>
        <x:v>52018</x:v>
      </x:c>
      <x:c r="E946" s="26" t="n">
        <x:f>IF('Inputs'!$D$9&lt;&gt;"Ready","n.a.",IF(ISNUMBER('Inputs'!E206),IF('Inputs'!E206&gt;=0,'Inputs'!E206,"n.a."),IF('Inputs'!E206="",'Inputs'!$D$6,"n.a.")))</x:f>
        <x:v>500</x:v>
      </x:c>
      <x:c r="F946" s="22" t="n">
        <x:f>IF(COUNT($N$942:$N$946)=5,SUM($N$942:$N$946),"n.a.")</x:f>
        <x:v>0</x:v>
      </x:c>
      <x:c r="G946" s="22" t="n">
        <x:f>IF(COUNT(E946:F946)=2,MAX(0,E946-F946),"n.a.")</x:f>
        <x:v>500</x:v>
      </x:c>
      <x:c r="H946" s="26" t="str">
        <x:f>'Inputs'!C15</x:f>
        <x:v>Unused 5</x:v>
      </x:c>
      <x:c r="I946" s="26" t="n">
        <x:f>S941</x:f>
        <x:v>0</x:v>
      </x:c>
      <x:c r="J946" s="29" t="n">
        <x:f>IF('Inputs'!$D$9="Ready",'Inputs'!E15,"n.a.")</x:f>
        <x:v>0</x:v>
      </x:c>
      <x:c r="K946" s="26" t="n">
        <x:f>IF('Inputs'!$D$9="Ready",'Inputs'!F15,"n.a.")</x:f>
        <x:v>0</x:v>
      </x:c>
      <x:c r="L946" s="29" t="n">
        <x:f>IF('Inputs'!$D$9="Ready",'Inputs'!G15,"n.a.")</x:f>
        <x:v>0</x:v>
      </x:c>
      <x:c r="M946" s="22" t="n">
        <x:f>IF(COUNT(I946:L946)=4,ROUND(I946*J946/12,2),"n.a.")</x:f>
        <x:v>0</x:v>
      </x:c>
      <x:c r="N946" s="22" t="n">
        <x:f>IF(COUNT(I946:M946)=5,MIN(I946+M946,ROUND(MAX(K946,I946*L946+M946),2)),"n.a.")</x:f>
        <x:v>0</x:v>
      </x:c>
      <x:c r="O946" s="30" t="n">
        <x:f>IF(COUNT($I$942:$I$946)&lt;&gt;5,"n.a.",IF(I946=0,6,IF('Inputs'!$D$5=1,COUNTIFS($I$942:$I$946,"&gt;0",$I$942:$I$946,"&lt;"&amp;I946)+COUNTIFS($I$942:I946,I946),COUNTIFS($I$942:$I$946,"&gt;0",$J$942:$J$946,"&gt;"&amp;J946)+COUNTIFS($I$942:I946,"&gt;0",$J$942:J946,J946))))</x:f>
        <x:v>6</x:v>
      </x:c>
      <x:c r="P946" s="22" t="n">
        <x:f>IF(T946="Ready",MIN(U946,MAX(0,G946-SUMIFS($U$942:$U$946,$O$942:$O$946,"&lt;"&amp;O946))),"n.a.")</x:f>
        <x:v>0</x:v>
      </x:c>
      <x:c r="Q946" s="22" t="n">
        <x:f>IF(T946="Ready",ROUND(N946+P946,2),"n.a.")</x:f>
        <x:v>0</x:v>
      </x:c>
      <x:c r="R946" s="22" t="n">
        <x:f>IF(T946="Ready",ROUND(Q946-M946,2),"n.a.")</x:f>
        <x:v>0</x:v>
      </x:c>
      <x:c r="S946" s="22" t="n">
        <x:f>IF(T946="Ready",MAX(0,ROUND(I946+M946-Q946,2)),"n.a.")</x:f>
        <x:v>0</x:v>
      </x:c>
      <x:c r="T946" s="22" t="str">
        <x:f>IF(AND(COUNT($I$942:$I$946)=5,COUNT(E946:F946)=2),IF(E946&gt;=F946,"Ready","Budget below minima"),"Check inputs")</x:f>
        <x:v>Ready</x:v>
      </x:c>
      <x:c r="U946" s="22" t="n">
        <x:f>IF(COUNT(I946,M946,N946)=3,MAX(0,ROUND(I946+M946-N946,2)),"n.a.")</x:f>
        <x:v>0</x:v>
      </x:c>
    </x:row>
    <x:row r="947" ht="22" customHeight="1">
      <x:c r="A947" s="2"/>
      <x:c r="B947" s="2"/>
      <x:c r="C947" s="27" t="n">
        <x:f>189</x:f>
        <x:v>189</x:v>
      </x:c>
      <x:c r="D947" s="28" t="n">
        <x:f>IF(ISNUMBER('Inputs'!$D$7),EDATE('Inputs'!$D$7,188),"n.a.")</x:f>
        <x:v>52048</x:v>
      </x:c>
      <x:c r="E947" s="26" t="n">
        <x:f>IF('Inputs'!$D$9&lt;&gt;"Ready","n.a.",IF(ISNUMBER('Inputs'!E207),IF('Inputs'!E207&gt;=0,'Inputs'!E207,"n.a."),IF('Inputs'!E207="",'Inputs'!$D$6,"n.a.")))</x:f>
        <x:v>500</x:v>
      </x:c>
      <x:c r="F947" s="22" t="n">
        <x:f>IF(COUNT($N$947:$N$951)=5,SUM($N$947:$N$951),"n.a.")</x:f>
        <x:v>0</x:v>
      </x:c>
      <x:c r="G947" s="22" t="n">
        <x:f>IF(COUNT(E947:F947)=2,MAX(0,E947-F947),"n.a.")</x:f>
        <x:v>500</x:v>
      </x:c>
      <x:c r="H947" s="26" t="str">
        <x:f>'Inputs'!C11</x:f>
        <x:v>Card A</x:v>
      </x:c>
      <x:c r="I947" s="26" t="n">
        <x:f>S942</x:f>
        <x:v>0</x:v>
      </x:c>
      <x:c r="J947" s="29" t="n">
        <x:f>IF('Inputs'!$D$9="Ready",'Inputs'!E11,"n.a.")</x:f>
        <x:v>0.24</x:v>
      </x:c>
      <x:c r="K947" s="26" t="n">
        <x:f>IF('Inputs'!$D$9="Ready",'Inputs'!F11,"n.a.")</x:f>
        <x:v>35</x:v>
      </x:c>
      <x:c r="L947" s="29" t="n">
        <x:f>IF('Inputs'!$D$9="Ready",'Inputs'!G11,"n.a.")</x:f>
        <x:v>0.02</x:v>
      </x:c>
      <x:c r="M947" s="22" t="n">
        <x:f>IF(COUNT(I947:L947)=4,ROUND(I947*J947/12,2),"n.a.")</x:f>
        <x:v>0</x:v>
      </x:c>
      <x:c r="N947" s="22" t="n">
        <x:f>IF(COUNT(I947:M947)=5,MIN(I947+M947,ROUND(MAX(K947,I947*L947+M947),2)),"n.a.")</x:f>
        <x:v>0</x:v>
      </x:c>
      <x:c r="O947" s="30" t="n">
        <x:f>IF(COUNT($I$947:$I$951)&lt;&gt;5,"n.a.",IF(I947=0,6,IF('Inputs'!$D$5=1,COUNTIFS($I$947:$I$951,"&gt;0",$I$947:$I$951,"&lt;"&amp;I947)+COUNTIFS($I$947:I947,I947),COUNTIFS($I$947:$I$951,"&gt;0",$J$947:$J$951,"&gt;"&amp;J947)+COUNTIFS($I$947:I947,"&gt;0",$J$947:J947,J947))))</x:f>
        <x:v>6</x:v>
      </x:c>
      <x:c r="P947" s="22" t="n">
        <x:f>IF(T947="Ready",MIN(U947,MAX(0,G947-SUMIFS($U$947:$U$951,$O$947:$O$951,"&lt;"&amp;O947))),"n.a.")</x:f>
        <x:v>0</x:v>
      </x:c>
      <x:c r="Q947" s="22" t="n">
        <x:f>IF(T947="Ready",ROUND(N947+P947,2),"n.a.")</x:f>
        <x:v>0</x:v>
      </x:c>
      <x:c r="R947" s="22" t="n">
        <x:f>IF(T947="Ready",ROUND(Q947-M947,2),"n.a.")</x:f>
        <x:v>0</x:v>
      </x:c>
      <x:c r="S947" s="22" t="n">
        <x:f>IF(T947="Ready",MAX(0,ROUND(I947+M947-Q947,2)),"n.a.")</x:f>
        <x:v>0</x:v>
      </x:c>
      <x:c r="T947" s="22" t="str">
        <x:f>IF(AND(COUNT($I$947:$I$951)=5,COUNT(E947:F947)=2),IF(E947&gt;=F947,"Ready","Budget below minima"),"Check inputs")</x:f>
        <x:v>Ready</x:v>
      </x:c>
      <x:c r="U947" s="22" t="n">
        <x:f>IF(COUNT(I947,M947,N947)=3,MAX(0,ROUND(I947+M947-N947,2)),"n.a.")</x:f>
        <x:v>0</x:v>
      </x:c>
    </x:row>
    <x:row r="948" ht="22" customHeight="1">
      <x:c r="A948" s="2"/>
      <x:c r="B948" s="2"/>
      <x:c r="C948" s="27" t="n">
        <x:f>189</x:f>
        <x:v>189</x:v>
      </x:c>
      <x:c r="D948" s="28" t="n">
        <x:f>IF(ISNUMBER('Inputs'!$D$7),EDATE('Inputs'!$D$7,188),"n.a.")</x:f>
        <x:v>52048</x:v>
      </x:c>
      <x:c r="E948" s="26" t="n">
        <x:f>IF('Inputs'!$D$9&lt;&gt;"Ready","n.a.",IF(ISNUMBER('Inputs'!E207),IF('Inputs'!E207&gt;=0,'Inputs'!E207,"n.a."),IF('Inputs'!E207="",'Inputs'!$D$6,"n.a.")))</x:f>
        <x:v>500</x:v>
      </x:c>
      <x:c r="F948" s="22" t="n">
        <x:f>IF(COUNT($N$947:$N$951)=5,SUM($N$947:$N$951),"n.a.")</x:f>
        <x:v>0</x:v>
      </x:c>
      <x:c r="G948" s="22" t="n">
        <x:f>IF(COUNT(E948:F948)=2,MAX(0,E948-F948),"n.a.")</x:f>
        <x:v>500</x:v>
      </x:c>
      <x:c r="H948" s="26" t="str">
        <x:f>'Inputs'!C12</x:f>
        <x:v>Card B</x:v>
      </x:c>
      <x:c r="I948" s="26" t="n">
        <x:f>S943</x:f>
        <x:v>0</x:v>
      </x:c>
      <x:c r="J948" s="29" t="n">
        <x:f>IF('Inputs'!$D$9="Ready",'Inputs'!E12,"n.a.")</x:f>
        <x:v>0.18</x:v>
      </x:c>
      <x:c r="K948" s="26" t="n">
        <x:f>IF('Inputs'!$D$9="Ready",'Inputs'!F12,"n.a.")</x:f>
        <x:v>60</x:v>
      </x:c>
      <x:c r="L948" s="29" t="n">
        <x:f>IF('Inputs'!$D$9="Ready",'Inputs'!G12,"n.a.")</x:f>
        <x:v>0.02</x:v>
      </x:c>
      <x:c r="M948" s="22" t="n">
        <x:f>IF(COUNT(I948:L948)=4,ROUND(I948*J948/12,2),"n.a.")</x:f>
        <x:v>0</x:v>
      </x:c>
      <x:c r="N948" s="22" t="n">
        <x:f>IF(COUNT(I948:M948)=5,MIN(I948+M948,ROUND(MAX(K948,I948*L948+M948),2)),"n.a.")</x:f>
        <x:v>0</x:v>
      </x:c>
      <x:c r="O948" s="30" t="n">
        <x:f>IF(COUNT($I$947:$I$951)&lt;&gt;5,"n.a.",IF(I948=0,6,IF('Inputs'!$D$5=1,COUNTIFS($I$947:$I$951,"&gt;0",$I$947:$I$951,"&lt;"&amp;I948)+COUNTIFS($I$947:I948,I948),COUNTIFS($I$947:$I$951,"&gt;0",$J$947:$J$951,"&gt;"&amp;J948)+COUNTIFS($I$947:I948,"&gt;0",$J$947:J948,J948))))</x:f>
        <x:v>6</x:v>
      </x:c>
      <x:c r="P948" s="22" t="n">
        <x:f>IF(T948="Ready",MIN(U948,MAX(0,G948-SUMIFS($U$947:$U$951,$O$947:$O$951,"&lt;"&amp;O948))),"n.a.")</x:f>
        <x:v>0</x:v>
      </x:c>
      <x:c r="Q948" s="22" t="n">
        <x:f>IF(T948="Ready",ROUND(N948+P948,2),"n.a.")</x:f>
        <x:v>0</x:v>
      </x:c>
      <x:c r="R948" s="22" t="n">
        <x:f>IF(T948="Ready",ROUND(Q948-M948,2),"n.a.")</x:f>
        <x:v>0</x:v>
      </x:c>
      <x:c r="S948" s="22" t="n">
        <x:f>IF(T948="Ready",MAX(0,ROUND(I948+M948-Q948,2)),"n.a.")</x:f>
        <x:v>0</x:v>
      </x:c>
      <x:c r="T948" s="22" t="str">
        <x:f>IF(AND(COUNT($I$947:$I$951)=5,COUNT(E948:F948)=2),IF(E948&gt;=F948,"Ready","Budget below minima"),"Check inputs")</x:f>
        <x:v>Ready</x:v>
      </x:c>
      <x:c r="U948" s="22" t="n">
        <x:f>IF(COUNT(I948,M948,N948)=3,MAX(0,ROUND(I948+M948-N948,2)),"n.a.")</x:f>
        <x:v>0</x:v>
      </x:c>
    </x:row>
    <x:row r="949" ht="22" customHeight="1">
      <x:c r="A949" s="2"/>
      <x:c r="B949" s="2"/>
      <x:c r="C949" s="27" t="n">
        <x:f>189</x:f>
        <x:v>189</x:v>
      </x:c>
      <x:c r="D949" s="28" t="n">
        <x:f>IF(ISNUMBER('Inputs'!$D$7),EDATE('Inputs'!$D$7,188),"n.a.")</x:f>
        <x:v>52048</x:v>
      </x:c>
      <x:c r="E949" s="26" t="n">
        <x:f>IF('Inputs'!$D$9&lt;&gt;"Ready","n.a.",IF(ISNUMBER('Inputs'!E207),IF('Inputs'!E207&gt;=0,'Inputs'!E207,"n.a."),IF('Inputs'!E207="",'Inputs'!$D$6,"n.a.")))</x:f>
        <x:v>500</x:v>
      </x:c>
      <x:c r="F949" s="22" t="n">
        <x:f>IF(COUNT($N$947:$N$951)=5,SUM($N$947:$N$951),"n.a.")</x:f>
        <x:v>0</x:v>
      </x:c>
      <x:c r="G949" s="22" t="n">
        <x:f>IF(COUNT(E949:F949)=2,MAX(0,E949-F949),"n.a.")</x:f>
        <x:v>500</x:v>
      </x:c>
      <x:c r="H949" s="26" t="str">
        <x:f>'Inputs'!C13</x:f>
        <x:v>Loan C</x:v>
      </x:c>
      <x:c r="I949" s="26" t="n">
        <x:f>S944</x:f>
        <x:v>0</x:v>
      </x:c>
      <x:c r="J949" s="29" t="n">
        <x:f>IF('Inputs'!$D$9="Ready",'Inputs'!E13,"n.a.")</x:f>
        <x:v>0.08</x:v>
      </x:c>
      <x:c r="K949" s="26" t="n">
        <x:f>IF('Inputs'!$D$9="Ready",'Inputs'!F13,"n.a.")</x:f>
        <x:v>150</x:v>
      </x:c>
      <x:c r="L949" s="29" t="n">
        <x:f>IF('Inputs'!$D$9="Ready",'Inputs'!G13,"n.a.")</x:f>
        <x:v>0</x:v>
      </x:c>
      <x:c r="M949" s="22" t="n">
        <x:f>IF(COUNT(I949:L949)=4,ROUND(I949*J949/12,2),"n.a.")</x:f>
        <x:v>0</x:v>
      </x:c>
      <x:c r="N949" s="22" t="n">
        <x:f>IF(COUNT(I949:M949)=5,MIN(I949+M949,ROUND(MAX(K949,I949*L949+M949),2)),"n.a.")</x:f>
        <x:v>0</x:v>
      </x:c>
      <x:c r="O949" s="30" t="n">
        <x:f>IF(COUNT($I$947:$I$951)&lt;&gt;5,"n.a.",IF(I949=0,6,IF('Inputs'!$D$5=1,COUNTIFS($I$947:$I$951,"&gt;0",$I$947:$I$951,"&lt;"&amp;I949)+COUNTIFS($I$947:I949,I949),COUNTIFS($I$947:$I$951,"&gt;0",$J$947:$J$951,"&gt;"&amp;J949)+COUNTIFS($I$947:I949,"&gt;0",$J$947:J949,J949))))</x:f>
        <x:v>6</x:v>
      </x:c>
      <x:c r="P949" s="22" t="n">
        <x:f>IF(T949="Ready",MIN(U949,MAX(0,G949-SUMIFS($U$947:$U$951,$O$947:$O$951,"&lt;"&amp;O949))),"n.a.")</x:f>
        <x:v>0</x:v>
      </x:c>
      <x:c r="Q949" s="22" t="n">
        <x:f>IF(T949="Ready",ROUND(N949+P949,2),"n.a.")</x:f>
        <x:v>0</x:v>
      </x:c>
      <x:c r="R949" s="22" t="n">
        <x:f>IF(T949="Ready",ROUND(Q949-M949,2),"n.a.")</x:f>
        <x:v>0</x:v>
      </x:c>
      <x:c r="S949" s="22" t="n">
        <x:f>IF(T949="Ready",MAX(0,ROUND(I949+M949-Q949,2)),"n.a.")</x:f>
        <x:v>0</x:v>
      </x:c>
      <x:c r="T949" s="22" t="str">
        <x:f>IF(AND(COUNT($I$947:$I$951)=5,COUNT(E949:F949)=2),IF(E949&gt;=F949,"Ready","Budget below minima"),"Check inputs")</x:f>
        <x:v>Ready</x:v>
      </x:c>
      <x:c r="U949" s="22" t="n">
        <x:f>IF(COUNT(I949,M949,N949)=3,MAX(0,ROUND(I949+M949-N949,2)),"n.a.")</x:f>
        <x:v>0</x:v>
      </x:c>
    </x:row>
    <x:row r="950" ht="22" customHeight="1">
      <x:c r="A950" s="2"/>
      <x:c r="B950" s="2"/>
      <x:c r="C950" s="27" t="n">
        <x:f>189</x:f>
        <x:v>189</x:v>
      </x:c>
      <x:c r="D950" s="28" t="n">
        <x:f>IF(ISNUMBER('Inputs'!$D$7),EDATE('Inputs'!$D$7,188),"n.a.")</x:f>
        <x:v>52048</x:v>
      </x:c>
      <x:c r="E950" s="26" t="n">
        <x:f>IF('Inputs'!$D$9&lt;&gt;"Ready","n.a.",IF(ISNUMBER('Inputs'!E207),IF('Inputs'!E207&gt;=0,'Inputs'!E207,"n.a."),IF('Inputs'!E207="",'Inputs'!$D$6,"n.a.")))</x:f>
        <x:v>500</x:v>
      </x:c>
      <x:c r="F950" s="22" t="n">
        <x:f>IF(COUNT($N$947:$N$951)=5,SUM($N$947:$N$951),"n.a.")</x:f>
        <x:v>0</x:v>
      </x:c>
      <x:c r="G950" s="22" t="n">
        <x:f>IF(COUNT(E950:F950)=2,MAX(0,E950-F950),"n.a.")</x:f>
        <x:v>500</x:v>
      </x:c>
      <x:c r="H950" s="26" t="str">
        <x:f>'Inputs'!C14</x:f>
        <x:v>Unused 4</x:v>
      </x:c>
      <x:c r="I950" s="26" t="n">
        <x:f>S945</x:f>
        <x:v>0</x:v>
      </x:c>
      <x:c r="J950" s="29" t="n">
        <x:f>IF('Inputs'!$D$9="Ready",'Inputs'!E14,"n.a.")</x:f>
        <x:v>0</x:v>
      </x:c>
      <x:c r="K950" s="26" t="n">
        <x:f>IF('Inputs'!$D$9="Ready",'Inputs'!F14,"n.a.")</x:f>
        <x:v>0</x:v>
      </x:c>
      <x:c r="L950" s="29" t="n">
        <x:f>IF('Inputs'!$D$9="Ready",'Inputs'!G14,"n.a.")</x:f>
        <x:v>0</x:v>
      </x:c>
      <x:c r="M950" s="22" t="n">
        <x:f>IF(COUNT(I950:L950)=4,ROUND(I950*J950/12,2),"n.a.")</x:f>
        <x:v>0</x:v>
      </x:c>
      <x:c r="N950" s="22" t="n">
        <x:f>IF(COUNT(I950:M950)=5,MIN(I950+M950,ROUND(MAX(K950,I950*L950+M950),2)),"n.a.")</x:f>
        <x:v>0</x:v>
      </x:c>
      <x:c r="O950" s="30" t="n">
        <x:f>IF(COUNT($I$947:$I$951)&lt;&gt;5,"n.a.",IF(I950=0,6,IF('Inputs'!$D$5=1,COUNTIFS($I$947:$I$951,"&gt;0",$I$947:$I$951,"&lt;"&amp;I950)+COUNTIFS($I$947:I950,I950),COUNTIFS($I$947:$I$951,"&gt;0",$J$947:$J$951,"&gt;"&amp;J950)+COUNTIFS($I$947:I950,"&gt;0",$J$947:J950,J950))))</x:f>
        <x:v>6</x:v>
      </x:c>
      <x:c r="P950" s="22" t="n">
        <x:f>IF(T950="Ready",MIN(U950,MAX(0,G950-SUMIFS($U$947:$U$951,$O$947:$O$951,"&lt;"&amp;O950))),"n.a.")</x:f>
        <x:v>0</x:v>
      </x:c>
      <x:c r="Q950" s="22" t="n">
        <x:f>IF(T950="Ready",ROUND(N950+P950,2),"n.a.")</x:f>
        <x:v>0</x:v>
      </x:c>
      <x:c r="R950" s="22" t="n">
        <x:f>IF(T950="Ready",ROUND(Q950-M950,2),"n.a.")</x:f>
        <x:v>0</x:v>
      </x:c>
      <x:c r="S950" s="22" t="n">
        <x:f>IF(T950="Ready",MAX(0,ROUND(I950+M950-Q950,2)),"n.a.")</x:f>
        <x:v>0</x:v>
      </x:c>
      <x:c r="T950" s="22" t="str">
        <x:f>IF(AND(COUNT($I$947:$I$951)=5,COUNT(E950:F950)=2),IF(E950&gt;=F950,"Ready","Budget below minima"),"Check inputs")</x:f>
        <x:v>Ready</x:v>
      </x:c>
      <x:c r="U950" s="22" t="n">
        <x:f>IF(COUNT(I950,M950,N950)=3,MAX(0,ROUND(I950+M950-N950,2)),"n.a.")</x:f>
        <x:v>0</x:v>
      </x:c>
    </x:row>
    <x:row r="951" ht="22" customHeight="1">
      <x:c r="A951" s="2"/>
      <x:c r="B951" s="2"/>
      <x:c r="C951" s="27" t="n">
        <x:f>189</x:f>
        <x:v>189</x:v>
      </x:c>
      <x:c r="D951" s="28" t="n">
        <x:f>IF(ISNUMBER('Inputs'!$D$7),EDATE('Inputs'!$D$7,188),"n.a.")</x:f>
        <x:v>52048</x:v>
      </x:c>
      <x:c r="E951" s="26" t="n">
        <x:f>IF('Inputs'!$D$9&lt;&gt;"Ready","n.a.",IF(ISNUMBER('Inputs'!E207),IF('Inputs'!E207&gt;=0,'Inputs'!E207,"n.a."),IF('Inputs'!E207="",'Inputs'!$D$6,"n.a.")))</x:f>
        <x:v>500</x:v>
      </x:c>
      <x:c r="F951" s="22" t="n">
        <x:f>IF(COUNT($N$947:$N$951)=5,SUM($N$947:$N$951),"n.a.")</x:f>
        <x:v>0</x:v>
      </x:c>
      <x:c r="G951" s="22" t="n">
        <x:f>IF(COUNT(E951:F951)=2,MAX(0,E951-F951),"n.a.")</x:f>
        <x:v>500</x:v>
      </x:c>
      <x:c r="H951" s="26" t="str">
        <x:f>'Inputs'!C15</x:f>
        <x:v>Unused 5</x:v>
      </x:c>
      <x:c r="I951" s="26" t="n">
        <x:f>S946</x:f>
        <x:v>0</x:v>
      </x:c>
      <x:c r="J951" s="29" t="n">
        <x:f>IF('Inputs'!$D$9="Ready",'Inputs'!E15,"n.a.")</x:f>
        <x:v>0</x:v>
      </x:c>
      <x:c r="K951" s="26" t="n">
        <x:f>IF('Inputs'!$D$9="Ready",'Inputs'!F15,"n.a.")</x:f>
        <x:v>0</x:v>
      </x:c>
      <x:c r="L951" s="29" t="n">
        <x:f>IF('Inputs'!$D$9="Ready",'Inputs'!G15,"n.a.")</x:f>
        <x:v>0</x:v>
      </x:c>
      <x:c r="M951" s="22" t="n">
        <x:f>IF(COUNT(I951:L951)=4,ROUND(I951*J951/12,2),"n.a.")</x:f>
        <x:v>0</x:v>
      </x:c>
      <x:c r="N951" s="22" t="n">
        <x:f>IF(COUNT(I951:M951)=5,MIN(I951+M951,ROUND(MAX(K951,I951*L951+M951),2)),"n.a.")</x:f>
        <x:v>0</x:v>
      </x:c>
      <x:c r="O951" s="30" t="n">
        <x:f>IF(COUNT($I$947:$I$951)&lt;&gt;5,"n.a.",IF(I951=0,6,IF('Inputs'!$D$5=1,COUNTIFS($I$947:$I$951,"&gt;0",$I$947:$I$951,"&lt;"&amp;I951)+COUNTIFS($I$947:I951,I951),COUNTIFS($I$947:$I$951,"&gt;0",$J$947:$J$951,"&gt;"&amp;J951)+COUNTIFS($I$947:I951,"&gt;0",$J$947:J951,J951))))</x:f>
        <x:v>6</x:v>
      </x:c>
      <x:c r="P951" s="22" t="n">
        <x:f>IF(T951="Ready",MIN(U951,MAX(0,G951-SUMIFS($U$947:$U$951,$O$947:$O$951,"&lt;"&amp;O951))),"n.a.")</x:f>
        <x:v>0</x:v>
      </x:c>
      <x:c r="Q951" s="22" t="n">
        <x:f>IF(T951="Ready",ROUND(N951+P951,2),"n.a.")</x:f>
        <x:v>0</x:v>
      </x:c>
      <x:c r="R951" s="22" t="n">
        <x:f>IF(T951="Ready",ROUND(Q951-M951,2),"n.a.")</x:f>
        <x:v>0</x:v>
      </x:c>
      <x:c r="S951" s="22" t="n">
        <x:f>IF(T951="Ready",MAX(0,ROUND(I951+M951-Q951,2)),"n.a.")</x:f>
        <x:v>0</x:v>
      </x:c>
      <x:c r="T951" s="22" t="str">
        <x:f>IF(AND(COUNT($I$947:$I$951)=5,COUNT(E951:F951)=2),IF(E951&gt;=F951,"Ready","Budget below minima"),"Check inputs")</x:f>
        <x:v>Ready</x:v>
      </x:c>
      <x:c r="U951" s="22" t="n">
        <x:f>IF(COUNT(I951,M951,N951)=3,MAX(0,ROUND(I951+M951-N951,2)),"n.a.")</x:f>
        <x:v>0</x:v>
      </x:c>
    </x:row>
    <x:row r="952" ht="22" customHeight="1">
      <x:c r="A952" s="2"/>
      <x:c r="B952" s="2"/>
      <x:c r="C952" s="27" t="n">
        <x:f>190</x:f>
        <x:v>190</x:v>
      </x:c>
      <x:c r="D952" s="28" t="n">
        <x:f>IF(ISNUMBER('Inputs'!$D$7),EDATE('Inputs'!$D$7,189),"n.a.")</x:f>
        <x:v>52079</x:v>
      </x:c>
      <x:c r="E952" s="26" t="n">
        <x:f>IF('Inputs'!$D$9&lt;&gt;"Ready","n.a.",IF(ISNUMBER('Inputs'!E208),IF('Inputs'!E208&gt;=0,'Inputs'!E208,"n.a."),IF('Inputs'!E208="",'Inputs'!$D$6,"n.a.")))</x:f>
        <x:v>500</x:v>
      </x:c>
      <x:c r="F952" s="22" t="n">
        <x:f>IF(COUNT($N$952:$N$956)=5,SUM($N$952:$N$956),"n.a.")</x:f>
        <x:v>0</x:v>
      </x:c>
      <x:c r="G952" s="22" t="n">
        <x:f>IF(COUNT(E952:F952)=2,MAX(0,E952-F952),"n.a.")</x:f>
        <x:v>500</x:v>
      </x:c>
      <x:c r="H952" s="26" t="str">
        <x:f>'Inputs'!C11</x:f>
        <x:v>Card A</x:v>
      </x:c>
      <x:c r="I952" s="26" t="n">
        <x:f>S947</x:f>
        <x:v>0</x:v>
      </x:c>
      <x:c r="J952" s="29" t="n">
        <x:f>IF('Inputs'!$D$9="Ready",'Inputs'!E11,"n.a.")</x:f>
        <x:v>0.24</x:v>
      </x:c>
      <x:c r="K952" s="26" t="n">
        <x:f>IF('Inputs'!$D$9="Ready",'Inputs'!F11,"n.a.")</x:f>
        <x:v>35</x:v>
      </x:c>
      <x:c r="L952" s="29" t="n">
        <x:f>IF('Inputs'!$D$9="Ready",'Inputs'!G11,"n.a.")</x:f>
        <x:v>0.02</x:v>
      </x:c>
      <x:c r="M952" s="22" t="n">
        <x:f>IF(COUNT(I952:L952)=4,ROUND(I952*J952/12,2),"n.a.")</x:f>
        <x:v>0</x:v>
      </x:c>
      <x:c r="N952" s="22" t="n">
        <x:f>IF(COUNT(I952:M952)=5,MIN(I952+M952,ROUND(MAX(K952,I952*L952+M952),2)),"n.a.")</x:f>
        <x:v>0</x:v>
      </x:c>
      <x:c r="O952" s="30" t="n">
        <x:f>IF(COUNT($I$952:$I$956)&lt;&gt;5,"n.a.",IF(I952=0,6,IF('Inputs'!$D$5=1,COUNTIFS($I$952:$I$956,"&gt;0",$I$952:$I$956,"&lt;"&amp;I952)+COUNTIFS($I$952:I952,I952),COUNTIFS($I$952:$I$956,"&gt;0",$J$952:$J$956,"&gt;"&amp;J952)+COUNTIFS($I$952:I952,"&gt;0",$J$952:J952,J952))))</x:f>
        <x:v>6</x:v>
      </x:c>
      <x:c r="P952" s="22" t="n">
        <x:f>IF(T952="Ready",MIN(U952,MAX(0,G952-SUMIFS($U$952:$U$956,$O$952:$O$956,"&lt;"&amp;O952))),"n.a.")</x:f>
        <x:v>0</x:v>
      </x:c>
      <x:c r="Q952" s="22" t="n">
        <x:f>IF(T952="Ready",ROUND(N952+P952,2),"n.a.")</x:f>
        <x:v>0</x:v>
      </x:c>
      <x:c r="R952" s="22" t="n">
        <x:f>IF(T952="Ready",ROUND(Q952-M952,2),"n.a.")</x:f>
        <x:v>0</x:v>
      </x:c>
      <x:c r="S952" s="22" t="n">
        <x:f>IF(T952="Ready",MAX(0,ROUND(I952+M952-Q952,2)),"n.a.")</x:f>
        <x:v>0</x:v>
      </x:c>
      <x:c r="T952" s="22" t="str">
        <x:f>IF(AND(COUNT($I$952:$I$956)=5,COUNT(E952:F952)=2),IF(E952&gt;=F952,"Ready","Budget below minima"),"Check inputs")</x:f>
        <x:v>Ready</x:v>
      </x:c>
      <x:c r="U952" s="22" t="n">
        <x:f>IF(COUNT(I952,M952,N952)=3,MAX(0,ROUND(I952+M952-N952,2)),"n.a.")</x:f>
        <x:v>0</x:v>
      </x:c>
    </x:row>
    <x:row r="953" ht="22" customHeight="1">
      <x:c r="A953" s="2"/>
      <x:c r="B953" s="2"/>
      <x:c r="C953" s="27" t="n">
        <x:f>190</x:f>
        <x:v>190</x:v>
      </x:c>
      <x:c r="D953" s="28" t="n">
        <x:f>IF(ISNUMBER('Inputs'!$D$7),EDATE('Inputs'!$D$7,189),"n.a.")</x:f>
        <x:v>52079</x:v>
      </x:c>
      <x:c r="E953" s="26" t="n">
        <x:f>IF('Inputs'!$D$9&lt;&gt;"Ready","n.a.",IF(ISNUMBER('Inputs'!E208),IF('Inputs'!E208&gt;=0,'Inputs'!E208,"n.a."),IF('Inputs'!E208="",'Inputs'!$D$6,"n.a.")))</x:f>
        <x:v>500</x:v>
      </x:c>
      <x:c r="F953" s="22" t="n">
        <x:f>IF(COUNT($N$952:$N$956)=5,SUM($N$952:$N$956),"n.a.")</x:f>
        <x:v>0</x:v>
      </x:c>
      <x:c r="G953" s="22" t="n">
        <x:f>IF(COUNT(E953:F953)=2,MAX(0,E953-F953),"n.a.")</x:f>
        <x:v>500</x:v>
      </x:c>
      <x:c r="H953" s="26" t="str">
        <x:f>'Inputs'!C12</x:f>
        <x:v>Card B</x:v>
      </x:c>
      <x:c r="I953" s="26" t="n">
        <x:f>S948</x:f>
        <x:v>0</x:v>
      </x:c>
      <x:c r="J953" s="29" t="n">
        <x:f>IF('Inputs'!$D$9="Ready",'Inputs'!E12,"n.a.")</x:f>
        <x:v>0.18</x:v>
      </x:c>
      <x:c r="K953" s="26" t="n">
        <x:f>IF('Inputs'!$D$9="Ready",'Inputs'!F12,"n.a.")</x:f>
        <x:v>60</x:v>
      </x:c>
      <x:c r="L953" s="29" t="n">
        <x:f>IF('Inputs'!$D$9="Ready",'Inputs'!G12,"n.a.")</x:f>
        <x:v>0.02</x:v>
      </x:c>
      <x:c r="M953" s="22" t="n">
        <x:f>IF(COUNT(I953:L953)=4,ROUND(I953*J953/12,2),"n.a.")</x:f>
        <x:v>0</x:v>
      </x:c>
      <x:c r="N953" s="22" t="n">
        <x:f>IF(COUNT(I953:M953)=5,MIN(I953+M953,ROUND(MAX(K953,I953*L953+M953),2)),"n.a.")</x:f>
        <x:v>0</x:v>
      </x:c>
      <x:c r="O953" s="30" t="n">
        <x:f>IF(COUNT($I$952:$I$956)&lt;&gt;5,"n.a.",IF(I953=0,6,IF('Inputs'!$D$5=1,COUNTIFS($I$952:$I$956,"&gt;0",$I$952:$I$956,"&lt;"&amp;I953)+COUNTIFS($I$952:I953,I953),COUNTIFS($I$952:$I$956,"&gt;0",$J$952:$J$956,"&gt;"&amp;J953)+COUNTIFS($I$952:I953,"&gt;0",$J$952:J953,J953))))</x:f>
        <x:v>6</x:v>
      </x:c>
      <x:c r="P953" s="22" t="n">
        <x:f>IF(T953="Ready",MIN(U953,MAX(0,G953-SUMIFS($U$952:$U$956,$O$952:$O$956,"&lt;"&amp;O953))),"n.a.")</x:f>
        <x:v>0</x:v>
      </x:c>
      <x:c r="Q953" s="22" t="n">
        <x:f>IF(T953="Ready",ROUND(N953+P953,2),"n.a.")</x:f>
        <x:v>0</x:v>
      </x:c>
      <x:c r="R953" s="22" t="n">
        <x:f>IF(T953="Ready",ROUND(Q953-M953,2),"n.a.")</x:f>
        <x:v>0</x:v>
      </x:c>
      <x:c r="S953" s="22" t="n">
        <x:f>IF(T953="Ready",MAX(0,ROUND(I953+M953-Q953,2)),"n.a.")</x:f>
        <x:v>0</x:v>
      </x:c>
      <x:c r="T953" s="22" t="str">
        <x:f>IF(AND(COUNT($I$952:$I$956)=5,COUNT(E953:F953)=2),IF(E953&gt;=F953,"Ready","Budget below minima"),"Check inputs")</x:f>
        <x:v>Ready</x:v>
      </x:c>
      <x:c r="U953" s="22" t="n">
        <x:f>IF(COUNT(I953,M953,N953)=3,MAX(0,ROUND(I953+M953-N953,2)),"n.a.")</x:f>
        <x:v>0</x:v>
      </x:c>
    </x:row>
    <x:row r="954" ht="22" customHeight="1">
      <x:c r="A954" s="2"/>
      <x:c r="B954" s="2"/>
      <x:c r="C954" s="27" t="n">
        <x:f>190</x:f>
        <x:v>190</x:v>
      </x:c>
      <x:c r="D954" s="28" t="n">
        <x:f>IF(ISNUMBER('Inputs'!$D$7),EDATE('Inputs'!$D$7,189),"n.a.")</x:f>
        <x:v>52079</x:v>
      </x:c>
      <x:c r="E954" s="26" t="n">
        <x:f>IF('Inputs'!$D$9&lt;&gt;"Ready","n.a.",IF(ISNUMBER('Inputs'!E208),IF('Inputs'!E208&gt;=0,'Inputs'!E208,"n.a."),IF('Inputs'!E208="",'Inputs'!$D$6,"n.a.")))</x:f>
        <x:v>500</x:v>
      </x:c>
      <x:c r="F954" s="22" t="n">
        <x:f>IF(COUNT($N$952:$N$956)=5,SUM($N$952:$N$956),"n.a.")</x:f>
        <x:v>0</x:v>
      </x:c>
      <x:c r="G954" s="22" t="n">
        <x:f>IF(COUNT(E954:F954)=2,MAX(0,E954-F954),"n.a.")</x:f>
        <x:v>500</x:v>
      </x:c>
      <x:c r="H954" s="26" t="str">
        <x:f>'Inputs'!C13</x:f>
        <x:v>Loan C</x:v>
      </x:c>
      <x:c r="I954" s="26" t="n">
        <x:f>S949</x:f>
        <x:v>0</x:v>
      </x:c>
      <x:c r="J954" s="29" t="n">
        <x:f>IF('Inputs'!$D$9="Ready",'Inputs'!E13,"n.a.")</x:f>
        <x:v>0.08</x:v>
      </x:c>
      <x:c r="K954" s="26" t="n">
        <x:f>IF('Inputs'!$D$9="Ready",'Inputs'!F13,"n.a.")</x:f>
        <x:v>150</x:v>
      </x:c>
      <x:c r="L954" s="29" t="n">
        <x:f>IF('Inputs'!$D$9="Ready",'Inputs'!G13,"n.a.")</x:f>
        <x:v>0</x:v>
      </x:c>
      <x:c r="M954" s="22" t="n">
        <x:f>IF(COUNT(I954:L954)=4,ROUND(I954*J954/12,2),"n.a.")</x:f>
        <x:v>0</x:v>
      </x:c>
      <x:c r="N954" s="22" t="n">
        <x:f>IF(COUNT(I954:M954)=5,MIN(I954+M954,ROUND(MAX(K954,I954*L954+M954),2)),"n.a.")</x:f>
        <x:v>0</x:v>
      </x:c>
      <x:c r="O954" s="30" t="n">
        <x:f>IF(COUNT($I$952:$I$956)&lt;&gt;5,"n.a.",IF(I954=0,6,IF('Inputs'!$D$5=1,COUNTIFS($I$952:$I$956,"&gt;0",$I$952:$I$956,"&lt;"&amp;I954)+COUNTIFS($I$952:I954,I954),COUNTIFS($I$952:$I$956,"&gt;0",$J$952:$J$956,"&gt;"&amp;J954)+COUNTIFS($I$952:I954,"&gt;0",$J$952:J954,J954))))</x:f>
        <x:v>6</x:v>
      </x:c>
      <x:c r="P954" s="22" t="n">
        <x:f>IF(T954="Ready",MIN(U954,MAX(0,G954-SUMIFS($U$952:$U$956,$O$952:$O$956,"&lt;"&amp;O954))),"n.a.")</x:f>
        <x:v>0</x:v>
      </x:c>
      <x:c r="Q954" s="22" t="n">
        <x:f>IF(T954="Ready",ROUND(N954+P954,2),"n.a.")</x:f>
        <x:v>0</x:v>
      </x:c>
      <x:c r="R954" s="22" t="n">
        <x:f>IF(T954="Ready",ROUND(Q954-M954,2),"n.a.")</x:f>
        <x:v>0</x:v>
      </x:c>
      <x:c r="S954" s="22" t="n">
        <x:f>IF(T954="Ready",MAX(0,ROUND(I954+M954-Q954,2)),"n.a.")</x:f>
        <x:v>0</x:v>
      </x:c>
      <x:c r="T954" s="22" t="str">
        <x:f>IF(AND(COUNT($I$952:$I$956)=5,COUNT(E954:F954)=2),IF(E954&gt;=F954,"Ready","Budget below minima"),"Check inputs")</x:f>
        <x:v>Ready</x:v>
      </x:c>
      <x:c r="U954" s="22" t="n">
        <x:f>IF(COUNT(I954,M954,N954)=3,MAX(0,ROUND(I954+M954-N954,2)),"n.a.")</x:f>
        <x:v>0</x:v>
      </x:c>
    </x:row>
    <x:row r="955" ht="22" customHeight="1">
      <x:c r="A955" s="2"/>
      <x:c r="B955" s="2"/>
      <x:c r="C955" s="27" t="n">
        <x:f>190</x:f>
        <x:v>190</x:v>
      </x:c>
      <x:c r="D955" s="28" t="n">
        <x:f>IF(ISNUMBER('Inputs'!$D$7),EDATE('Inputs'!$D$7,189),"n.a.")</x:f>
        <x:v>52079</x:v>
      </x:c>
      <x:c r="E955" s="26" t="n">
        <x:f>IF('Inputs'!$D$9&lt;&gt;"Ready","n.a.",IF(ISNUMBER('Inputs'!E208),IF('Inputs'!E208&gt;=0,'Inputs'!E208,"n.a."),IF('Inputs'!E208="",'Inputs'!$D$6,"n.a.")))</x:f>
        <x:v>500</x:v>
      </x:c>
      <x:c r="F955" s="22" t="n">
        <x:f>IF(COUNT($N$952:$N$956)=5,SUM($N$952:$N$956),"n.a.")</x:f>
        <x:v>0</x:v>
      </x:c>
      <x:c r="G955" s="22" t="n">
        <x:f>IF(COUNT(E955:F955)=2,MAX(0,E955-F955),"n.a.")</x:f>
        <x:v>500</x:v>
      </x:c>
      <x:c r="H955" s="26" t="str">
        <x:f>'Inputs'!C14</x:f>
        <x:v>Unused 4</x:v>
      </x:c>
      <x:c r="I955" s="26" t="n">
        <x:f>S950</x:f>
        <x:v>0</x:v>
      </x:c>
      <x:c r="J955" s="29" t="n">
        <x:f>IF('Inputs'!$D$9="Ready",'Inputs'!E14,"n.a.")</x:f>
        <x:v>0</x:v>
      </x:c>
      <x:c r="K955" s="26" t="n">
        <x:f>IF('Inputs'!$D$9="Ready",'Inputs'!F14,"n.a.")</x:f>
        <x:v>0</x:v>
      </x:c>
      <x:c r="L955" s="29" t="n">
        <x:f>IF('Inputs'!$D$9="Ready",'Inputs'!G14,"n.a.")</x:f>
        <x:v>0</x:v>
      </x:c>
      <x:c r="M955" s="22" t="n">
        <x:f>IF(COUNT(I955:L955)=4,ROUND(I955*J955/12,2),"n.a.")</x:f>
        <x:v>0</x:v>
      </x:c>
      <x:c r="N955" s="22" t="n">
        <x:f>IF(COUNT(I955:M955)=5,MIN(I955+M955,ROUND(MAX(K955,I955*L955+M955),2)),"n.a.")</x:f>
        <x:v>0</x:v>
      </x:c>
      <x:c r="O955" s="30" t="n">
        <x:f>IF(COUNT($I$952:$I$956)&lt;&gt;5,"n.a.",IF(I955=0,6,IF('Inputs'!$D$5=1,COUNTIFS($I$952:$I$956,"&gt;0",$I$952:$I$956,"&lt;"&amp;I955)+COUNTIFS($I$952:I955,I955),COUNTIFS($I$952:$I$956,"&gt;0",$J$952:$J$956,"&gt;"&amp;J955)+COUNTIFS($I$952:I955,"&gt;0",$J$952:J955,J955))))</x:f>
        <x:v>6</x:v>
      </x:c>
      <x:c r="P955" s="22" t="n">
        <x:f>IF(T955="Ready",MIN(U955,MAX(0,G955-SUMIFS($U$952:$U$956,$O$952:$O$956,"&lt;"&amp;O955))),"n.a.")</x:f>
        <x:v>0</x:v>
      </x:c>
      <x:c r="Q955" s="22" t="n">
        <x:f>IF(T955="Ready",ROUND(N955+P955,2),"n.a.")</x:f>
        <x:v>0</x:v>
      </x:c>
      <x:c r="R955" s="22" t="n">
        <x:f>IF(T955="Ready",ROUND(Q955-M955,2),"n.a.")</x:f>
        <x:v>0</x:v>
      </x:c>
      <x:c r="S955" s="22" t="n">
        <x:f>IF(T955="Ready",MAX(0,ROUND(I955+M955-Q955,2)),"n.a.")</x:f>
        <x:v>0</x:v>
      </x:c>
      <x:c r="T955" s="22" t="str">
        <x:f>IF(AND(COUNT($I$952:$I$956)=5,COUNT(E955:F955)=2),IF(E955&gt;=F955,"Ready","Budget below minima"),"Check inputs")</x:f>
        <x:v>Ready</x:v>
      </x:c>
      <x:c r="U955" s="22" t="n">
        <x:f>IF(COUNT(I955,M955,N955)=3,MAX(0,ROUND(I955+M955-N955,2)),"n.a.")</x:f>
        <x:v>0</x:v>
      </x:c>
    </x:row>
    <x:row r="956" ht="22" customHeight="1">
      <x:c r="A956" s="2"/>
      <x:c r="B956" s="2"/>
      <x:c r="C956" s="27" t="n">
        <x:f>190</x:f>
        <x:v>190</x:v>
      </x:c>
      <x:c r="D956" s="28" t="n">
        <x:f>IF(ISNUMBER('Inputs'!$D$7),EDATE('Inputs'!$D$7,189),"n.a.")</x:f>
        <x:v>52079</x:v>
      </x:c>
      <x:c r="E956" s="26" t="n">
        <x:f>IF('Inputs'!$D$9&lt;&gt;"Ready","n.a.",IF(ISNUMBER('Inputs'!E208),IF('Inputs'!E208&gt;=0,'Inputs'!E208,"n.a."),IF('Inputs'!E208="",'Inputs'!$D$6,"n.a.")))</x:f>
        <x:v>500</x:v>
      </x:c>
      <x:c r="F956" s="22" t="n">
        <x:f>IF(COUNT($N$952:$N$956)=5,SUM($N$952:$N$956),"n.a.")</x:f>
        <x:v>0</x:v>
      </x:c>
      <x:c r="G956" s="22" t="n">
        <x:f>IF(COUNT(E956:F956)=2,MAX(0,E956-F956),"n.a.")</x:f>
        <x:v>500</x:v>
      </x:c>
      <x:c r="H956" s="26" t="str">
        <x:f>'Inputs'!C15</x:f>
        <x:v>Unused 5</x:v>
      </x:c>
      <x:c r="I956" s="26" t="n">
        <x:f>S951</x:f>
        <x:v>0</x:v>
      </x:c>
      <x:c r="J956" s="29" t="n">
        <x:f>IF('Inputs'!$D$9="Ready",'Inputs'!E15,"n.a.")</x:f>
        <x:v>0</x:v>
      </x:c>
      <x:c r="K956" s="26" t="n">
        <x:f>IF('Inputs'!$D$9="Ready",'Inputs'!F15,"n.a.")</x:f>
        <x:v>0</x:v>
      </x:c>
      <x:c r="L956" s="29" t="n">
        <x:f>IF('Inputs'!$D$9="Ready",'Inputs'!G15,"n.a.")</x:f>
        <x:v>0</x:v>
      </x:c>
      <x:c r="M956" s="22" t="n">
        <x:f>IF(COUNT(I956:L956)=4,ROUND(I956*J956/12,2),"n.a.")</x:f>
        <x:v>0</x:v>
      </x:c>
      <x:c r="N956" s="22" t="n">
        <x:f>IF(COUNT(I956:M956)=5,MIN(I956+M956,ROUND(MAX(K956,I956*L956+M956),2)),"n.a.")</x:f>
        <x:v>0</x:v>
      </x:c>
      <x:c r="O956" s="30" t="n">
        <x:f>IF(COUNT($I$952:$I$956)&lt;&gt;5,"n.a.",IF(I956=0,6,IF('Inputs'!$D$5=1,COUNTIFS($I$952:$I$956,"&gt;0",$I$952:$I$956,"&lt;"&amp;I956)+COUNTIFS($I$952:I956,I956),COUNTIFS($I$952:$I$956,"&gt;0",$J$952:$J$956,"&gt;"&amp;J956)+COUNTIFS($I$952:I956,"&gt;0",$J$952:J956,J956))))</x:f>
        <x:v>6</x:v>
      </x:c>
      <x:c r="P956" s="22" t="n">
        <x:f>IF(T956="Ready",MIN(U956,MAX(0,G956-SUMIFS($U$952:$U$956,$O$952:$O$956,"&lt;"&amp;O956))),"n.a.")</x:f>
        <x:v>0</x:v>
      </x:c>
      <x:c r="Q956" s="22" t="n">
        <x:f>IF(T956="Ready",ROUND(N956+P956,2),"n.a.")</x:f>
        <x:v>0</x:v>
      </x:c>
      <x:c r="R956" s="22" t="n">
        <x:f>IF(T956="Ready",ROUND(Q956-M956,2),"n.a.")</x:f>
        <x:v>0</x:v>
      </x:c>
      <x:c r="S956" s="22" t="n">
        <x:f>IF(T956="Ready",MAX(0,ROUND(I956+M956-Q956,2)),"n.a.")</x:f>
        <x:v>0</x:v>
      </x:c>
      <x:c r="T956" s="22" t="str">
        <x:f>IF(AND(COUNT($I$952:$I$956)=5,COUNT(E956:F956)=2),IF(E956&gt;=F956,"Ready","Budget below minima"),"Check inputs")</x:f>
        <x:v>Ready</x:v>
      </x:c>
      <x:c r="U956" s="22" t="n">
        <x:f>IF(COUNT(I956,M956,N956)=3,MAX(0,ROUND(I956+M956-N956,2)),"n.a.")</x:f>
        <x:v>0</x:v>
      </x:c>
    </x:row>
    <x:row r="957" ht="22" customHeight="1">
      <x:c r="A957" s="2"/>
      <x:c r="B957" s="2"/>
      <x:c r="C957" s="27" t="n">
        <x:f>191</x:f>
        <x:v>191</x:v>
      </x:c>
      <x:c r="D957" s="28" t="n">
        <x:f>IF(ISNUMBER('Inputs'!$D$7),EDATE('Inputs'!$D$7,190),"n.a.")</x:f>
        <x:v>52110</x:v>
      </x:c>
      <x:c r="E957" s="26" t="n">
        <x:f>IF('Inputs'!$D$9&lt;&gt;"Ready","n.a.",IF(ISNUMBER('Inputs'!E209),IF('Inputs'!E209&gt;=0,'Inputs'!E209,"n.a."),IF('Inputs'!E209="",'Inputs'!$D$6,"n.a.")))</x:f>
        <x:v>500</x:v>
      </x:c>
      <x:c r="F957" s="22" t="n">
        <x:f>IF(COUNT($N$957:$N$961)=5,SUM($N$957:$N$961),"n.a.")</x:f>
        <x:v>0</x:v>
      </x:c>
      <x:c r="G957" s="22" t="n">
        <x:f>IF(COUNT(E957:F957)=2,MAX(0,E957-F957),"n.a.")</x:f>
        <x:v>500</x:v>
      </x:c>
      <x:c r="H957" s="26" t="str">
        <x:f>'Inputs'!C11</x:f>
        <x:v>Card A</x:v>
      </x:c>
      <x:c r="I957" s="26" t="n">
        <x:f>S952</x:f>
        <x:v>0</x:v>
      </x:c>
      <x:c r="J957" s="29" t="n">
        <x:f>IF('Inputs'!$D$9="Ready",'Inputs'!E11,"n.a.")</x:f>
        <x:v>0.24</x:v>
      </x:c>
      <x:c r="K957" s="26" t="n">
        <x:f>IF('Inputs'!$D$9="Ready",'Inputs'!F11,"n.a.")</x:f>
        <x:v>35</x:v>
      </x:c>
      <x:c r="L957" s="29" t="n">
        <x:f>IF('Inputs'!$D$9="Ready",'Inputs'!G11,"n.a.")</x:f>
        <x:v>0.02</x:v>
      </x:c>
      <x:c r="M957" s="22" t="n">
        <x:f>IF(COUNT(I957:L957)=4,ROUND(I957*J957/12,2),"n.a.")</x:f>
        <x:v>0</x:v>
      </x:c>
      <x:c r="N957" s="22" t="n">
        <x:f>IF(COUNT(I957:M957)=5,MIN(I957+M957,ROUND(MAX(K957,I957*L957+M957),2)),"n.a.")</x:f>
        <x:v>0</x:v>
      </x:c>
      <x:c r="O957" s="30" t="n">
        <x:f>IF(COUNT($I$957:$I$961)&lt;&gt;5,"n.a.",IF(I957=0,6,IF('Inputs'!$D$5=1,COUNTIFS($I$957:$I$961,"&gt;0",$I$957:$I$961,"&lt;"&amp;I957)+COUNTIFS($I$957:I957,I957),COUNTIFS($I$957:$I$961,"&gt;0",$J$957:$J$961,"&gt;"&amp;J957)+COUNTIFS($I$957:I957,"&gt;0",$J$957:J957,J957))))</x:f>
        <x:v>6</x:v>
      </x:c>
      <x:c r="P957" s="22" t="n">
        <x:f>IF(T957="Ready",MIN(U957,MAX(0,G957-SUMIFS($U$957:$U$961,$O$957:$O$961,"&lt;"&amp;O957))),"n.a.")</x:f>
        <x:v>0</x:v>
      </x:c>
      <x:c r="Q957" s="22" t="n">
        <x:f>IF(T957="Ready",ROUND(N957+P957,2),"n.a.")</x:f>
        <x:v>0</x:v>
      </x:c>
      <x:c r="R957" s="22" t="n">
        <x:f>IF(T957="Ready",ROUND(Q957-M957,2),"n.a.")</x:f>
        <x:v>0</x:v>
      </x:c>
      <x:c r="S957" s="22" t="n">
        <x:f>IF(T957="Ready",MAX(0,ROUND(I957+M957-Q957,2)),"n.a.")</x:f>
        <x:v>0</x:v>
      </x:c>
      <x:c r="T957" s="22" t="str">
        <x:f>IF(AND(COUNT($I$957:$I$961)=5,COUNT(E957:F957)=2),IF(E957&gt;=F957,"Ready","Budget below minima"),"Check inputs")</x:f>
        <x:v>Ready</x:v>
      </x:c>
      <x:c r="U957" s="22" t="n">
        <x:f>IF(COUNT(I957,M957,N957)=3,MAX(0,ROUND(I957+M957-N957,2)),"n.a.")</x:f>
        <x:v>0</x:v>
      </x:c>
    </x:row>
    <x:row r="958" ht="22" customHeight="1">
      <x:c r="A958" s="2"/>
      <x:c r="B958" s="2"/>
      <x:c r="C958" s="27" t="n">
        <x:f>191</x:f>
        <x:v>191</x:v>
      </x:c>
      <x:c r="D958" s="28" t="n">
        <x:f>IF(ISNUMBER('Inputs'!$D$7),EDATE('Inputs'!$D$7,190),"n.a.")</x:f>
        <x:v>52110</x:v>
      </x:c>
      <x:c r="E958" s="26" t="n">
        <x:f>IF('Inputs'!$D$9&lt;&gt;"Ready","n.a.",IF(ISNUMBER('Inputs'!E209),IF('Inputs'!E209&gt;=0,'Inputs'!E209,"n.a."),IF('Inputs'!E209="",'Inputs'!$D$6,"n.a.")))</x:f>
        <x:v>500</x:v>
      </x:c>
      <x:c r="F958" s="22" t="n">
        <x:f>IF(COUNT($N$957:$N$961)=5,SUM($N$957:$N$961),"n.a.")</x:f>
        <x:v>0</x:v>
      </x:c>
      <x:c r="G958" s="22" t="n">
        <x:f>IF(COUNT(E958:F958)=2,MAX(0,E958-F958),"n.a.")</x:f>
        <x:v>500</x:v>
      </x:c>
      <x:c r="H958" s="26" t="str">
        <x:f>'Inputs'!C12</x:f>
        <x:v>Card B</x:v>
      </x:c>
      <x:c r="I958" s="26" t="n">
        <x:f>S953</x:f>
        <x:v>0</x:v>
      </x:c>
      <x:c r="J958" s="29" t="n">
        <x:f>IF('Inputs'!$D$9="Ready",'Inputs'!E12,"n.a.")</x:f>
        <x:v>0.18</x:v>
      </x:c>
      <x:c r="K958" s="26" t="n">
        <x:f>IF('Inputs'!$D$9="Ready",'Inputs'!F12,"n.a.")</x:f>
        <x:v>60</x:v>
      </x:c>
      <x:c r="L958" s="29" t="n">
        <x:f>IF('Inputs'!$D$9="Ready",'Inputs'!G12,"n.a.")</x:f>
        <x:v>0.02</x:v>
      </x:c>
      <x:c r="M958" s="22" t="n">
        <x:f>IF(COUNT(I958:L958)=4,ROUND(I958*J958/12,2),"n.a.")</x:f>
        <x:v>0</x:v>
      </x:c>
      <x:c r="N958" s="22" t="n">
        <x:f>IF(COUNT(I958:M958)=5,MIN(I958+M958,ROUND(MAX(K958,I958*L958+M958),2)),"n.a.")</x:f>
        <x:v>0</x:v>
      </x:c>
      <x:c r="O958" s="30" t="n">
        <x:f>IF(COUNT($I$957:$I$961)&lt;&gt;5,"n.a.",IF(I958=0,6,IF('Inputs'!$D$5=1,COUNTIFS($I$957:$I$961,"&gt;0",$I$957:$I$961,"&lt;"&amp;I958)+COUNTIFS($I$957:I958,I958),COUNTIFS($I$957:$I$961,"&gt;0",$J$957:$J$961,"&gt;"&amp;J958)+COUNTIFS($I$957:I958,"&gt;0",$J$957:J958,J958))))</x:f>
        <x:v>6</x:v>
      </x:c>
      <x:c r="P958" s="22" t="n">
        <x:f>IF(T958="Ready",MIN(U958,MAX(0,G958-SUMIFS($U$957:$U$961,$O$957:$O$961,"&lt;"&amp;O958))),"n.a.")</x:f>
        <x:v>0</x:v>
      </x:c>
      <x:c r="Q958" s="22" t="n">
        <x:f>IF(T958="Ready",ROUND(N958+P958,2),"n.a.")</x:f>
        <x:v>0</x:v>
      </x:c>
      <x:c r="R958" s="22" t="n">
        <x:f>IF(T958="Ready",ROUND(Q958-M958,2),"n.a.")</x:f>
        <x:v>0</x:v>
      </x:c>
      <x:c r="S958" s="22" t="n">
        <x:f>IF(T958="Ready",MAX(0,ROUND(I958+M958-Q958,2)),"n.a.")</x:f>
        <x:v>0</x:v>
      </x:c>
      <x:c r="T958" s="22" t="str">
        <x:f>IF(AND(COUNT($I$957:$I$961)=5,COUNT(E958:F958)=2),IF(E958&gt;=F958,"Ready","Budget below minima"),"Check inputs")</x:f>
        <x:v>Ready</x:v>
      </x:c>
      <x:c r="U958" s="22" t="n">
        <x:f>IF(COUNT(I958,M958,N958)=3,MAX(0,ROUND(I958+M958-N958,2)),"n.a.")</x:f>
        <x:v>0</x:v>
      </x:c>
    </x:row>
    <x:row r="959" ht="22" customHeight="1">
      <x:c r="A959" s="2"/>
      <x:c r="B959" s="2"/>
      <x:c r="C959" s="27" t="n">
        <x:f>191</x:f>
        <x:v>191</x:v>
      </x:c>
      <x:c r="D959" s="28" t="n">
        <x:f>IF(ISNUMBER('Inputs'!$D$7),EDATE('Inputs'!$D$7,190),"n.a.")</x:f>
        <x:v>52110</x:v>
      </x:c>
      <x:c r="E959" s="26" t="n">
        <x:f>IF('Inputs'!$D$9&lt;&gt;"Ready","n.a.",IF(ISNUMBER('Inputs'!E209),IF('Inputs'!E209&gt;=0,'Inputs'!E209,"n.a."),IF('Inputs'!E209="",'Inputs'!$D$6,"n.a.")))</x:f>
        <x:v>500</x:v>
      </x:c>
      <x:c r="F959" s="22" t="n">
        <x:f>IF(COUNT($N$957:$N$961)=5,SUM($N$957:$N$961),"n.a.")</x:f>
        <x:v>0</x:v>
      </x:c>
      <x:c r="G959" s="22" t="n">
        <x:f>IF(COUNT(E959:F959)=2,MAX(0,E959-F959),"n.a.")</x:f>
        <x:v>500</x:v>
      </x:c>
      <x:c r="H959" s="26" t="str">
        <x:f>'Inputs'!C13</x:f>
        <x:v>Loan C</x:v>
      </x:c>
      <x:c r="I959" s="26" t="n">
        <x:f>S954</x:f>
        <x:v>0</x:v>
      </x:c>
      <x:c r="J959" s="29" t="n">
        <x:f>IF('Inputs'!$D$9="Ready",'Inputs'!E13,"n.a.")</x:f>
        <x:v>0.08</x:v>
      </x:c>
      <x:c r="K959" s="26" t="n">
        <x:f>IF('Inputs'!$D$9="Ready",'Inputs'!F13,"n.a.")</x:f>
        <x:v>150</x:v>
      </x:c>
      <x:c r="L959" s="29" t="n">
        <x:f>IF('Inputs'!$D$9="Ready",'Inputs'!G13,"n.a.")</x:f>
        <x:v>0</x:v>
      </x:c>
      <x:c r="M959" s="22" t="n">
        <x:f>IF(COUNT(I959:L959)=4,ROUND(I959*J959/12,2),"n.a.")</x:f>
        <x:v>0</x:v>
      </x:c>
      <x:c r="N959" s="22" t="n">
        <x:f>IF(COUNT(I959:M959)=5,MIN(I959+M959,ROUND(MAX(K959,I959*L959+M959),2)),"n.a.")</x:f>
        <x:v>0</x:v>
      </x:c>
      <x:c r="O959" s="30" t="n">
        <x:f>IF(COUNT($I$957:$I$961)&lt;&gt;5,"n.a.",IF(I959=0,6,IF('Inputs'!$D$5=1,COUNTIFS($I$957:$I$961,"&gt;0",$I$957:$I$961,"&lt;"&amp;I959)+COUNTIFS($I$957:I959,I959),COUNTIFS($I$957:$I$961,"&gt;0",$J$957:$J$961,"&gt;"&amp;J959)+COUNTIFS($I$957:I959,"&gt;0",$J$957:J959,J959))))</x:f>
        <x:v>6</x:v>
      </x:c>
      <x:c r="P959" s="22" t="n">
        <x:f>IF(T959="Ready",MIN(U959,MAX(0,G959-SUMIFS($U$957:$U$961,$O$957:$O$961,"&lt;"&amp;O959))),"n.a.")</x:f>
        <x:v>0</x:v>
      </x:c>
      <x:c r="Q959" s="22" t="n">
        <x:f>IF(T959="Ready",ROUND(N959+P959,2),"n.a.")</x:f>
        <x:v>0</x:v>
      </x:c>
      <x:c r="R959" s="22" t="n">
        <x:f>IF(T959="Ready",ROUND(Q959-M959,2),"n.a.")</x:f>
        <x:v>0</x:v>
      </x:c>
      <x:c r="S959" s="22" t="n">
        <x:f>IF(T959="Ready",MAX(0,ROUND(I959+M959-Q959,2)),"n.a.")</x:f>
        <x:v>0</x:v>
      </x:c>
      <x:c r="T959" s="22" t="str">
        <x:f>IF(AND(COUNT($I$957:$I$961)=5,COUNT(E959:F959)=2),IF(E959&gt;=F959,"Ready","Budget below minima"),"Check inputs")</x:f>
        <x:v>Ready</x:v>
      </x:c>
      <x:c r="U959" s="22" t="n">
        <x:f>IF(COUNT(I959,M959,N959)=3,MAX(0,ROUND(I959+M959-N959,2)),"n.a.")</x:f>
        <x:v>0</x:v>
      </x:c>
    </x:row>
    <x:row r="960" ht="22" customHeight="1">
      <x:c r="A960" s="2"/>
      <x:c r="B960" s="2"/>
      <x:c r="C960" s="27" t="n">
        <x:f>191</x:f>
        <x:v>191</x:v>
      </x:c>
      <x:c r="D960" s="28" t="n">
        <x:f>IF(ISNUMBER('Inputs'!$D$7),EDATE('Inputs'!$D$7,190),"n.a.")</x:f>
        <x:v>52110</x:v>
      </x:c>
      <x:c r="E960" s="26" t="n">
        <x:f>IF('Inputs'!$D$9&lt;&gt;"Ready","n.a.",IF(ISNUMBER('Inputs'!E209),IF('Inputs'!E209&gt;=0,'Inputs'!E209,"n.a."),IF('Inputs'!E209="",'Inputs'!$D$6,"n.a.")))</x:f>
        <x:v>500</x:v>
      </x:c>
      <x:c r="F960" s="22" t="n">
        <x:f>IF(COUNT($N$957:$N$961)=5,SUM($N$957:$N$961),"n.a.")</x:f>
        <x:v>0</x:v>
      </x:c>
      <x:c r="G960" s="22" t="n">
        <x:f>IF(COUNT(E960:F960)=2,MAX(0,E960-F960),"n.a.")</x:f>
        <x:v>500</x:v>
      </x:c>
      <x:c r="H960" s="26" t="str">
        <x:f>'Inputs'!C14</x:f>
        <x:v>Unused 4</x:v>
      </x:c>
      <x:c r="I960" s="26" t="n">
        <x:f>S955</x:f>
        <x:v>0</x:v>
      </x:c>
      <x:c r="J960" s="29" t="n">
        <x:f>IF('Inputs'!$D$9="Ready",'Inputs'!E14,"n.a.")</x:f>
        <x:v>0</x:v>
      </x:c>
      <x:c r="K960" s="26" t="n">
        <x:f>IF('Inputs'!$D$9="Ready",'Inputs'!F14,"n.a.")</x:f>
        <x:v>0</x:v>
      </x:c>
      <x:c r="L960" s="29" t="n">
        <x:f>IF('Inputs'!$D$9="Ready",'Inputs'!G14,"n.a.")</x:f>
        <x:v>0</x:v>
      </x:c>
      <x:c r="M960" s="22" t="n">
        <x:f>IF(COUNT(I960:L960)=4,ROUND(I960*J960/12,2),"n.a.")</x:f>
        <x:v>0</x:v>
      </x:c>
      <x:c r="N960" s="22" t="n">
        <x:f>IF(COUNT(I960:M960)=5,MIN(I960+M960,ROUND(MAX(K960,I960*L960+M960),2)),"n.a.")</x:f>
        <x:v>0</x:v>
      </x:c>
      <x:c r="O960" s="30" t="n">
        <x:f>IF(COUNT($I$957:$I$961)&lt;&gt;5,"n.a.",IF(I960=0,6,IF('Inputs'!$D$5=1,COUNTIFS($I$957:$I$961,"&gt;0",$I$957:$I$961,"&lt;"&amp;I960)+COUNTIFS($I$957:I960,I960),COUNTIFS($I$957:$I$961,"&gt;0",$J$957:$J$961,"&gt;"&amp;J960)+COUNTIFS($I$957:I960,"&gt;0",$J$957:J960,J960))))</x:f>
        <x:v>6</x:v>
      </x:c>
      <x:c r="P960" s="22" t="n">
        <x:f>IF(T960="Ready",MIN(U960,MAX(0,G960-SUMIFS($U$957:$U$961,$O$957:$O$961,"&lt;"&amp;O960))),"n.a.")</x:f>
        <x:v>0</x:v>
      </x:c>
      <x:c r="Q960" s="22" t="n">
        <x:f>IF(T960="Ready",ROUND(N960+P960,2),"n.a.")</x:f>
        <x:v>0</x:v>
      </x:c>
      <x:c r="R960" s="22" t="n">
        <x:f>IF(T960="Ready",ROUND(Q960-M960,2),"n.a.")</x:f>
        <x:v>0</x:v>
      </x:c>
      <x:c r="S960" s="22" t="n">
        <x:f>IF(T960="Ready",MAX(0,ROUND(I960+M960-Q960,2)),"n.a.")</x:f>
        <x:v>0</x:v>
      </x:c>
      <x:c r="T960" s="22" t="str">
        <x:f>IF(AND(COUNT($I$957:$I$961)=5,COUNT(E960:F960)=2),IF(E960&gt;=F960,"Ready","Budget below minima"),"Check inputs")</x:f>
        <x:v>Ready</x:v>
      </x:c>
      <x:c r="U960" s="22" t="n">
        <x:f>IF(COUNT(I960,M960,N960)=3,MAX(0,ROUND(I960+M960-N960,2)),"n.a.")</x:f>
        <x:v>0</x:v>
      </x:c>
    </x:row>
    <x:row r="961" ht="22" customHeight="1">
      <x:c r="A961" s="2"/>
      <x:c r="B961" s="2"/>
      <x:c r="C961" s="27" t="n">
        <x:f>191</x:f>
        <x:v>191</x:v>
      </x:c>
      <x:c r="D961" s="28" t="n">
        <x:f>IF(ISNUMBER('Inputs'!$D$7),EDATE('Inputs'!$D$7,190),"n.a.")</x:f>
        <x:v>52110</x:v>
      </x:c>
      <x:c r="E961" s="26" t="n">
        <x:f>IF('Inputs'!$D$9&lt;&gt;"Ready","n.a.",IF(ISNUMBER('Inputs'!E209),IF('Inputs'!E209&gt;=0,'Inputs'!E209,"n.a."),IF('Inputs'!E209="",'Inputs'!$D$6,"n.a.")))</x:f>
        <x:v>500</x:v>
      </x:c>
      <x:c r="F961" s="22" t="n">
        <x:f>IF(COUNT($N$957:$N$961)=5,SUM($N$957:$N$961),"n.a.")</x:f>
        <x:v>0</x:v>
      </x:c>
      <x:c r="G961" s="22" t="n">
        <x:f>IF(COUNT(E961:F961)=2,MAX(0,E961-F961),"n.a.")</x:f>
        <x:v>500</x:v>
      </x:c>
      <x:c r="H961" s="26" t="str">
        <x:f>'Inputs'!C15</x:f>
        <x:v>Unused 5</x:v>
      </x:c>
      <x:c r="I961" s="26" t="n">
        <x:f>S956</x:f>
        <x:v>0</x:v>
      </x:c>
      <x:c r="J961" s="29" t="n">
        <x:f>IF('Inputs'!$D$9="Ready",'Inputs'!E15,"n.a.")</x:f>
        <x:v>0</x:v>
      </x:c>
      <x:c r="K961" s="26" t="n">
        <x:f>IF('Inputs'!$D$9="Ready",'Inputs'!F15,"n.a.")</x:f>
        <x:v>0</x:v>
      </x:c>
      <x:c r="L961" s="29" t="n">
        <x:f>IF('Inputs'!$D$9="Ready",'Inputs'!G15,"n.a.")</x:f>
        <x:v>0</x:v>
      </x:c>
      <x:c r="M961" s="22" t="n">
        <x:f>IF(COUNT(I961:L961)=4,ROUND(I961*J961/12,2),"n.a.")</x:f>
        <x:v>0</x:v>
      </x:c>
      <x:c r="N961" s="22" t="n">
        <x:f>IF(COUNT(I961:M961)=5,MIN(I961+M961,ROUND(MAX(K961,I961*L961+M961),2)),"n.a.")</x:f>
        <x:v>0</x:v>
      </x:c>
      <x:c r="O961" s="30" t="n">
        <x:f>IF(COUNT($I$957:$I$961)&lt;&gt;5,"n.a.",IF(I961=0,6,IF('Inputs'!$D$5=1,COUNTIFS($I$957:$I$961,"&gt;0",$I$957:$I$961,"&lt;"&amp;I961)+COUNTIFS($I$957:I961,I961),COUNTIFS($I$957:$I$961,"&gt;0",$J$957:$J$961,"&gt;"&amp;J961)+COUNTIFS($I$957:I961,"&gt;0",$J$957:J961,J961))))</x:f>
        <x:v>6</x:v>
      </x:c>
      <x:c r="P961" s="22" t="n">
        <x:f>IF(T961="Ready",MIN(U961,MAX(0,G961-SUMIFS($U$957:$U$961,$O$957:$O$961,"&lt;"&amp;O961))),"n.a.")</x:f>
        <x:v>0</x:v>
      </x:c>
      <x:c r="Q961" s="22" t="n">
        <x:f>IF(T961="Ready",ROUND(N961+P961,2),"n.a.")</x:f>
        <x:v>0</x:v>
      </x:c>
      <x:c r="R961" s="22" t="n">
        <x:f>IF(T961="Ready",ROUND(Q961-M961,2),"n.a.")</x:f>
        <x:v>0</x:v>
      </x:c>
      <x:c r="S961" s="22" t="n">
        <x:f>IF(T961="Ready",MAX(0,ROUND(I961+M961-Q961,2)),"n.a.")</x:f>
        <x:v>0</x:v>
      </x:c>
      <x:c r="T961" s="22" t="str">
        <x:f>IF(AND(COUNT($I$957:$I$961)=5,COUNT(E961:F961)=2),IF(E961&gt;=F961,"Ready","Budget below minima"),"Check inputs")</x:f>
        <x:v>Ready</x:v>
      </x:c>
      <x:c r="U961" s="22" t="n">
        <x:f>IF(COUNT(I961,M961,N961)=3,MAX(0,ROUND(I961+M961-N961,2)),"n.a.")</x:f>
        <x:v>0</x:v>
      </x:c>
    </x:row>
    <x:row r="962" ht="22" customHeight="1">
      <x:c r="A962" s="2"/>
      <x:c r="B962" s="2"/>
      <x:c r="C962" s="27" t="n">
        <x:f>192</x:f>
        <x:v>192</x:v>
      </x:c>
      <x:c r="D962" s="28" t="n">
        <x:f>IF(ISNUMBER('Inputs'!$D$7),EDATE('Inputs'!$D$7,191),"n.a.")</x:f>
        <x:v>52140</x:v>
      </x:c>
      <x:c r="E962" s="26" t="n">
        <x:f>IF('Inputs'!$D$9&lt;&gt;"Ready","n.a.",IF(ISNUMBER('Inputs'!E210),IF('Inputs'!E210&gt;=0,'Inputs'!E210,"n.a."),IF('Inputs'!E210="",'Inputs'!$D$6,"n.a.")))</x:f>
        <x:v>500</x:v>
      </x:c>
      <x:c r="F962" s="22" t="n">
        <x:f>IF(COUNT($N$962:$N$966)=5,SUM($N$962:$N$966),"n.a.")</x:f>
        <x:v>0</x:v>
      </x:c>
      <x:c r="G962" s="22" t="n">
        <x:f>IF(COUNT(E962:F962)=2,MAX(0,E962-F962),"n.a.")</x:f>
        <x:v>500</x:v>
      </x:c>
      <x:c r="H962" s="26" t="str">
        <x:f>'Inputs'!C11</x:f>
        <x:v>Card A</x:v>
      </x:c>
      <x:c r="I962" s="26" t="n">
        <x:f>S957</x:f>
        <x:v>0</x:v>
      </x:c>
      <x:c r="J962" s="29" t="n">
        <x:f>IF('Inputs'!$D$9="Ready",'Inputs'!E11,"n.a.")</x:f>
        <x:v>0.24</x:v>
      </x:c>
      <x:c r="K962" s="26" t="n">
        <x:f>IF('Inputs'!$D$9="Ready",'Inputs'!F11,"n.a.")</x:f>
        <x:v>35</x:v>
      </x:c>
      <x:c r="L962" s="29" t="n">
        <x:f>IF('Inputs'!$D$9="Ready",'Inputs'!G11,"n.a.")</x:f>
        <x:v>0.02</x:v>
      </x:c>
      <x:c r="M962" s="22" t="n">
        <x:f>IF(COUNT(I962:L962)=4,ROUND(I962*J962/12,2),"n.a.")</x:f>
        <x:v>0</x:v>
      </x:c>
      <x:c r="N962" s="22" t="n">
        <x:f>IF(COUNT(I962:M962)=5,MIN(I962+M962,ROUND(MAX(K962,I962*L962+M962),2)),"n.a.")</x:f>
        <x:v>0</x:v>
      </x:c>
      <x:c r="O962" s="30" t="n">
        <x:f>IF(COUNT($I$962:$I$966)&lt;&gt;5,"n.a.",IF(I962=0,6,IF('Inputs'!$D$5=1,COUNTIFS($I$962:$I$966,"&gt;0",$I$962:$I$966,"&lt;"&amp;I962)+COUNTIFS($I$962:I962,I962),COUNTIFS($I$962:$I$966,"&gt;0",$J$962:$J$966,"&gt;"&amp;J962)+COUNTIFS($I$962:I962,"&gt;0",$J$962:J962,J962))))</x:f>
        <x:v>6</x:v>
      </x:c>
      <x:c r="P962" s="22" t="n">
        <x:f>IF(T962="Ready",MIN(U962,MAX(0,G962-SUMIFS($U$962:$U$966,$O$962:$O$966,"&lt;"&amp;O962))),"n.a.")</x:f>
        <x:v>0</x:v>
      </x:c>
      <x:c r="Q962" s="22" t="n">
        <x:f>IF(T962="Ready",ROUND(N962+P962,2),"n.a.")</x:f>
        <x:v>0</x:v>
      </x:c>
      <x:c r="R962" s="22" t="n">
        <x:f>IF(T962="Ready",ROUND(Q962-M962,2),"n.a.")</x:f>
        <x:v>0</x:v>
      </x:c>
      <x:c r="S962" s="22" t="n">
        <x:f>IF(T962="Ready",MAX(0,ROUND(I962+M962-Q962,2)),"n.a.")</x:f>
        <x:v>0</x:v>
      </x:c>
      <x:c r="T962" s="22" t="str">
        <x:f>IF(AND(COUNT($I$962:$I$966)=5,COUNT(E962:F962)=2),IF(E962&gt;=F962,"Ready","Budget below minima"),"Check inputs")</x:f>
        <x:v>Ready</x:v>
      </x:c>
      <x:c r="U962" s="22" t="n">
        <x:f>IF(COUNT(I962,M962,N962)=3,MAX(0,ROUND(I962+M962-N962,2)),"n.a.")</x:f>
        <x:v>0</x:v>
      </x:c>
    </x:row>
    <x:row r="963" ht="22" customHeight="1">
      <x:c r="A963" s="2"/>
      <x:c r="B963" s="2"/>
      <x:c r="C963" s="27" t="n">
        <x:f>192</x:f>
        <x:v>192</x:v>
      </x:c>
      <x:c r="D963" s="28" t="n">
        <x:f>IF(ISNUMBER('Inputs'!$D$7),EDATE('Inputs'!$D$7,191),"n.a.")</x:f>
        <x:v>52140</x:v>
      </x:c>
      <x:c r="E963" s="26" t="n">
        <x:f>IF('Inputs'!$D$9&lt;&gt;"Ready","n.a.",IF(ISNUMBER('Inputs'!E210),IF('Inputs'!E210&gt;=0,'Inputs'!E210,"n.a."),IF('Inputs'!E210="",'Inputs'!$D$6,"n.a.")))</x:f>
        <x:v>500</x:v>
      </x:c>
      <x:c r="F963" s="22" t="n">
        <x:f>IF(COUNT($N$962:$N$966)=5,SUM($N$962:$N$966),"n.a.")</x:f>
        <x:v>0</x:v>
      </x:c>
      <x:c r="G963" s="22" t="n">
        <x:f>IF(COUNT(E963:F963)=2,MAX(0,E963-F963),"n.a.")</x:f>
        <x:v>500</x:v>
      </x:c>
      <x:c r="H963" s="26" t="str">
        <x:f>'Inputs'!C12</x:f>
        <x:v>Card B</x:v>
      </x:c>
      <x:c r="I963" s="26" t="n">
        <x:f>S958</x:f>
        <x:v>0</x:v>
      </x:c>
      <x:c r="J963" s="29" t="n">
        <x:f>IF('Inputs'!$D$9="Ready",'Inputs'!E12,"n.a.")</x:f>
        <x:v>0.18</x:v>
      </x:c>
      <x:c r="K963" s="26" t="n">
        <x:f>IF('Inputs'!$D$9="Ready",'Inputs'!F12,"n.a.")</x:f>
        <x:v>60</x:v>
      </x:c>
      <x:c r="L963" s="29" t="n">
        <x:f>IF('Inputs'!$D$9="Ready",'Inputs'!G12,"n.a.")</x:f>
        <x:v>0.02</x:v>
      </x:c>
      <x:c r="M963" s="22" t="n">
        <x:f>IF(COUNT(I963:L963)=4,ROUND(I963*J963/12,2),"n.a.")</x:f>
        <x:v>0</x:v>
      </x:c>
      <x:c r="N963" s="22" t="n">
        <x:f>IF(COUNT(I963:M963)=5,MIN(I963+M963,ROUND(MAX(K963,I963*L963+M963),2)),"n.a.")</x:f>
        <x:v>0</x:v>
      </x:c>
      <x:c r="O963" s="30" t="n">
        <x:f>IF(COUNT($I$962:$I$966)&lt;&gt;5,"n.a.",IF(I963=0,6,IF('Inputs'!$D$5=1,COUNTIFS($I$962:$I$966,"&gt;0",$I$962:$I$966,"&lt;"&amp;I963)+COUNTIFS($I$962:I963,I963),COUNTIFS($I$962:$I$966,"&gt;0",$J$962:$J$966,"&gt;"&amp;J963)+COUNTIFS($I$962:I963,"&gt;0",$J$962:J963,J963))))</x:f>
        <x:v>6</x:v>
      </x:c>
      <x:c r="P963" s="22" t="n">
        <x:f>IF(T963="Ready",MIN(U963,MAX(0,G963-SUMIFS($U$962:$U$966,$O$962:$O$966,"&lt;"&amp;O963))),"n.a.")</x:f>
        <x:v>0</x:v>
      </x:c>
      <x:c r="Q963" s="22" t="n">
        <x:f>IF(T963="Ready",ROUND(N963+P963,2),"n.a.")</x:f>
        <x:v>0</x:v>
      </x:c>
      <x:c r="R963" s="22" t="n">
        <x:f>IF(T963="Ready",ROUND(Q963-M963,2),"n.a.")</x:f>
        <x:v>0</x:v>
      </x:c>
      <x:c r="S963" s="22" t="n">
        <x:f>IF(T963="Ready",MAX(0,ROUND(I963+M963-Q963,2)),"n.a.")</x:f>
        <x:v>0</x:v>
      </x:c>
      <x:c r="T963" s="22" t="str">
        <x:f>IF(AND(COUNT($I$962:$I$966)=5,COUNT(E963:F963)=2),IF(E963&gt;=F963,"Ready","Budget below minima"),"Check inputs")</x:f>
        <x:v>Ready</x:v>
      </x:c>
      <x:c r="U963" s="22" t="n">
        <x:f>IF(COUNT(I963,M963,N963)=3,MAX(0,ROUND(I963+M963-N963,2)),"n.a.")</x:f>
        <x:v>0</x:v>
      </x:c>
    </x:row>
    <x:row r="964" ht="22" customHeight="1">
      <x:c r="A964" s="2"/>
      <x:c r="B964" s="2"/>
      <x:c r="C964" s="27" t="n">
        <x:f>192</x:f>
        <x:v>192</x:v>
      </x:c>
      <x:c r="D964" s="28" t="n">
        <x:f>IF(ISNUMBER('Inputs'!$D$7),EDATE('Inputs'!$D$7,191),"n.a.")</x:f>
        <x:v>52140</x:v>
      </x:c>
      <x:c r="E964" s="26" t="n">
        <x:f>IF('Inputs'!$D$9&lt;&gt;"Ready","n.a.",IF(ISNUMBER('Inputs'!E210),IF('Inputs'!E210&gt;=0,'Inputs'!E210,"n.a."),IF('Inputs'!E210="",'Inputs'!$D$6,"n.a.")))</x:f>
        <x:v>500</x:v>
      </x:c>
      <x:c r="F964" s="22" t="n">
        <x:f>IF(COUNT($N$962:$N$966)=5,SUM($N$962:$N$966),"n.a.")</x:f>
        <x:v>0</x:v>
      </x:c>
      <x:c r="G964" s="22" t="n">
        <x:f>IF(COUNT(E964:F964)=2,MAX(0,E964-F964),"n.a.")</x:f>
        <x:v>500</x:v>
      </x:c>
      <x:c r="H964" s="26" t="str">
        <x:f>'Inputs'!C13</x:f>
        <x:v>Loan C</x:v>
      </x:c>
      <x:c r="I964" s="26" t="n">
        <x:f>S959</x:f>
        <x:v>0</x:v>
      </x:c>
      <x:c r="J964" s="29" t="n">
        <x:f>IF('Inputs'!$D$9="Ready",'Inputs'!E13,"n.a.")</x:f>
        <x:v>0.08</x:v>
      </x:c>
      <x:c r="K964" s="26" t="n">
        <x:f>IF('Inputs'!$D$9="Ready",'Inputs'!F13,"n.a.")</x:f>
        <x:v>150</x:v>
      </x:c>
      <x:c r="L964" s="29" t="n">
        <x:f>IF('Inputs'!$D$9="Ready",'Inputs'!G13,"n.a.")</x:f>
        <x:v>0</x:v>
      </x:c>
      <x:c r="M964" s="22" t="n">
        <x:f>IF(COUNT(I964:L964)=4,ROUND(I964*J964/12,2),"n.a.")</x:f>
        <x:v>0</x:v>
      </x:c>
      <x:c r="N964" s="22" t="n">
        <x:f>IF(COUNT(I964:M964)=5,MIN(I964+M964,ROUND(MAX(K964,I964*L964+M964),2)),"n.a.")</x:f>
        <x:v>0</x:v>
      </x:c>
      <x:c r="O964" s="30" t="n">
        <x:f>IF(COUNT($I$962:$I$966)&lt;&gt;5,"n.a.",IF(I964=0,6,IF('Inputs'!$D$5=1,COUNTIFS($I$962:$I$966,"&gt;0",$I$962:$I$966,"&lt;"&amp;I964)+COUNTIFS($I$962:I964,I964),COUNTIFS($I$962:$I$966,"&gt;0",$J$962:$J$966,"&gt;"&amp;J964)+COUNTIFS($I$962:I964,"&gt;0",$J$962:J964,J964))))</x:f>
        <x:v>6</x:v>
      </x:c>
      <x:c r="P964" s="22" t="n">
        <x:f>IF(T964="Ready",MIN(U964,MAX(0,G964-SUMIFS($U$962:$U$966,$O$962:$O$966,"&lt;"&amp;O964))),"n.a.")</x:f>
        <x:v>0</x:v>
      </x:c>
      <x:c r="Q964" s="22" t="n">
        <x:f>IF(T964="Ready",ROUND(N964+P964,2),"n.a.")</x:f>
        <x:v>0</x:v>
      </x:c>
      <x:c r="R964" s="22" t="n">
        <x:f>IF(T964="Ready",ROUND(Q964-M964,2),"n.a.")</x:f>
        <x:v>0</x:v>
      </x:c>
      <x:c r="S964" s="22" t="n">
        <x:f>IF(T964="Ready",MAX(0,ROUND(I964+M964-Q964,2)),"n.a.")</x:f>
        <x:v>0</x:v>
      </x:c>
      <x:c r="T964" s="22" t="str">
        <x:f>IF(AND(COUNT($I$962:$I$966)=5,COUNT(E964:F964)=2),IF(E964&gt;=F964,"Ready","Budget below minima"),"Check inputs")</x:f>
        <x:v>Ready</x:v>
      </x:c>
      <x:c r="U964" s="22" t="n">
        <x:f>IF(COUNT(I964,M964,N964)=3,MAX(0,ROUND(I964+M964-N964,2)),"n.a.")</x:f>
        <x:v>0</x:v>
      </x:c>
    </x:row>
    <x:row r="965" ht="22" customHeight="1">
      <x:c r="A965" s="2"/>
      <x:c r="B965" s="2"/>
      <x:c r="C965" s="27" t="n">
        <x:f>192</x:f>
        <x:v>192</x:v>
      </x:c>
      <x:c r="D965" s="28" t="n">
        <x:f>IF(ISNUMBER('Inputs'!$D$7),EDATE('Inputs'!$D$7,191),"n.a.")</x:f>
        <x:v>52140</x:v>
      </x:c>
      <x:c r="E965" s="26" t="n">
        <x:f>IF('Inputs'!$D$9&lt;&gt;"Ready","n.a.",IF(ISNUMBER('Inputs'!E210),IF('Inputs'!E210&gt;=0,'Inputs'!E210,"n.a."),IF('Inputs'!E210="",'Inputs'!$D$6,"n.a.")))</x:f>
        <x:v>500</x:v>
      </x:c>
      <x:c r="F965" s="22" t="n">
        <x:f>IF(COUNT($N$962:$N$966)=5,SUM($N$962:$N$966),"n.a.")</x:f>
        <x:v>0</x:v>
      </x:c>
      <x:c r="G965" s="22" t="n">
        <x:f>IF(COUNT(E965:F965)=2,MAX(0,E965-F965),"n.a.")</x:f>
        <x:v>500</x:v>
      </x:c>
      <x:c r="H965" s="26" t="str">
        <x:f>'Inputs'!C14</x:f>
        <x:v>Unused 4</x:v>
      </x:c>
      <x:c r="I965" s="26" t="n">
        <x:f>S960</x:f>
        <x:v>0</x:v>
      </x:c>
      <x:c r="J965" s="29" t="n">
        <x:f>IF('Inputs'!$D$9="Ready",'Inputs'!E14,"n.a.")</x:f>
        <x:v>0</x:v>
      </x:c>
      <x:c r="K965" s="26" t="n">
        <x:f>IF('Inputs'!$D$9="Ready",'Inputs'!F14,"n.a.")</x:f>
        <x:v>0</x:v>
      </x:c>
      <x:c r="L965" s="29" t="n">
        <x:f>IF('Inputs'!$D$9="Ready",'Inputs'!G14,"n.a.")</x:f>
        <x:v>0</x:v>
      </x:c>
      <x:c r="M965" s="22" t="n">
        <x:f>IF(COUNT(I965:L965)=4,ROUND(I965*J965/12,2),"n.a.")</x:f>
        <x:v>0</x:v>
      </x:c>
      <x:c r="N965" s="22" t="n">
        <x:f>IF(COUNT(I965:M965)=5,MIN(I965+M965,ROUND(MAX(K965,I965*L965+M965),2)),"n.a.")</x:f>
        <x:v>0</x:v>
      </x:c>
      <x:c r="O965" s="30" t="n">
        <x:f>IF(COUNT($I$962:$I$966)&lt;&gt;5,"n.a.",IF(I965=0,6,IF('Inputs'!$D$5=1,COUNTIFS($I$962:$I$966,"&gt;0",$I$962:$I$966,"&lt;"&amp;I965)+COUNTIFS($I$962:I965,I965),COUNTIFS($I$962:$I$966,"&gt;0",$J$962:$J$966,"&gt;"&amp;J965)+COUNTIFS($I$962:I965,"&gt;0",$J$962:J965,J965))))</x:f>
        <x:v>6</x:v>
      </x:c>
      <x:c r="P965" s="22" t="n">
        <x:f>IF(T965="Ready",MIN(U965,MAX(0,G965-SUMIFS($U$962:$U$966,$O$962:$O$966,"&lt;"&amp;O965))),"n.a.")</x:f>
        <x:v>0</x:v>
      </x:c>
      <x:c r="Q965" s="22" t="n">
        <x:f>IF(T965="Ready",ROUND(N965+P965,2),"n.a.")</x:f>
        <x:v>0</x:v>
      </x:c>
      <x:c r="R965" s="22" t="n">
        <x:f>IF(T965="Ready",ROUND(Q965-M965,2),"n.a.")</x:f>
        <x:v>0</x:v>
      </x:c>
      <x:c r="S965" s="22" t="n">
        <x:f>IF(T965="Ready",MAX(0,ROUND(I965+M965-Q965,2)),"n.a.")</x:f>
        <x:v>0</x:v>
      </x:c>
      <x:c r="T965" s="22" t="str">
        <x:f>IF(AND(COUNT($I$962:$I$966)=5,COUNT(E965:F965)=2),IF(E965&gt;=F965,"Ready","Budget below minima"),"Check inputs")</x:f>
        <x:v>Ready</x:v>
      </x:c>
      <x:c r="U965" s="22" t="n">
        <x:f>IF(COUNT(I965,M965,N965)=3,MAX(0,ROUND(I965+M965-N965,2)),"n.a.")</x:f>
        <x:v>0</x:v>
      </x:c>
    </x:row>
    <x:row r="966" ht="22" customHeight="1">
      <x:c r="A966" s="2"/>
      <x:c r="B966" s="2"/>
      <x:c r="C966" s="27" t="n">
        <x:f>192</x:f>
        <x:v>192</x:v>
      </x:c>
      <x:c r="D966" s="28" t="n">
        <x:f>IF(ISNUMBER('Inputs'!$D$7),EDATE('Inputs'!$D$7,191),"n.a.")</x:f>
        <x:v>52140</x:v>
      </x:c>
      <x:c r="E966" s="26" t="n">
        <x:f>IF('Inputs'!$D$9&lt;&gt;"Ready","n.a.",IF(ISNUMBER('Inputs'!E210),IF('Inputs'!E210&gt;=0,'Inputs'!E210,"n.a."),IF('Inputs'!E210="",'Inputs'!$D$6,"n.a.")))</x:f>
        <x:v>500</x:v>
      </x:c>
      <x:c r="F966" s="22" t="n">
        <x:f>IF(COUNT($N$962:$N$966)=5,SUM($N$962:$N$966),"n.a.")</x:f>
        <x:v>0</x:v>
      </x:c>
      <x:c r="G966" s="22" t="n">
        <x:f>IF(COUNT(E966:F966)=2,MAX(0,E966-F966),"n.a.")</x:f>
        <x:v>500</x:v>
      </x:c>
      <x:c r="H966" s="26" t="str">
        <x:f>'Inputs'!C15</x:f>
        <x:v>Unused 5</x:v>
      </x:c>
      <x:c r="I966" s="26" t="n">
        <x:f>S961</x:f>
        <x:v>0</x:v>
      </x:c>
      <x:c r="J966" s="29" t="n">
        <x:f>IF('Inputs'!$D$9="Ready",'Inputs'!E15,"n.a.")</x:f>
        <x:v>0</x:v>
      </x:c>
      <x:c r="K966" s="26" t="n">
        <x:f>IF('Inputs'!$D$9="Ready",'Inputs'!F15,"n.a.")</x:f>
        <x:v>0</x:v>
      </x:c>
      <x:c r="L966" s="29" t="n">
        <x:f>IF('Inputs'!$D$9="Ready",'Inputs'!G15,"n.a.")</x:f>
        <x:v>0</x:v>
      </x:c>
      <x:c r="M966" s="22" t="n">
        <x:f>IF(COUNT(I966:L966)=4,ROUND(I966*J966/12,2),"n.a.")</x:f>
        <x:v>0</x:v>
      </x:c>
      <x:c r="N966" s="22" t="n">
        <x:f>IF(COUNT(I966:M966)=5,MIN(I966+M966,ROUND(MAX(K966,I966*L966+M966),2)),"n.a.")</x:f>
        <x:v>0</x:v>
      </x:c>
      <x:c r="O966" s="30" t="n">
        <x:f>IF(COUNT($I$962:$I$966)&lt;&gt;5,"n.a.",IF(I966=0,6,IF('Inputs'!$D$5=1,COUNTIFS($I$962:$I$966,"&gt;0",$I$962:$I$966,"&lt;"&amp;I966)+COUNTIFS($I$962:I966,I966),COUNTIFS($I$962:$I$966,"&gt;0",$J$962:$J$966,"&gt;"&amp;J966)+COUNTIFS($I$962:I966,"&gt;0",$J$962:J966,J966))))</x:f>
        <x:v>6</x:v>
      </x:c>
      <x:c r="P966" s="22" t="n">
        <x:f>IF(T966="Ready",MIN(U966,MAX(0,G966-SUMIFS($U$962:$U$966,$O$962:$O$966,"&lt;"&amp;O966))),"n.a.")</x:f>
        <x:v>0</x:v>
      </x:c>
      <x:c r="Q966" s="22" t="n">
        <x:f>IF(T966="Ready",ROUND(N966+P966,2),"n.a.")</x:f>
        <x:v>0</x:v>
      </x:c>
      <x:c r="R966" s="22" t="n">
        <x:f>IF(T966="Ready",ROUND(Q966-M966,2),"n.a.")</x:f>
        <x:v>0</x:v>
      </x:c>
      <x:c r="S966" s="22" t="n">
        <x:f>IF(T966="Ready",MAX(0,ROUND(I966+M966-Q966,2)),"n.a.")</x:f>
        <x:v>0</x:v>
      </x:c>
      <x:c r="T966" s="22" t="str">
        <x:f>IF(AND(COUNT($I$962:$I$966)=5,COUNT(E966:F966)=2),IF(E966&gt;=F966,"Ready","Budget below minima"),"Check inputs")</x:f>
        <x:v>Ready</x:v>
      </x:c>
      <x:c r="U966" s="22" t="n">
        <x:f>IF(COUNT(I966,M966,N966)=3,MAX(0,ROUND(I966+M966-N966,2)),"n.a.")</x:f>
        <x:v>0</x:v>
      </x:c>
    </x:row>
    <x:row r="967" ht="22" customHeight="1">
      <x:c r="A967" s="2"/>
      <x:c r="B967" s="2"/>
      <x:c r="C967" s="27" t="n">
        <x:f>193</x:f>
        <x:v>193</x:v>
      </x:c>
      <x:c r="D967" s="28" t="n">
        <x:f>IF(ISNUMBER('Inputs'!$D$7),EDATE('Inputs'!$D$7,192),"n.a.")</x:f>
        <x:v>52171</x:v>
      </x:c>
      <x:c r="E967" s="26" t="n">
        <x:f>IF('Inputs'!$D$9&lt;&gt;"Ready","n.a.",IF(ISNUMBER('Inputs'!E211),IF('Inputs'!E211&gt;=0,'Inputs'!E211,"n.a."),IF('Inputs'!E211="",'Inputs'!$D$6,"n.a.")))</x:f>
        <x:v>500</x:v>
      </x:c>
      <x:c r="F967" s="22" t="n">
        <x:f>IF(COUNT($N$967:$N$971)=5,SUM($N$967:$N$971),"n.a.")</x:f>
        <x:v>0</x:v>
      </x:c>
      <x:c r="G967" s="22" t="n">
        <x:f>IF(COUNT(E967:F967)=2,MAX(0,E967-F967),"n.a.")</x:f>
        <x:v>500</x:v>
      </x:c>
      <x:c r="H967" s="26" t="str">
        <x:f>'Inputs'!C11</x:f>
        <x:v>Card A</x:v>
      </x:c>
      <x:c r="I967" s="26" t="n">
        <x:f>S962</x:f>
        <x:v>0</x:v>
      </x:c>
      <x:c r="J967" s="29" t="n">
        <x:f>IF('Inputs'!$D$9="Ready",'Inputs'!E11,"n.a.")</x:f>
        <x:v>0.24</x:v>
      </x:c>
      <x:c r="K967" s="26" t="n">
        <x:f>IF('Inputs'!$D$9="Ready",'Inputs'!F11,"n.a.")</x:f>
        <x:v>35</x:v>
      </x:c>
      <x:c r="L967" s="29" t="n">
        <x:f>IF('Inputs'!$D$9="Ready",'Inputs'!G11,"n.a.")</x:f>
        <x:v>0.02</x:v>
      </x:c>
      <x:c r="M967" s="22" t="n">
        <x:f>IF(COUNT(I967:L967)=4,ROUND(I967*J967/12,2),"n.a.")</x:f>
        <x:v>0</x:v>
      </x:c>
      <x:c r="N967" s="22" t="n">
        <x:f>IF(COUNT(I967:M967)=5,MIN(I967+M967,ROUND(MAX(K967,I967*L967+M967),2)),"n.a.")</x:f>
        <x:v>0</x:v>
      </x:c>
      <x:c r="O967" s="30" t="n">
        <x:f>IF(COUNT($I$967:$I$971)&lt;&gt;5,"n.a.",IF(I967=0,6,IF('Inputs'!$D$5=1,COUNTIFS($I$967:$I$971,"&gt;0",$I$967:$I$971,"&lt;"&amp;I967)+COUNTIFS($I$967:I967,I967),COUNTIFS($I$967:$I$971,"&gt;0",$J$967:$J$971,"&gt;"&amp;J967)+COUNTIFS($I$967:I967,"&gt;0",$J$967:J967,J967))))</x:f>
        <x:v>6</x:v>
      </x:c>
      <x:c r="P967" s="22" t="n">
        <x:f>IF(T967="Ready",MIN(U967,MAX(0,G967-SUMIFS($U$967:$U$971,$O$967:$O$971,"&lt;"&amp;O967))),"n.a.")</x:f>
        <x:v>0</x:v>
      </x:c>
      <x:c r="Q967" s="22" t="n">
        <x:f>IF(T967="Ready",ROUND(N967+P967,2),"n.a.")</x:f>
        <x:v>0</x:v>
      </x:c>
      <x:c r="R967" s="22" t="n">
        <x:f>IF(T967="Ready",ROUND(Q967-M967,2),"n.a.")</x:f>
        <x:v>0</x:v>
      </x:c>
      <x:c r="S967" s="22" t="n">
        <x:f>IF(T967="Ready",MAX(0,ROUND(I967+M967-Q967,2)),"n.a.")</x:f>
        <x:v>0</x:v>
      </x:c>
      <x:c r="T967" s="22" t="str">
        <x:f>IF(AND(COUNT($I$967:$I$971)=5,COUNT(E967:F967)=2),IF(E967&gt;=F967,"Ready","Budget below minima"),"Check inputs")</x:f>
        <x:v>Ready</x:v>
      </x:c>
      <x:c r="U967" s="22" t="n">
        <x:f>IF(COUNT(I967,M967,N967)=3,MAX(0,ROUND(I967+M967-N967,2)),"n.a.")</x:f>
        <x:v>0</x:v>
      </x:c>
    </x:row>
    <x:row r="968" ht="22" customHeight="1">
      <x:c r="A968" s="2"/>
      <x:c r="B968" s="2"/>
      <x:c r="C968" s="27" t="n">
        <x:f>193</x:f>
        <x:v>193</x:v>
      </x:c>
      <x:c r="D968" s="28" t="n">
        <x:f>IF(ISNUMBER('Inputs'!$D$7),EDATE('Inputs'!$D$7,192),"n.a.")</x:f>
        <x:v>52171</x:v>
      </x:c>
      <x:c r="E968" s="26" t="n">
        <x:f>IF('Inputs'!$D$9&lt;&gt;"Ready","n.a.",IF(ISNUMBER('Inputs'!E211),IF('Inputs'!E211&gt;=0,'Inputs'!E211,"n.a."),IF('Inputs'!E211="",'Inputs'!$D$6,"n.a.")))</x:f>
        <x:v>500</x:v>
      </x:c>
      <x:c r="F968" s="22" t="n">
        <x:f>IF(COUNT($N$967:$N$971)=5,SUM($N$967:$N$971),"n.a.")</x:f>
        <x:v>0</x:v>
      </x:c>
      <x:c r="G968" s="22" t="n">
        <x:f>IF(COUNT(E968:F968)=2,MAX(0,E968-F968),"n.a.")</x:f>
        <x:v>500</x:v>
      </x:c>
      <x:c r="H968" s="26" t="str">
        <x:f>'Inputs'!C12</x:f>
        <x:v>Card B</x:v>
      </x:c>
      <x:c r="I968" s="26" t="n">
        <x:f>S963</x:f>
        <x:v>0</x:v>
      </x:c>
      <x:c r="J968" s="29" t="n">
        <x:f>IF('Inputs'!$D$9="Ready",'Inputs'!E12,"n.a.")</x:f>
        <x:v>0.18</x:v>
      </x:c>
      <x:c r="K968" s="26" t="n">
        <x:f>IF('Inputs'!$D$9="Ready",'Inputs'!F12,"n.a.")</x:f>
        <x:v>60</x:v>
      </x:c>
      <x:c r="L968" s="29" t="n">
        <x:f>IF('Inputs'!$D$9="Ready",'Inputs'!G12,"n.a.")</x:f>
        <x:v>0.02</x:v>
      </x:c>
      <x:c r="M968" s="22" t="n">
        <x:f>IF(COUNT(I968:L968)=4,ROUND(I968*J968/12,2),"n.a.")</x:f>
        <x:v>0</x:v>
      </x:c>
      <x:c r="N968" s="22" t="n">
        <x:f>IF(COUNT(I968:M968)=5,MIN(I968+M968,ROUND(MAX(K968,I968*L968+M968),2)),"n.a.")</x:f>
        <x:v>0</x:v>
      </x:c>
      <x:c r="O968" s="30" t="n">
        <x:f>IF(COUNT($I$967:$I$971)&lt;&gt;5,"n.a.",IF(I968=0,6,IF('Inputs'!$D$5=1,COUNTIFS($I$967:$I$971,"&gt;0",$I$967:$I$971,"&lt;"&amp;I968)+COUNTIFS($I$967:I968,I968),COUNTIFS($I$967:$I$971,"&gt;0",$J$967:$J$971,"&gt;"&amp;J968)+COUNTIFS($I$967:I968,"&gt;0",$J$967:J968,J968))))</x:f>
        <x:v>6</x:v>
      </x:c>
      <x:c r="P968" s="22" t="n">
        <x:f>IF(T968="Ready",MIN(U968,MAX(0,G968-SUMIFS($U$967:$U$971,$O$967:$O$971,"&lt;"&amp;O968))),"n.a.")</x:f>
        <x:v>0</x:v>
      </x:c>
      <x:c r="Q968" s="22" t="n">
        <x:f>IF(T968="Ready",ROUND(N968+P968,2),"n.a.")</x:f>
        <x:v>0</x:v>
      </x:c>
      <x:c r="R968" s="22" t="n">
        <x:f>IF(T968="Ready",ROUND(Q968-M968,2),"n.a.")</x:f>
        <x:v>0</x:v>
      </x:c>
      <x:c r="S968" s="22" t="n">
        <x:f>IF(T968="Ready",MAX(0,ROUND(I968+M968-Q968,2)),"n.a.")</x:f>
        <x:v>0</x:v>
      </x:c>
      <x:c r="T968" s="22" t="str">
        <x:f>IF(AND(COUNT($I$967:$I$971)=5,COUNT(E968:F968)=2),IF(E968&gt;=F968,"Ready","Budget below minima"),"Check inputs")</x:f>
        <x:v>Ready</x:v>
      </x:c>
      <x:c r="U968" s="22" t="n">
        <x:f>IF(COUNT(I968,M968,N968)=3,MAX(0,ROUND(I968+M968-N968,2)),"n.a.")</x:f>
        <x:v>0</x:v>
      </x:c>
    </x:row>
    <x:row r="969" ht="22" customHeight="1">
      <x:c r="A969" s="2"/>
      <x:c r="B969" s="2"/>
      <x:c r="C969" s="27" t="n">
        <x:f>193</x:f>
        <x:v>193</x:v>
      </x:c>
      <x:c r="D969" s="28" t="n">
        <x:f>IF(ISNUMBER('Inputs'!$D$7),EDATE('Inputs'!$D$7,192),"n.a.")</x:f>
        <x:v>52171</x:v>
      </x:c>
      <x:c r="E969" s="26" t="n">
        <x:f>IF('Inputs'!$D$9&lt;&gt;"Ready","n.a.",IF(ISNUMBER('Inputs'!E211),IF('Inputs'!E211&gt;=0,'Inputs'!E211,"n.a."),IF('Inputs'!E211="",'Inputs'!$D$6,"n.a.")))</x:f>
        <x:v>500</x:v>
      </x:c>
      <x:c r="F969" s="22" t="n">
        <x:f>IF(COUNT($N$967:$N$971)=5,SUM($N$967:$N$971),"n.a.")</x:f>
        <x:v>0</x:v>
      </x:c>
      <x:c r="G969" s="22" t="n">
        <x:f>IF(COUNT(E969:F969)=2,MAX(0,E969-F969),"n.a.")</x:f>
        <x:v>500</x:v>
      </x:c>
      <x:c r="H969" s="26" t="str">
        <x:f>'Inputs'!C13</x:f>
        <x:v>Loan C</x:v>
      </x:c>
      <x:c r="I969" s="26" t="n">
        <x:f>S964</x:f>
        <x:v>0</x:v>
      </x:c>
      <x:c r="J969" s="29" t="n">
        <x:f>IF('Inputs'!$D$9="Ready",'Inputs'!E13,"n.a.")</x:f>
        <x:v>0.08</x:v>
      </x:c>
      <x:c r="K969" s="26" t="n">
        <x:f>IF('Inputs'!$D$9="Ready",'Inputs'!F13,"n.a.")</x:f>
        <x:v>150</x:v>
      </x:c>
      <x:c r="L969" s="29" t="n">
        <x:f>IF('Inputs'!$D$9="Ready",'Inputs'!G13,"n.a.")</x:f>
        <x:v>0</x:v>
      </x:c>
      <x:c r="M969" s="22" t="n">
        <x:f>IF(COUNT(I969:L969)=4,ROUND(I969*J969/12,2),"n.a.")</x:f>
        <x:v>0</x:v>
      </x:c>
      <x:c r="N969" s="22" t="n">
        <x:f>IF(COUNT(I969:M969)=5,MIN(I969+M969,ROUND(MAX(K969,I969*L969+M969),2)),"n.a.")</x:f>
        <x:v>0</x:v>
      </x:c>
      <x:c r="O969" s="30" t="n">
        <x:f>IF(COUNT($I$967:$I$971)&lt;&gt;5,"n.a.",IF(I969=0,6,IF('Inputs'!$D$5=1,COUNTIFS($I$967:$I$971,"&gt;0",$I$967:$I$971,"&lt;"&amp;I969)+COUNTIFS($I$967:I969,I969),COUNTIFS($I$967:$I$971,"&gt;0",$J$967:$J$971,"&gt;"&amp;J969)+COUNTIFS($I$967:I969,"&gt;0",$J$967:J969,J969))))</x:f>
        <x:v>6</x:v>
      </x:c>
      <x:c r="P969" s="22" t="n">
        <x:f>IF(T969="Ready",MIN(U969,MAX(0,G969-SUMIFS($U$967:$U$971,$O$967:$O$971,"&lt;"&amp;O969))),"n.a.")</x:f>
        <x:v>0</x:v>
      </x:c>
      <x:c r="Q969" s="22" t="n">
        <x:f>IF(T969="Ready",ROUND(N969+P969,2),"n.a.")</x:f>
        <x:v>0</x:v>
      </x:c>
      <x:c r="R969" s="22" t="n">
        <x:f>IF(T969="Ready",ROUND(Q969-M969,2),"n.a.")</x:f>
        <x:v>0</x:v>
      </x:c>
      <x:c r="S969" s="22" t="n">
        <x:f>IF(T969="Ready",MAX(0,ROUND(I969+M969-Q969,2)),"n.a.")</x:f>
        <x:v>0</x:v>
      </x:c>
      <x:c r="T969" s="22" t="str">
        <x:f>IF(AND(COUNT($I$967:$I$971)=5,COUNT(E969:F969)=2),IF(E969&gt;=F969,"Ready","Budget below minima"),"Check inputs")</x:f>
        <x:v>Ready</x:v>
      </x:c>
      <x:c r="U969" s="22" t="n">
        <x:f>IF(COUNT(I969,M969,N969)=3,MAX(0,ROUND(I969+M969-N969,2)),"n.a.")</x:f>
        <x:v>0</x:v>
      </x:c>
    </x:row>
    <x:row r="970" ht="22" customHeight="1">
      <x:c r="A970" s="2"/>
      <x:c r="B970" s="2"/>
      <x:c r="C970" s="27" t="n">
        <x:f>193</x:f>
        <x:v>193</x:v>
      </x:c>
      <x:c r="D970" s="28" t="n">
        <x:f>IF(ISNUMBER('Inputs'!$D$7),EDATE('Inputs'!$D$7,192),"n.a.")</x:f>
        <x:v>52171</x:v>
      </x:c>
      <x:c r="E970" s="26" t="n">
        <x:f>IF('Inputs'!$D$9&lt;&gt;"Ready","n.a.",IF(ISNUMBER('Inputs'!E211),IF('Inputs'!E211&gt;=0,'Inputs'!E211,"n.a."),IF('Inputs'!E211="",'Inputs'!$D$6,"n.a.")))</x:f>
        <x:v>500</x:v>
      </x:c>
      <x:c r="F970" s="22" t="n">
        <x:f>IF(COUNT($N$967:$N$971)=5,SUM($N$967:$N$971),"n.a.")</x:f>
        <x:v>0</x:v>
      </x:c>
      <x:c r="G970" s="22" t="n">
        <x:f>IF(COUNT(E970:F970)=2,MAX(0,E970-F970),"n.a.")</x:f>
        <x:v>500</x:v>
      </x:c>
      <x:c r="H970" s="26" t="str">
        <x:f>'Inputs'!C14</x:f>
        <x:v>Unused 4</x:v>
      </x:c>
      <x:c r="I970" s="26" t="n">
        <x:f>S965</x:f>
        <x:v>0</x:v>
      </x:c>
      <x:c r="J970" s="29" t="n">
        <x:f>IF('Inputs'!$D$9="Ready",'Inputs'!E14,"n.a.")</x:f>
        <x:v>0</x:v>
      </x:c>
      <x:c r="K970" s="26" t="n">
        <x:f>IF('Inputs'!$D$9="Ready",'Inputs'!F14,"n.a.")</x:f>
        <x:v>0</x:v>
      </x:c>
      <x:c r="L970" s="29" t="n">
        <x:f>IF('Inputs'!$D$9="Ready",'Inputs'!G14,"n.a.")</x:f>
        <x:v>0</x:v>
      </x:c>
      <x:c r="M970" s="22" t="n">
        <x:f>IF(COUNT(I970:L970)=4,ROUND(I970*J970/12,2),"n.a.")</x:f>
        <x:v>0</x:v>
      </x:c>
      <x:c r="N970" s="22" t="n">
        <x:f>IF(COUNT(I970:M970)=5,MIN(I970+M970,ROUND(MAX(K970,I970*L970+M970),2)),"n.a.")</x:f>
        <x:v>0</x:v>
      </x:c>
      <x:c r="O970" s="30" t="n">
        <x:f>IF(COUNT($I$967:$I$971)&lt;&gt;5,"n.a.",IF(I970=0,6,IF('Inputs'!$D$5=1,COUNTIFS($I$967:$I$971,"&gt;0",$I$967:$I$971,"&lt;"&amp;I970)+COUNTIFS($I$967:I970,I970),COUNTIFS($I$967:$I$971,"&gt;0",$J$967:$J$971,"&gt;"&amp;J970)+COUNTIFS($I$967:I970,"&gt;0",$J$967:J970,J970))))</x:f>
        <x:v>6</x:v>
      </x:c>
      <x:c r="P970" s="22" t="n">
        <x:f>IF(T970="Ready",MIN(U970,MAX(0,G970-SUMIFS($U$967:$U$971,$O$967:$O$971,"&lt;"&amp;O970))),"n.a.")</x:f>
        <x:v>0</x:v>
      </x:c>
      <x:c r="Q970" s="22" t="n">
        <x:f>IF(T970="Ready",ROUND(N970+P970,2),"n.a.")</x:f>
        <x:v>0</x:v>
      </x:c>
      <x:c r="R970" s="22" t="n">
        <x:f>IF(T970="Ready",ROUND(Q970-M970,2),"n.a.")</x:f>
        <x:v>0</x:v>
      </x:c>
      <x:c r="S970" s="22" t="n">
        <x:f>IF(T970="Ready",MAX(0,ROUND(I970+M970-Q970,2)),"n.a.")</x:f>
        <x:v>0</x:v>
      </x:c>
      <x:c r="T970" s="22" t="str">
        <x:f>IF(AND(COUNT($I$967:$I$971)=5,COUNT(E970:F970)=2),IF(E970&gt;=F970,"Ready","Budget below minima"),"Check inputs")</x:f>
        <x:v>Ready</x:v>
      </x:c>
      <x:c r="U970" s="22" t="n">
        <x:f>IF(COUNT(I970,M970,N970)=3,MAX(0,ROUND(I970+M970-N970,2)),"n.a.")</x:f>
        <x:v>0</x:v>
      </x:c>
    </x:row>
    <x:row r="971" ht="22" customHeight="1">
      <x:c r="A971" s="2"/>
      <x:c r="B971" s="2"/>
      <x:c r="C971" s="27" t="n">
        <x:f>193</x:f>
        <x:v>193</x:v>
      </x:c>
      <x:c r="D971" s="28" t="n">
        <x:f>IF(ISNUMBER('Inputs'!$D$7),EDATE('Inputs'!$D$7,192),"n.a.")</x:f>
        <x:v>52171</x:v>
      </x:c>
      <x:c r="E971" s="26" t="n">
        <x:f>IF('Inputs'!$D$9&lt;&gt;"Ready","n.a.",IF(ISNUMBER('Inputs'!E211),IF('Inputs'!E211&gt;=0,'Inputs'!E211,"n.a."),IF('Inputs'!E211="",'Inputs'!$D$6,"n.a.")))</x:f>
        <x:v>500</x:v>
      </x:c>
      <x:c r="F971" s="22" t="n">
        <x:f>IF(COUNT($N$967:$N$971)=5,SUM($N$967:$N$971),"n.a.")</x:f>
        <x:v>0</x:v>
      </x:c>
      <x:c r="G971" s="22" t="n">
        <x:f>IF(COUNT(E971:F971)=2,MAX(0,E971-F971),"n.a.")</x:f>
        <x:v>500</x:v>
      </x:c>
      <x:c r="H971" s="26" t="str">
        <x:f>'Inputs'!C15</x:f>
        <x:v>Unused 5</x:v>
      </x:c>
      <x:c r="I971" s="26" t="n">
        <x:f>S966</x:f>
        <x:v>0</x:v>
      </x:c>
      <x:c r="J971" s="29" t="n">
        <x:f>IF('Inputs'!$D$9="Ready",'Inputs'!E15,"n.a.")</x:f>
        <x:v>0</x:v>
      </x:c>
      <x:c r="K971" s="26" t="n">
        <x:f>IF('Inputs'!$D$9="Ready",'Inputs'!F15,"n.a.")</x:f>
        <x:v>0</x:v>
      </x:c>
      <x:c r="L971" s="29" t="n">
        <x:f>IF('Inputs'!$D$9="Ready",'Inputs'!G15,"n.a.")</x:f>
        <x:v>0</x:v>
      </x:c>
      <x:c r="M971" s="22" t="n">
        <x:f>IF(COUNT(I971:L971)=4,ROUND(I971*J971/12,2),"n.a.")</x:f>
        <x:v>0</x:v>
      </x:c>
      <x:c r="N971" s="22" t="n">
        <x:f>IF(COUNT(I971:M971)=5,MIN(I971+M971,ROUND(MAX(K971,I971*L971+M971),2)),"n.a.")</x:f>
        <x:v>0</x:v>
      </x:c>
      <x:c r="O971" s="30" t="n">
        <x:f>IF(COUNT($I$967:$I$971)&lt;&gt;5,"n.a.",IF(I971=0,6,IF('Inputs'!$D$5=1,COUNTIFS($I$967:$I$971,"&gt;0",$I$967:$I$971,"&lt;"&amp;I971)+COUNTIFS($I$967:I971,I971),COUNTIFS($I$967:$I$971,"&gt;0",$J$967:$J$971,"&gt;"&amp;J971)+COUNTIFS($I$967:I971,"&gt;0",$J$967:J971,J971))))</x:f>
        <x:v>6</x:v>
      </x:c>
      <x:c r="P971" s="22" t="n">
        <x:f>IF(T971="Ready",MIN(U971,MAX(0,G971-SUMIFS($U$967:$U$971,$O$967:$O$971,"&lt;"&amp;O971))),"n.a.")</x:f>
        <x:v>0</x:v>
      </x:c>
      <x:c r="Q971" s="22" t="n">
        <x:f>IF(T971="Ready",ROUND(N971+P971,2),"n.a.")</x:f>
        <x:v>0</x:v>
      </x:c>
      <x:c r="R971" s="22" t="n">
        <x:f>IF(T971="Ready",ROUND(Q971-M971,2),"n.a.")</x:f>
        <x:v>0</x:v>
      </x:c>
      <x:c r="S971" s="22" t="n">
        <x:f>IF(T971="Ready",MAX(0,ROUND(I971+M971-Q971,2)),"n.a.")</x:f>
        <x:v>0</x:v>
      </x:c>
      <x:c r="T971" s="22" t="str">
        <x:f>IF(AND(COUNT($I$967:$I$971)=5,COUNT(E971:F971)=2),IF(E971&gt;=F971,"Ready","Budget below minima"),"Check inputs")</x:f>
        <x:v>Ready</x:v>
      </x:c>
      <x:c r="U971" s="22" t="n">
        <x:f>IF(COUNT(I971,M971,N971)=3,MAX(0,ROUND(I971+M971-N971,2)),"n.a.")</x:f>
        <x:v>0</x:v>
      </x:c>
    </x:row>
    <x:row r="972" ht="22" customHeight="1">
      <x:c r="A972" s="2"/>
      <x:c r="B972" s="2"/>
      <x:c r="C972" s="27" t="n">
        <x:f>194</x:f>
        <x:v>194</x:v>
      </x:c>
      <x:c r="D972" s="28" t="n">
        <x:f>IF(ISNUMBER('Inputs'!$D$7),EDATE('Inputs'!$D$7,193),"n.a.")</x:f>
        <x:v>52201</x:v>
      </x:c>
      <x:c r="E972" s="26" t="n">
        <x:f>IF('Inputs'!$D$9&lt;&gt;"Ready","n.a.",IF(ISNUMBER('Inputs'!E212),IF('Inputs'!E212&gt;=0,'Inputs'!E212,"n.a."),IF('Inputs'!E212="",'Inputs'!$D$6,"n.a.")))</x:f>
        <x:v>500</x:v>
      </x:c>
      <x:c r="F972" s="22" t="n">
        <x:f>IF(COUNT($N$972:$N$976)=5,SUM($N$972:$N$976),"n.a.")</x:f>
        <x:v>0</x:v>
      </x:c>
      <x:c r="G972" s="22" t="n">
        <x:f>IF(COUNT(E972:F972)=2,MAX(0,E972-F972),"n.a.")</x:f>
        <x:v>500</x:v>
      </x:c>
      <x:c r="H972" s="26" t="str">
        <x:f>'Inputs'!C11</x:f>
        <x:v>Card A</x:v>
      </x:c>
      <x:c r="I972" s="26" t="n">
        <x:f>S967</x:f>
        <x:v>0</x:v>
      </x:c>
      <x:c r="J972" s="29" t="n">
        <x:f>IF('Inputs'!$D$9="Ready",'Inputs'!E11,"n.a.")</x:f>
        <x:v>0.24</x:v>
      </x:c>
      <x:c r="K972" s="26" t="n">
        <x:f>IF('Inputs'!$D$9="Ready",'Inputs'!F11,"n.a.")</x:f>
        <x:v>35</x:v>
      </x:c>
      <x:c r="L972" s="29" t="n">
        <x:f>IF('Inputs'!$D$9="Ready",'Inputs'!G11,"n.a.")</x:f>
        <x:v>0.02</x:v>
      </x:c>
      <x:c r="M972" s="22" t="n">
        <x:f>IF(COUNT(I972:L972)=4,ROUND(I972*J972/12,2),"n.a.")</x:f>
        <x:v>0</x:v>
      </x:c>
      <x:c r="N972" s="22" t="n">
        <x:f>IF(COUNT(I972:M972)=5,MIN(I972+M972,ROUND(MAX(K972,I972*L972+M972),2)),"n.a.")</x:f>
        <x:v>0</x:v>
      </x:c>
      <x:c r="O972" s="30" t="n">
        <x:f>IF(COUNT($I$972:$I$976)&lt;&gt;5,"n.a.",IF(I972=0,6,IF('Inputs'!$D$5=1,COUNTIFS($I$972:$I$976,"&gt;0",$I$972:$I$976,"&lt;"&amp;I972)+COUNTIFS($I$972:I972,I972),COUNTIFS($I$972:$I$976,"&gt;0",$J$972:$J$976,"&gt;"&amp;J972)+COUNTIFS($I$972:I972,"&gt;0",$J$972:J972,J972))))</x:f>
        <x:v>6</x:v>
      </x:c>
      <x:c r="P972" s="22" t="n">
        <x:f>IF(T972="Ready",MIN(U972,MAX(0,G972-SUMIFS($U$972:$U$976,$O$972:$O$976,"&lt;"&amp;O972))),"n.a.")</x:f>
        <x:v>0</x:v>
      </x:c>
      <x:c r="Q972" s="22" t="n">
        <x:f>IF(T972="Ready",ROUND(N972+P972,2),"n.a.")</x:f>
        <x:v>0</x:v>
      </x:c>
      <x:c r="R972" s="22" t="n">
        <x:f>IF(T972="Ready",ROUND(Q972-M972,2),"n.a.")</x:f>
        <x:v>0</x:v>
      </x:c>
      <x:c r="S972" s="22" t="n">
        <x:f>IF(T972="Ready",MAX(0,ROUND(I972+M972-Q972,2)),"n.a.")</x:f>
        <x:v>0</x:v>
      </x:c>
      <x:c r="T972" s="22" t="str">
        <x:f>IF(AND(COUNT($I$972:$I$976)=5,COUNT(E972:F972)=2),IF(E972&gt;=F972,"Ready","Budget below minima"),"Check inputs")</x:f>
        <x:v>Ready</x:v>
      </x:c>
      <x:c r="U972" s="22" t="n">
        <x:f>IF(COUNT(I972,M972,N972)=3,MAX(0,ROUND(I972+M972-N972,2)),"n.a.")</x:f>
        <x:v>0</x:v>
      </x:c>
    </x:row>
    <x:row r="973" ht="22" customHeight="1">
      <x:c r="A973" s="2"/>
      <x:c r="B973" s="2"/>
      <x:c r="C973" s="27" t="n">
        <x:f>194</x:f>
        <x:v>194</x:v>
      </x:c>
      <x:c r="D973" s="28" t="n">
        <x:f>IF(ISNUMBER('Inputs'!$D$7),EDATE('Inputs'!$D$7,193),"n.a.")</x:f>
        <x:v>52201</x:v>
      </x:c>
      <x:c r="E973" s="26" t="n">
        <x:f>IF('Inputs'!$D$9&lt;&gt;"Ready","n.a.",IF(ISNUMBER('Inputs'!E212),IF('Inputs'!E212&gt;=0,'Inputs'!E212,"n.a."),IF('Inputs'!E212="",'Inputs'!$D$6,"n.a.")))</x:f>
        <x:v>500</x:v>
      </x:c>
      <x:c r="F973" s="22" t="n">
        <x:f>IF(COUNT($N$972:$N$976)=5,SUM($N$972:$N$976),"n.a.")</x:f>
        <x:v>0</x:v>
      </x:c>
      <x:c r="G973" s="22" t="n">
        <x:f>IF(COUNT(E973:F973)=2,MAX(0,E973-F973),"n.a.")</x:f>
        <x:v>500</x:v>
      </x:c>
      <x:c r="H973" s="26" t="str">
        <x:f>'Inputs'!C12</x:f>
        <x:v>Card B</x:v>
      </x:c>
      <x:c r="I973" s="26" t="n">
        <x:f>S968</x:f>
        <x:v>0</x:v>
      </x:c>
      <x:c r="J973" s="29" t="n">
        <x:f>IF('Inputs'!$D$9="Ready",'Inputs'!E12,"n.a.")</x:f>
        <x:v>0.18</x:v>
      </x:c>
      <x:c r="K973" s="26" t="n">
        <x:f>IF('Inputs'!$D$9="Ready",'Inputs'!F12,"n.a.")</x:f>
        <x:v>60</x:v>
      </x:c>
      <x:c r="L973" s="29" t="n">
        <x:f>IF('Inputs'!$D$9="Ready",'Inputs'!G12,"n.a.")</x:f>
        <x:v>0.02</x:v>
      </x:c>
      <x:c r="M973" s="22" t="n">
        <x:f>IF(COUNT(I973:L973)=4,ROUND(I973*J973/12,2),"n.a.")</x:f>
        <x:v>0</x:v>
      </x:c>
      <x:c r="N973" s="22" t="n">
        <x:f>IF(COUNT(I973:M973)=5,MIN(I973+M973,ROUND(MAX(K973,I973*L973+M973),2)),"n.a.")</x:f>
        <x:v>0</x:v>
      </x:c>
      <x:c r="O973" s="30" t="n">
        <x:f>IF(COUNT($I$972:$I$976)&lt;&gt;5,"n.a.",IF(I973=0,6,IF('Inputs'!$D$5=1,COUNTIFS($I$972:$I$976,"&gt;0",$I$972:$I$976,"&lt;"&amp;I973)+COUNTIFS($I$972:I973,I973),COUNTIFS($I$972:$I$976,"&gt;0",$J$972:$J$976,"&gt;"&amp;J973)+COUNTIFS($I$972:I973,"&gt;0",$J$972:J973,J973))))</x:f>
        <x:v>6</x:v>
      </x:c>
      <x:c r="P973" s="22" t="n">
        <x:f>IF(T973="Ready",MIN(U973,MAX(0,G973-SUMIFS($U$972:$U$976,$O$972:$O$976,"&lt;"&amp;O973))),"n.a.")</x:f>
        <x:v>0</x:v>
      </x:c>
      <x:c r="Q973" s="22" t="n">
        <x:f>IF(T973="Ready",ROUND(N973+P973,2),"n.a.")</x:f>
        <x:v>0</x:v>
      </x:c>
      <x:c r="R973" s="22" t="n">
        <x:f>IF(T973="Ready",ROUND(Q973-M973,2),"n.a.")</x:f>
        <x:v>0</x:v>
      </x:c>
      <x:c r="S973" s="22" t="n">
        <x:f>IF(T973="Ready",MAX(0,ROUND(I973+M973-Q973,2)),"n.a.")</x:f>
        <x:v>0</x:v>
      </x:c>
      <x:c r="T973" s="22" t="str">
        <x:f>IF(AND(COUNT($I$972:$I$976)=5,COUNT(E973:F973)=2),IF(E973&gt;=F973,"Ready","Budget below minima"),"Check inputs")</x:f>
        <x:v>Ready</x:v>
      </x:c>
      <x:c r="U973" s="22" t="n">
        <x:f>IF(COUNT(I973,M973,N973)=3,MAX(0,ROUND(I973+M973-N973,2)),"n.a.")</x:f>
        <x:v>0</x:v>
      </x:c>
    </x:row>
    <x:row r="974" ht="22" customHeight="1">
      <x:c r="A974" s="2"/>
      <x:c r="B974" s="2"/>
      <x:c r="C974" s="27" t="n">
        <x:f>194</x:f>
        <x:v>194</x:v>
      </x:c>
      <x:c r="D974" s="28" t="n">
        <x:f>IF(ISNUMBER('Inputs'!$D$7),EDATE('Inputs'!$D$7,193),"n.a.")</x:f>
        <x:v>52201</x:v>
      </x:c>
      <x:c r="E974" s="26" t="n">
        <x:f>IF('Inputs'!$D$9&lt;&gt;"Ready","n.a.",IF(ISNUMBER('Inputs'!E212),IF('Inputs'!E212&gt;=0,'Inputs'!E212,"n.a."),IF('Inputs'!E212="",'Inputs'!$D$6,"n.a.")))</x:f>
        <x:v>500</x:v>
      </x:c>
      <x:c r="F974" s="22" t="n">
        <x:f>IF(COUNT($N$972:$N$976)=5,SUM($N$972:$N$976),"n.a.")</x:f>
        <x:v>0</x:v>
      </x:c>
      <x:c r="G974" s="22" t="n">
        <x:f>IF(COUNT(E974:F974)=2,MAX(0,E974-F974),"n.a.")</x:f>
        <x:v>500</x:v>
      </x:c>
      <x:c r="H974" s="26" t="str">
        <x:f>'Inputs'!C13</x:f>
        <x:v>Loan C</x:v>
      </x:c>
      <x:c r="I974" s="26" t="n">
        <x:f>S969</x:f>
        <x:v>0</x:v>
      </x:c>
      <x:c r="J974" s="29" t="n">
        <x:f>IF('Inputs'!$D$9="Ready",'Inputs'!E13,"n.a.")</x:f>
        <x:v>0.08</x:v>
      </x:c>
      <x:c r="K974" s="26" t="n">
        <x:f>IF('Inputs'!$D$9="Ready",'Inputs'!F13,"n.a.")</x:f>
        <x:v>150</x:v>
      </x:c>
      <x:c r="L974" s="29" t="n">
        <x:f>IF('Inputs'!$D$9="Ready",'Inputs'!G13,"n.a.")</x:f>
        <x:v>0</x:v>
      </x:c>
      <x:c r="M974" s="22" t="n">
        <x:f>IF(COUNT(I974:L974)=4,ROUND(I974*J974/12,2),"n.a.")</x:f>
        <x:v>0</x:v>
      </x:c>
      <x:c r="N974" s="22" t="n">
        <x:f>IF(COUNT(I974:M974)=5,MIN(I974+M974,ROUND(MAX(K974,I974*L974+M974),2)),"n.a.")</x:f>
        <x:v>0</x:v>
      </x:c>
      <x:c r="O974" s="30" t="n">
        <x:f>IF(COUNT($I$972:$I$976)&lt;&gt;5,"n.a.",IF(I974=0,6,IF('Inputs'!$D$5=1,COUNTIFS($I$972:$I$976,"&gt;0",$I$972:$I$976,"&lt;"&amp;I974)+COUNTIFS($I$972:I974,I974),COUNTIFS($I$972:$I$976,"&gt;0",$J$972:$J$976,"&gt;"&amp;J974)+COUNTIFS($I$972:I974,"&gt;0",$J$972:J974,J974))))</x:f>
        <x:v>6</x:v>
      </x:c>
      <x:c r="P974" s="22" t="n">
        <x:f>IF(T974="Ready",MIN(U974,MAX(0,G974-SUMIFS($U$972:$U$976,$O$972:$O$976,"&lt;"&amp;O974))),"n.a.")</x:f>
        <x:v>0</x:v>
      </x:c>
      <x:c r="Q974" s="22" t="n">
        <x:f>IF(T974="Ready",ROUND(N974+P974,2),"n.a.")</x:f>
        <x:v>0</x:v>
      </x:c>
      <x:c r="R974" s="22" t="n">
        <x:f>IF(T974="Ready",ROUND(Q974-M974,2),"n.a.")</x:f>
        <x:v>0</x:v>
      </x:c>
      <x:c r="S974" s="22" t="n">
        <x:f>IF(T974="Ready",MAX(0,ROUND(I974+M974-Q974,2)),"n.a.")</x:f>
        <x:v>0</x:v>
      </x:c>
      <x:c r="T974" s="22" t="str">
        <x:f>IF(AND(COUNT($I$972:$I$976)=5,COUNT(E974:F974)=2),IF(E974&gt;=F974,"Ready","Budget below minima"),"Check inputs")</x:f>
        <x:v>Ready</x:v>
      </x:c>
      <x:c r="U974" s="22" t="n">
        <x:f>IF(COUNT(I974,M974,N974)=3,MAX(0,ROUND(I974+M974-N974,2)),"n.a.")</x:f>
        <x:v>0</x:v>
      </x:c>
    </x:row>
    <x:row r="975" ht="22" customHeight="1">
      <x:c r="A975" s="2"/>
      <x:c r="B975" s="2"/>
      <x:c r="C975" s="27" t="n">
        <x:f>194</x:f>
        <x:v>194</x:v>
      </x:c>
      <x:c r="D975" s="28" t="n">
        <x:f>IF(ISNUMBER('Inputs'!$D$7),EDATE('Inputs'!$D$7,193),"n.a.")</x:f>
        <x:v>52201</x:v>
      </x:c>
      <x:c r="E975" s="26" t="n">
        <x:f>IF('Inputs'!$D$9&lt;&gt;"Ready","n.a.",IF(ISNUMBER('Inputs'!E212),IF('Inputs'!E212&gt;=0,'Inputs'!E212,"n.a."),IF('Inputs'!E212="",'Inputs'!$D$6,"n.a.")))</x:f>
        <x:v>500</x:v>
      </x:c>
      <x:c r="F975" s="22" t="n">
        <x:f>IF(COUNT($N$972:$N$976)=5,SUM($N$972:$N$976),"n.a.")</x:f>
        <x:v>0</x:v>
      </x:c>
      <x:c r="G975" s="22" t="n">
        <x:f>IF(COUNT(E975:F975)=2,MAX(0,E975-F975),"n.a.")</x:f>
        <x:v>500</x:v>
      </x:c>
      <x:c r="H975" s="26" t="str">
        <x:f>'Inputs'!C14</x:f>
        <x:v>Unused 4</x:v>
      </x:c>
      <x:c r="I975" s="26" t="n">
        <x:f>S970</x:f>
        <x:v>0</x:v>
      </x:c>
      <x:c r="J975" s="29" t="n">
        <x:f>IF('Inputs'!$D$9="Ready",'Inputs'!E14,"n.a.")</x:f>
        <x:v>0</x:v>
      </x:c>
      <x:c r="K975" s="26" t="n">
        <x:f>IF('Inputs'!$D$9="Ready",'Inputs'!F14,"n.a.")</x:f>
        <x:v>0</x:v>
      </x:c>
      <x:c r="L975" s="29" t="n">
        <x:f>IF('Inputs'!$D$9="Ready",'Inputs'!G14,"n.a.")</x:f>
        <x:v>0</x:v>
      </x:c>
      <x:c r="M975" s="22" t="n">
        <x:f>IF(COUNT(I975:L975)=4,ROUND(I975*J975/12,2),"n.a.")</x:f>
        <x:v>0</x:v>
      </x:c>
      <x:c r="N975" s="22" t="n">
        <x:f>IF(COUNT(I975:M975)=5,MIN(I975+M975,ROUND(MAX(K975,I975*L975+M975),2)),"n.a.")</x:f>
        <x:v>0</x:v>
      </x:c>
      <x:c r="O975" s="30" t="n">
        <x:f>IF(COUNT($I$972:$I$976)&lt;&gt;5,"n.a.",IF(I975=0,6,IF('Inputs'!$D$5=1,COUNTIFS($I$972:$I$976,"&gt;0",$I$972:$I$976,"&lt;"&amp;I975)+COUNTIFS($I$972:I975,I975),COUNTIFS($I$972:$I$976,"&gt;0",$J$972:$J$976,"&gt;"&amp;J975)+COUNTIFS($I$972:I975,"&gt;0",$J$972:J975,J975))))</x:f>
        <x:v>6</x:v>
      </x:c>
      <x:c r="P975" s="22" t="n">
        <x:f>IF(T975="Ready",MIN(U975,MAX(0,G975-SUMIFS($U$972:$U$976,$O$972:$O$976,"&lt;"&amp;O975))),"n.a.")</x:f>
        <x:v>0</x:v>
      </x:c>
      <x:c r="Q975" s="22" t="n">
        <x:f>IF(T975="Ready",ROUND(N975+P975,2),"n.a.")</x:f>
        <x:v>0</x:v>
      </x:c>
      <x:c r="R975" s="22" t="n">
        <x:f>IF(T975="Ready",ROUND(Q975-M975,2),"n.a.")</x:f>
        <x:v>0</x:v>
      </x:c>
      <x:c r="S975" s="22" t="n">
        <x:f>IF(T975="Ready",MAX(0,ROUND(I975+M975-Q975,2)),"n.a.")</x:f>
        <x:v>0</x:v>
      </x:c>
      <x:c r="T975" s="22" t="str">
        <x:f>IF(AND(COUNT($I$972:$I$976)=5,COUNT(E975:F975)=2),IF(E975&gt;=F975,"Ready","Budget below minima"),"Check inputs")</x:f>
        <x:v>Ready</x:v>
      </x:c>
      <x:c r="U975" s="22" t="n">
        <x:f>IF(COUNT(I975,M975,N975)=3,MAX(0,ROUND(I975+M975-N975,2)),"n.a.")</x:f>
        <x:v>0</x:v>
      </x:c>
    </x:row>
    <x:row r="976" ht="22" customHeight="1">
      <x:c r="A976" s="2"/>
      <x:c r="B976" s="2"/>
      <x:c r="C976" s="27" t="n">
        <x:f>194</x:f>
        <x:v>194</x:v>
      </x:c>
      <x:c r="D976" s="28" t="n">
        <x:f>IF(ISNUMBER('Inputs'!$D$7),EDATE('Inputs'!$D$7,193),"n.a.")</x:f>
        <x:v>52201</x:v>
      </x:c>
      <x:c r="E976" s="26" t="n">
        <x:f>IF('Inputs'!$D$9&lt;&gt;"Ready","n.a.",IF(ISNUMBER('Inputs'!E212),IF('Inputs'!E212&gt;=0,'Inputs'!E212,"n.a."),IF('Inputs'!E212="",'Inputs'!$D$6,"n.a.")))</x:f>
        <x:v>500</x:v>
      </x:c>
      <x:c r="F976" s="22" t="n">
        <x:f>IF(COUNT($N$972:$N$976)=5,SUM($N$972:$N$976),"n.a.")</x:f>
        <x:v>0</x:v>
      </x:c>
      <x:c r="G976" s="22" t="n">
        <x:f>IF(COUNT(E976:F976)=2,MAX(0,E976-F976),"n.a.")</x:f>
        <x:v>500</x:v>
      </x:c>
      <x:c r="H976" s="26" t="str">
        <x:f>'Inputs'!C15</x:f>
        <x:v>Unused 5</x:v>
      </x:c>
      <x:c r="I976" s="26" t="n">
        <x:f>S971</x:f>
        <x:v>0</x:v>
      </x:c>
      <x:c r="J976" s="29" t="n">
        <x:f>IF('Inputs'!$D$9="Ready",'Inputs'!E15,"n.a.")</x:f>
        <x:v>0</x:v>
      </x:c>
      <x:c r="K976" s="26" t="n">
        <x:f>IF('Inputs'!$D$9="Ready",'Inputs'!F15,"n.a.")</x:f>
        <x:v>0</x:v>
      </x:c>
      <x:c r="L976" s="29" t="n">
        <x:f>IF('Inputs'!$D$9="Ready",'Inputs'!G15,"n.a.")</x:f>
        <x:v>0</x:v>
      </x:c>
      <x:c r="M976" s="22" t="n">
        <x:f>IF(COUNT(I976:L976)=4,ROUND(I976*J976/12,2),"n.a.")</x:f>
        <x:v>0</x:v>
      </x:c>
      <x:c r="N976" s="22" t="n">
        <x:f>IF(COUNT(I976:M976)=5,MIN(I976+M976,ROUND(MAX(K976,I976*L976+M976),2)),"n.a.")</x:f>
        <x:v>0</x:v>
      </x:c>
      <x:c r="O976" s="30" t="n">
        <x:f>IF(COUNT($I$972:$I$976)&lt;&gt;5,"n.a.",IF(I976=0,6,IF('Inputs'!$D$5=1,COUNTIFS($I$972:$I$976,"&gt;0",$I$972:$I$976,"&lt;"&amp;I976)+COUNTIFS($I$972:I976,I976),COUNTIFS($I$972:$I$976,"&gt;0",$J$972:$J$976,"&gt;"&amp;J976)+COUNTIFS($I$972:I976,"&gt;0",$J$972:J976,J976))))</x:f>
        <x:v>6</x:v>
      </x:c>
      <x:c r="P976" s="22" t="n">
        <x:f>IF(T976="Ready",MIN(U976,MAX(0,G976-SUMIFS($U$972:$U$976,$O$972:$O$976,"&lt;"&amp;O976))),"n.a.")</x:f>
        <x:v>0</x:v>
      </x:c>
      <x:c r="Q976" s="22" t="n">
        <x:f>IF(T976="Ready",ROUND(N976+P976,2),"n.a.")</x:f>
        <x:v>0</x:v>
      </x:c>
      <x:c r="R976" s="22" t="n">
        <x:f>IF(T976="Ready",ROUND(Q976-M976,2),"n.a.")</x:f>
        <x:v>0</x:v>
      </x:c>
      <x:c r="S976" s="22" t="n">
        <x:f>IF(T976="Ready",MAX(0,ROUND(I976+M976-Q976,2)),"n.a.")</x:f>
        <x:v>0</x:v>
      </x:c>
      <x:c r="T976" s="22" t="str">
        <x:f>IF(AND(COUNT($I$972:$I$976)=5,COUNT(E976:F976)=2),IF(E976&gt;=F976,"Ready","Budget below minima"),"Check inputs")</x:f>
        <x:v>Ready</x:v>
      </x:c>
      <x:c r="U976" s="22" t="n">
        <x:f>IF(COUNT(I976,M976,N976)=3,MAX(0,ROUND(I976+M976-N976,2)),"n.a.")</x:f>
        <x:v>0</x:v>
      </x:c>
    </x:row>
    <x:row r="977" ht="22" customHeight="1">
      <x:c r="A977" s="2"/>
      <x:c r="B977" s="2"/>
      <x:c r="C977" s="27" t="n">
        <x:f>195</x:f>
        <x:v>195</x:v>
      </x:c>
      <x:c r="D977" s="28" t="n">
        <x:f>IF(ISNUMBER('Inputs'!$D$7),EDATE('Inputs'!$D$7,194),"n.a.")</x:f>
        <x:v>52232</x:v>
      </x:c>
      <x:c r="E977" s="26" t="n">
        <x:f>IF('Inputs'!$D$9&lt;&gt;"Ready","n.a.",IF(ISNUMBER('Inputs'!E213),IF('Inputs'!E213&gt;=0,'Inputs'!E213,"n.a."),IF('Inputs'!E213="",'Inputs'!$D$6,"n.a.")))</x:f>
        <x:v>500</x:v>
      </x:c>
      <x:c r="F977" s="22" t="n">
        <x:f>IF(COUNT($N$977:$N$981)=5,SUM($N$977:$N$981),"n.a.")</x:f>
        <x:v>0</x:v>
      </x:c>
      <x:c r="G977" s="22" t="n">
        <x:f>IF(COUNT(E977:F977)=2,MAX(0,E977-F977),"n.a.")</x:f>
        <x:v>500</x:v>
      </x:c>
      <x:c r="H977" s="26" t="str">
        <x:f>'Inputs'!C11</x:f>
        <x:v>Card A</x:v>
      </x:c>
      <x:c r="I977" s="26" t="n">
        <x:f>S972</x:f>
        <x:v>0</x:v>
      </x:c>
      <x:c r="J977" s="29" t="n">
        <x:f>IF('Inputs'!$D$9="Ready",'Inputs'!E11,"n.a.")</x:f>
        <x:v>0.24</x:v>
      </x:c>
      <x:c r="K977" s="26" t="n">
        <x:f>IF('Inputs'!$D$9="Ready",'Inputs'!F11,"n.a.")</x:f>
        <x:v>35</x:v>
      </x:c>
      <x:c r="L977" s="29" t="n">
        <x:f>IF('Inputs'!$D$9="Ready",'Inputs'!G11,"n.a.")</x:f>
        <x:v>0.02</x:v>
      </x:c>
      <x:c r="M977" s="22" t="n">
        <x:f>IF(COUNT(I977:L977)=4,ROUND(I977*J977/12,2),"n.a.")</x:f>
        <x:v>0</x:v>
      </x:c>
      <x:c r="N977" s="22" t="n">
        <x:f>IF(COUNT(I977:M977)=5,MIN(I977+M977,ROUND(MAX(K977,I977*L977+M977),2)),"n.a.")</x:f>
        <x:v>0</x:v>
      </x:c>
      <x:c r="O977" s="30" t="n">
        <x:f>IF(COUNT($I$977:$I$981)&lt;&gt;5,"n.a.",IF(I977=0,6,IF('Inputs'!$D$5=1,COUNTIFS($I$977:$I$981,"&gt;0",$I$977:$I$981,"&lt;"&amp;I977)+COUNTIFS($I$977:I977,I977),COUNTIFS($I$977:$I$981,"&gt;0",$J$977:$J$981,"&gt;"&amp;J977)+COUNTIFS($I$977:I977,"&gt;0",$J$977:J977,J977))))</x:f>
        <x:v>6</x:v>
      </x:c>
      <x:c r="P977" s="22" t="n">
        <x:f>IF(T977="Ready",MIN(U977,MAX(0,G977-SUMIFS($U$977:$U$981,$O$977:$O$981,"&lt;"&amp;O977))),"n.a.")</x:f>
        <x:v>0</x:v>
      </x:c>
      <x:c r="Q977" s="22" t="n">
        <x:f>IF(T977="Ready",ROUND(N977+P977,2),"n.a.")</x:f>
        <x:v>0</x:v>
      </x:c>
      <x:c r="R977" s="22" t="n">
        <x:f>IF(T977="Ready",ROUND(Q977-M977,2),"n.a.")</x:f>
        <x:v>0</x:v>
      </x:c>
      <x:c r="S977" s="22" t="n">
        <x:f>IF(T977="Ready",MAX(0,ROUND(I977+M977-Q977,2)),"n.a.")</x:f>
        <x:v>0</x:v>
      </x:c>
      <x:c r="T977" s="22" t="str">
        <x:f>IF(AND(COUNT($I$977:$I$981)=5,COUNT(E977:F977)=2),IF(E977&gt;=F977,"Ready","Budget below minima"),"Check inputs")</x:f>
        <x:v>Ready</x:v>
      </x:c>
      <x:c r="U977" s="22" t="n">
        <x:f>IF(COUNT(I977,M977,N977)=3,MAX(0,ROUND(I977+M977-N977,2)),"n.a.")</x:f>
        <x:v>0</x:v>
      </x:c>
    </x:row>
    <x:row r="978" ht="22" customHeight="1">
      <x:c r="A978" s="2"/>
      <x:c r="B978" s="2"/>
      <x:c r="C978" s="27" t="n">
        <x:f>195</x:f>
        <x:v>195</x:v>
      </x:c>
      <x:c r="D978" s="28" t="n">
        <x:f>IF(ISNUMBER('Inputs'!$D$7),EDATE('Inputs'!$D$7,194),"n.a.")</x:f>
        <x:v>52232</x:v>
      </x:c>
      <x:c r="E978" s="26" t="n">
        <x:f>IF('Inputs'!$D$9&lt;&gt;"Ready","n.a.",IF(ISNUMBER('Inputs'!E213),IF('Inputs'!E213&gt;=0,'Inputs'!E213,"n.a."),IF('Inputs'!E213="",'Inputs'!$D$6,"n.a.")))</x:f>
        <x:v>500</x:v>
      </x:c>
      <x:c r="F978" s="22" t="n">
        <x:f>IF(COUNT($N$977:$N$981)=5,SUM($N$977:$N$981),"n.a.")</x:f>
        <x:v>0</x:v>
      </x:c>
      <x:c r="G978" s="22" t="n">
        <x:f>IF(COUNT(E978:F978)=2,MAX(0,E978-F978),"n.a.")</x:f>
        <x:v>500</x:v>
      </x:c>
      <x:c r="H978" s="26" t="str">
        <x:f>'Inputs'!C12</x:f>
        <x:v>Card B</x:v>
      </x:c>
      <x:c r="I978" s="26" t="n">
        <x:f>S973</x:f>
        <x:v>0</x:v>
      </x:c>
      <x:c r="J978" s="29" t="n">
        <x:f>IF('Inputs'!$D$9="Ready",'Inputs'!E12,"n.a.")</x:f>
        <x:v>0.18</x:v>
      </x:c>
      <x:c r="K978" s="26" t="n">
        <x:f>IF('Inputs'!$D$9="Ready",'Inputs'!F12,"n.a.")</x:f>
        <x:v>60</x:v>
      </x:c>
      <x:c r="L978" s="29" t="n">
        <x:f>IF('Inputs'!$D$9="Ready",'Inputs'!G12,"n.a.")</x:f>
        <x:v>0.02</x:v>
      </x:c>
      <x:c r="M978" s="22" t="n">
        <x:f>IF(COUNT(I978:L978)=4,ROUND(I978*J978/12,2),"n.a.")</x:f>
        <x:v>0</x:v>
      </x:c>
      <x:c r="N978" s="22" t="n">
        <x:f>IF(COUNT(I978:M978)=5,MIN(I978+M978,ROUND(MAX(K978,I978*L978+M978),2)),"n.a.")</x:f>
        <x:v>0</x:v>
      </x:c>
      <x:c r="O978" s="30" t="n">
        <x:f>IF(COUNT($I$977:$I$981)&lt;&gt;5,"n.a.",IF(I978=0,6,IF('Inputs'!$D$5=1,COUNTIFS($I$977:$I$981,"&gt;0",$I$977:$I$981,"&lt;"&amp;I978)+COUNTIFS($I$977:I978,I978),COUNTIFS($I$977:$I$981,"&gt;0",$J$977:$J$981,"&gt;"&amp;J978)+COUNTIFS($I$977:I978,"&gt;0",$J$977:J978,J978))))</x:f>
        <x:v>6</x:v>
      </x:c>
      <x:c r="P978" s="22" t="n">
        <x:f>IF(T978="Ready",MIN(U978,MAX(0,G978-SUMIFS($U$977:$U$981,$O$977:$O$981,"&lt;"&amp;O978))),"n.a.")</x:f>
        <x:v>0</x:v>
      </x:c>
      <x:c r="Q978" s="22" t="n">
        <x:f>IF(T978="Ready",ROUND(N978+P978,2),"n.a.")</x:f>
        <x:v>0</x:v>
      </x:c>
      <x:c r="R978" s="22" t="n">
        <x:f>IF(T978="Ready",ROUND(Q978-M978,2),"n.a.")</x:f>
        <x:v>0</x:v>
      </x:c>
      <x:c r="S978" s="22" t="n">
        <x:f>IF(T978="Ready",MAX(0,ROUND(I978+M978-Q978,2)),"n.a.")</x:f>
        <x:v>0</x:v>
      </x:c>
      <x:c r="T978" s="22" t="str">
        <x:f>IF(AND(COUNT($I$977:$I$981)=5,COUNT(E978:F978)=2),IF(E978&gt;=F978,"Ready","Budget below minima"),"Check inputs")</x:f>
        <x:v>Ready</x:v>
      </x:c>
      <x:c r="U978" s="22" t="n">
        <x:f>IF(COUNT(I978,M978,N978)=3,MAX(0,ROUND(I978+M978-N978,2)),"n.a.")</x:f>
        <x:v>0</x:v>
      </x:c>
    </x:row>
    <x:row r="979" ht="22" customHeight="1">
      <x:c r="A979" s="2"/>
      <x:c r="B979" s="2"/>
      <x:c r="C979" s="27" t="n">
        <x:f>195</x:f>
        <x:v>195</x:v>
      </x:c>
      <x:c r="D979" s="28" t="n">
        <x:f>IF(ISNUMBER('Inputs'!$D$7),EDATE('Inputs'!$D$7,194),"n.a.")</x:f>
        <x:v>52232</x:v>
      </x:c>
      <x:c r="E979" s="26" t="n">
        <x:f>IF('Inputs'!$D$9&lt;&gt;"Ready","n.a.",IF(ISNUMBER('Inputs'!E213),IF('Inputs'!E213&gt;=0,'Inputs'!E213,"n.a."),IF('Inputs'!E213="",'Inputs'!$D$6,"n.a.")))</x:f>
        <x:v>500</x:v>
      </x:c>
      <x:c r="F979" s="22" t="n">
        <x:f>IF(COUNT($N$977:$N$981)=5,SUM($N$977:$N$981),"n.a.")</x:f>
        <x:v>0</x:v>
      </x:c>
      <x:c r="G979" s="22" t="n">
        <x:f>IF(COUNT(E979:F979)=2,MAX(0,E979-F979),"n.a.")</x:f>
        <x:v>500</x:v>
      </x:c>
      <x:c r="H979" s="26" t="str">
        <x:f>'Inputs'!C13</x:f>
        <x:v>Loan C</x:v>
      </x:c>
      <x:c r="I979" s="26" t="n">
        <x:f>S974</x:f>
        <x:v>0</x:v>
      </x:c>
      <x:c r="J979" s="29" t="n">
        <x:f>IF('Inputs'!$D$9="Ready",'Inputs'!E13,"n.a.")</x:f>
        <x:v>0.08</x:v>
      </x:c>
      <x:c r="K979" s="26" t="n">
        <x:f>IF('Inputs'!$D$9="Ready",'Inputs'!F13,"n.a.")</x:f>
        <x:v>150</x:v>
      </x:c>
      <x:c r="L979" s="29" t="n">
        <x:f>IF('Inputs'!$D$9="Ready",'Inputs'!G13,"n.a.")</x:f>
        <x:v>0</x:v>
      </x:c>
      <x:c r="M979" s="22" t="n">
        <x:f>IF(COUNT(I979:L979)=4,ROUND(I979*J979/12,2),"n.a.")</x:f>
        <x:v>0</x:v>
      </x:c>
      <x:c r="N979" s="22" t="n">
        <x:f>IF(COUNT(I979:M979)=5,MIN(I979+M979,ROUND(MAX(K979,I979*L979+M979),2)),"n.a.")</x:f>
        <x:v>0</x:v>
      </x:c>
      <x:c r="O979" s="30" t="n">
        <x:f>IF(COUNT($I$977:$I$981)&lt;&gt;5,"n.a.",IF(I979=0,6,IF('Inputs'!$D$5=1,COUNTIFS($I$977:$I$981,"&gt;0",$I$977:$I$981,"&lt;"&amp;I979)+COUNTIFS($I$977:I979,I979),COUNTIFS($I$977:$I$981,"&gt;0",$J$977:$J$981,"&gt;"&amp;J979)+COUNTIFS($I$977:I979,"&gt;0",$J$977:J979,J979))))</x:f>
        <x:v>6</x:v>
      </x:c>
      <x:c r="P979" s="22" t="n">
        <x:f>IF(T979="Ready",MIN(U979,MAX(0,G979-SUMIFS($U$977:$U$981,$O$977:$O$981,"&lt;"&amp;O979))),"n.a.")</x:f>
        <x:v>0</x:v>
      </x:c>
      <x:c r="Q979" s="22" t="n">
        <x:f>IF(T979="Ready",ROUND(N979+P979,2),"n.a.")</x:f>
        <x:v>0</x:v>
      </x:c>
      <x:c r="R979" s="22" t="n">
        <x:f>IF(T979="Ready",ROUND(Q979-M979,2),"n.a.")</x:f>
        <x:v>0</x:v>
      </x:c>
      <x:c r="S979" s="22" t="n">
        <x:f>IF(T979="Ready",MAX(0,ROUND(I979+M979-Q979,2)),"n.a.")</x:f>
        <x:v>0</x:v>
      </x:c>
      <x:c r="T979" s="22" t="str">
        <x:f>IF(AND(COUNT($I$977:$I$981)=5,COUNT(E979:F979)=2),IF(E979&gt;=F979,"Ready","Budget below minima"),"Check inputs")</x:f>
        <x:v>Ready</x:v>
      </x:c>
      <x:c r="U979" s="22" t="n">
        <x:f>IF(COUNT(I979,M979,N979)=3,MAX(0,ROUND(I979+M979-N979,2)),"n.a.")</x:f>
        <x:v>0</x:v>
      </x:c>
    </x:row>
    <x:row r="980" ht="22" customHeight="1">
      <x:c r="A980" s="2"/>
      <x:c r="B980" s="2"/>
      <x:c r="C980" s="27" t="n">
        <x:f>195</x:f>
        <x:v>195</x:v>
      </x:c>
      <x:c r="D980" s="28" t="n">
        <x:f>IF(ISNUMBER('Inputs'!$D$7),EDATE('Inputs'!$D$7,194),"n.a.")</x:f>
        <x:v>52232</x:v>
      </x:c>
      <x:c r="E980" s="26" t="n">
        <x:f>IF('Inputs'!$D$9&lt;&gt;"Ready","n.a.",IF(ISNUMBER('Inputs'!E213),IF('Inputs'!E213&gt;=0,'Inputs'!E213,"n.a."),IF('Inputs'!E213="",'Inputs'!$D$6,"n.a.")))</x:f>
        <x:v>500</x:v>
      </x:c>
      <x:c r="F980" s="22" t="n">
        <x:f>IF(COUNT($N$977:$N$981)=5,SUM($N$977:$N$981),"n.a.")</x:f>
        <x:v>0</x:v>
      </x:c>
      <x:c r="G980" s="22" t="n">
        <x:f>IF(COUNT(E980:F980)=2,MAX(0,E980-F980),"n.a.")</x:f>
        <x:v>500</x:v>
      </x:c>
      <x:c r="H980" s="26" t="str">
        <x:f>'Inputs'!C14</x:f>
        <x:v>Unused 4</x:v>
      </x:c>
      <x:c r="I980" s="26" t="n">
        <x:f>S975</x:f>
        <x:v>0</x:v>
      </x:c>
      <x:c r="J980" s="29" t="n">
        <x:f>IF('Inputs'!$D$9="Ready",'Inputs'!E14,"n.a.")</x:f>
        <x:v>0</x:v>
      </x:c>
      <x:c r="K980" s="26" t="n">
        <x:f>IF('Inputs'!$D$9="Ready",'Inputs'!F14,"n.a.")</x:f>
        <x:v>0</x:v>
      </x:c>
      <x:c r="L980" s="29" t="n">
        <x:f>IF('Inputs'!$D$9="Ready",'Inputs'!G14,"n.a.")</x:f>
        <x:v>0</x:v>
      </x:c>
      <x:c r="M980" s="22" t="n">
        <x:f>IF(COUNT(I980:L980)=4,ROUND(I980*J980/12,2),"n.a.")</x:f>
        <x:v>0</x:v>
      </x:c>
      <x:c r="N980" s="22" t="n">
        <x:f>IF(COUNT(I980:M980)=5,MIN(I980+M980,ROUND(MAX(K980,I980*L980+M980),2)),"n.a.")</x:f>
        <x:v>0</x:v>
      </x:c>
      <x:c r="O980" s="30" t="n">
        <x:f>IF(COUNT($I$977:$I$981)&lt;&gt;5,"n.a.",IF(I980=0,6,IF('Inputs'!$D$5=1,COUNTIFS($I$977:$I$981,"&gt;0",$I$977:$I$981,"&lt;"&amp;I980)+COUNTIFS($I$977:I980,I980),COUNTIFS($I$977:$I$981,"&gt;0",$J$977:$J$981,"&gt;"&amp;J980)+COUNTIFS($I$977:I980,"&gt;0",$J$977:J980,J980))))</x:f>
        <x:v>6</x:v>
      </x:c>
      <x:c r="P980" s="22" t="n">
        <x:f>IF(T980="Ready",MIN(U980,MAX(0,G980-SUMIFS($U$977:$U$981,$O$977:$O$981,"&lt;"&amp;O980))),"n.a.")</x:f>
        <x:v>0</x:v>
      </x:c>
      <x:c r="Q980" s="22" t="n">
        <x:f>IF(T980="Ready",ROUND(N980+P980,2),"n.a.")</x:f>
        <x:v>0</x:v>
      </x:c>
      <x:c r="R980" s="22" t="n">
        <x:f>IF(T980="Ready",ROUND(Q980-M980,2),"n.a.")</x:f>
        <x:v>0</x:v>
      </x:c>
      <x:c r="S980" s="22" t="n">
        <x:f>IF(T980="Ready",MAX(0,ROUND(I980+M980-Q980,2)),"n.a.")</x:f>
        <x:v>0</x:v>
      </x:c>
      <x:c r="T980" s="22" t="str">
        <x:f>IF(AND(COUNT($I$977:$I$981)=5,COUNT(E980:F980)=2),IF(E980&gt;=F980,"Ready","Budget below minima"),"Check inputs")</x:f>
        <x:v>Ready</x:v>
      </x:c>
      <x:c r="U980" s="22" t="n">
        <x:f>IF(COUNT(I980,M980,N980)=3,MAX(0,ROUND(I980+M980-N980,2)),"n.a.")</x:f>
        <x:v>0</x:v>
      </x:c>
    </x:row>
    <x:row r="981" ht="22" customHeight="1">
      <x:c r="A981" s="2"/>
      <x:c r="B981" s="2"/>
      <x:c r="C981" s="27" t="n">
        <x:f>195</x:f>
        <x:v>195</x:v>
      </x:c>
      <x:c r="D981" s="28" t="n">
        <x:f>IF(ISNUMBER('Inputs'!$D$7),EDATE('Inputs'!$D$7,194),"n.a.")</x:f>
        <x:v>52232</x:v>
      </x:c>
      <x:c r="E981" s="26" t="n">
        <x:f>IF('Inputs'!$D$9&lt;&gt;"Ready","n.a.",IF(ISNUMBER('Inputs'!E213),IF('Inputs'!E213&gt;=0,'Inputs'!E213,"n.a."),IF('Inputs'!E213="",'Inputs'!$D$6,"n.a.")))</x:f>
        <x:v>500</x:v>
      </x:c>
      <x:c r="F981" s="22" t="n">
        <x:f>IF(COUNT($N$977:$N$981)=5,SUM($N$977:$N$981),"n.a.")</x:f>
        <x:v>0</x:v>
      </x:c>
      <x:c r="G981" s="22" t="n">
        <x:f>IF(COUNT(E981:F981)=2,MAX(0,E981-F981),"n.a.")</x:f>
        <x:v>500</x:v>
      </x:c>
      <x:c r="H981" s="26" t="str">
        <x:f>'Inputs'!C15</x:f>
        <x:v>Unused 5</x:v>
      </x:c>
      <x:c r="I981" s="26" t="n">
        <x:f>S976</x:f>
        <x:v>0</x:v>
      </x:c>
      <x:c r="J981" s="29" t="n">
        <x:f>IF('Inputs'!$D$9="Ready",'Inputs'!E15,"n.a.")</x:f>
        <x:v>0</x:v>
      </x:c>
      <x:c r="K981" s="26" t="n">
        <x:f>IF('Inputs'!$D$9="Ready",'Inputs'!F15,"n.a.")</x:f>
        <x:v>0</x:v>
      </x:c>
      <x:c r="L981" s="29" t="n">
        <x:f>IF('Inputs'!$D$9="Ready",'Inputs'!G15,"n.a.")</x:f>
        <x:v>0</x:v>
      </x:c>
      <x:c r="M981" s="22" t="n">
        <x:f>IF(COUNT(I981:L981)=4,ROUND(I981*J981/12,2),"n.a.")</x:f>
        <x:v>0</x:v>
      </x:c>
      <x:c r="N981" s="22" t="n">
        <x:f>IF(COUNT(I981:M981)=5,MIN(I981+M981,ROUND(MAX(K981,I981*L981+M981),2)),"n.a.")</x:f>
        <x:v>0</x:v>
      </x:c>
      <x:c r="O981" s="30" t="n">
        <x:f>IF(COUNT($I$977:$I$981)&lt;&gt;5,"n.a.",IF(I981=0,6,IF('Inputs'!$D$5=1,COUNTIFS($I$977:$I$981,"&gt;0",$I$977:$I$981,"&lt;"&amp;I981)+COUNTIFS($I$977:I981,I981),COUNTIFS($I$977:$I$981,"&gt;0",$J$977:$J$981,"&gt;"&amp;J981)+COUNTIFS($I$977:I981,"&gt;0",$J$977:J981,J981))))</x:f>
        <x:v>6</x:v>
      </x:c>
      <x:c r="P981" s="22" t="n">
        <x:f>IF(T981="Ready",MIN(U981,MAX(0,G981-SUMIFS($U$977:$U$981,$O$977:$O$981,"&lt;"&amp;O981))),"n.a.")</x:f>
        <x:v>0</x:v>
      </x:c>
      <x:c r="Q981" s="22" t="n">
        <x:f>IF(T981="Ready",ROUND(N981+P981,2),"n.a.")</x:f>
        <x:v>0</x:v>
      </x:c>
      <x:c r="R981" s="22" t="n">
        <x:f>IF(T981="Ready",ROUND(Q981-M981,2),"n.a.")</x:f>
        <x:v>0</x:v>
      </x:c>
      <x:c r="S981" s="22" t="n">
        <x:f>IF(T981="Ready",MAX(0,ROUND(I981+M981-Q981,2)),"n.a.")</x:f>
        <x:v>0</x:v>
      </x:c>
      <x:c r="T981" s="22" t="str">
        <x:f>IF(AND(COUNT($I$977:$I$981)=5,COUNT(E981:F981)=2),IF(E981&gt;=F981,"Ready","Budget below minima"),"Check inputs")</x:f>
        <x:v>Ready</x:v>
      </x:c>
      <x:c r="U981" s="22" t="n">
        <x:f>IF(COUNT(I981,M981,N981)=3,MAX(0,ROUND(I981+M981-N981,2)),"n.a.")</x:f>
        <x:v>0</x:v>
      </x:c>
    </x:row>
    <x:row r="982" ht="22" customHeight="1">
      <x:c r="A982" s="2"/>
      <x:c r="B982" s="2"/>
      <x:c r="C982" s="27" t="n">
        <x:f>196</x:f>
        <x:v>196</x:v>
      </x:c>
      <x:c r="D982" s="28" t="n">
        <x:f>IF(ISNUMBER('Inputs'!$D$7),EDATE('Inputs'!$D$7,195),"n.a.")</x:f>
        <x:v>52263</x:v>
      </x:c>
      <x:c r="E982" s="26" t="n">
        <x:f>IF('Inputs'!$D$9&lt;&gt;"Ready","n.a.",IF(ISNUMBER('Inputs'!E214),IF('Inputs'!E214&gt;=0,'Inputs'!E214,"n.a."),IF('Inputs'!E214="",'Inputs'!$D$6,"n.a.")))</x:f>
        <x:v>500</x:v>
      </x:c>
      <x:c r="F982" s="22" t="n">
        <x:f>IF(COUNT($N$982:$N$986)=5,SUM($N$982:$N$986),"n.a.")</x:f>
        <x:v>0</x:v>
      </x:c>
      <x:c r="G982" s="22" t="n">
        <x:f>IF(COUNT(E982:F982)=2,MAX(0,E982-F982),"n.a.")</x:f>
        <x:v>500</x:v>
      </x:c>
      <x:c r="H982" s="26" t="str">
        <x:f>'Inputs'!C11</x:f>
        <x:v>Card A</x:v>
      </x:c>
      <x:c r="I982" s="26" t="n">
        <x:f>S977</x:f>
        <x:v>0</x:v>
      </x:c>
      <x:c r="J982" s="29" t="n">
        <x:f>IF('Inputs'!$D$9="Ready",'Inputs'!E11,"n.a.")</x:f>
        <x:v>0.24</x:v>
      </x:c>
      <x:c r="K982" s="26" t="n">
        <x:f>IF('Inputs'!$D$9="Ready",'Inputs'!F11,"n.a.")</x:f>
        <x:v>35</x:v>
      </x:c>
      <x:c r="L982" s="29" t="n">
        <x:f>IF('Inputs'!$D$9="Ready",'Inputs'!G11,"n.a.")</x:f>
        <x:v>0.02</x:v>
      </x:c>
      <x:c r="M982" s="22" t="n">
        <x:f>IF(COUNT(I982:L982)=4,ROUND(I982*J982/12,2),"n.a.")</x:f>
        <x:v>0</x:v>
      </x:c>
      <x:c r="N982" s="22" t="n">
        <x:f>IF(COUNT(I982:M982)=5,MIN(I982+M982,ROUND(MAX(K982,I982*L982+M982),2)),"n.a.")</x:f>
        <x:v>0</x:v>
      </x:c>
      <x:c r="O982" s="30" t="n">
        <x:f>IF(COUNT($I$982:$I$986)&lt;&gt;5,"n.a.",IF(I982=0,6,IF('Inputs'!$D$5=1,COUNTIFS($I$982:$I$986,"&gt;0",$I$982:$I$986,"&lt;"&amp;I982)+COUNTIFS($I$982:I982,I982),COUNTIFS($I$982:$I$986,"&gt;0",$J$982:$J$986,"&gt;"&amp;J982)+COUNTIFS($I$982:I982,"&gt;0",$J$982:J982,J982))))</x:f>
        <x:v>6</x:v>
      </x:c>
      <x:c r="P982" s="22" t="n">
        <x:f>IF(T982="Ready",MIN(U982,MAX(0,G982-SUMIFS($U$982:$U$986,$O$982:$O$986,"&lt;"&amp;O982))),"n.a.")</x:f>
        <x:v>0</x:v>
      </x:c>
      <x:c r="Q982" s="22" t="n">
        <x:f>IF(T982="Ready",ROUND(N982+P982,2),"n.a.")</x:f>
        <x:v>0</x:v>
      </x:c>
      <x:c r="R982" s="22" t="n">
        <x:f>IF(T982="Ready",ROUND(Q982-M982,2),"n.a.")</x:f>
        <x:v>0</x:v>
      </x:c>
      <x:c r="S982" s="22" t="n">
        <x:f>IF(T982="Ready",MAX(0,ROUND(I982+M982-Q982,2)),"n.a.")</x:f>
        <x:v>0</x:v>
      </x:c>
      <x:c r="T982" s="22" t="str">
        <x:f>IF(AND(COUNT($I$982:$I$986)=5,COUNT(E982:F982)=2),IF(E982&gt;=F982,"Ready","Budget below minima"),"Check inputs")</x:f>
        <x:v>Ready</x:v>
      </x:c>
      <x:c r="U982" s="22" t="n">
        <x:f>IF(COUNT(I982,M982,N982)=3,MAX(0,ROUND(I982+M982-N982,2)),"n.a.")</x:f>
        <x:v>0</x:v>
      </x:c>
    </x:row>
    <x:row r="983" ht="22" customHeight="1">
      <x:c r="A983" s="2"/>
      <x:c r="B983" s="2"/>
      <x:c r="C983" s="27" t="n">
        <x:f>196</x:f>
        <x:v>196</x:v>
      </x:c>
      <x:c r="D983" s="28" t="n">
        <x:f>IF(ISNUMBER('Inputs'!$D$7),EDATE('Inputs'!$D$7,195),"n.a.")</x:f>
        <x:v>52263</x:v>
      </x:c>
      <x:c r="E983" s="26" t="n">
        <x:f>IF('Inputs'!$D$9&lt;&gt;"Ready","n.a.",IF(ISNUMBER('Inputs'!E214),IF('Inputs'!E214&gt;=0,'Inputs'!E214,"n.a."),IF('Inputs'!E214="",'Inputs'!$D$6,"n.a.")))</x:f>
        <x:v>500</x:v>
      </x:c>
      <x:c r="F983" s="22" t="n">
        <x:f>IF(COUNT($N$982:$N$986)=5,SUM($N$982:$N$986),"n.a.")</x:f>
        <x:v>0</x:v>
      </x:c>
      <x:c r="G983" s="22" t="n">
        <x:f>IF(COUNT(E983:F983)=2,MAX(0,E983-F983),"n.a.")</x:f>
        <x:v>500</x:v>
      </x:c>
      <x:c r="H983" s="26" t="str">
        <x:f>'Inputs'!C12</x:f>
        <x:v>Card B</x:v>
      </x:c>
      <x:c r="I983" s="26" t="n">
        <x:f>S978</x:f>
        <x:v>0</x:v>
      </x:c>
      <x:c r="J983" s="29" t="n">
        <x:f>IF('Inputs'!$D$9="Ready",'Inputs'!E12,"n.a.")</x:f>
        <x:v>0.18</x:v>
      </x:c>
      <x:c r="K983" s="26" t="n">
        <x:f>IF('Inputs'!$D$9="Ready",'Inputs'!F12,"n.a.")</x:f>
        <x:v>60</x:v>
      </x:c>
      <x:c r="L983" s="29" t="n">
        <x:f>IF('Inputs'!$D$9="Ready",'Inputs'!G12,"n.a.")</x:f>
        <x:v>0.02</x:v>
      </x:c>
      <x:c r="M983" s="22" t="n">
        <x:f>IF(COUNT(I983:L983)=4,ROUND(I983*J983/12,2),"n.a.")</x:f>
        <x:v>0</x:v>
      </x:c>
      <x:c r="N983" s="22" t="n">
        <x:f>IF(COUNT(I983:M983)=5,MIN(I983+M983,ROUND(MAX(K983,I983*L983+M983),2)),"n.a.")</x:f>
        <x:v>0</x:v>
      </x:c>
      <x:c r="O983" s="30" t="n">
        <x:f>IF(COUNT($I$982:$I$986)&lt;&gt;5,"n.a.",IF(I983=0,6,IF('Inputs'!$D$5=1,COUNTIFS($I$982:$I$986,"&gt;0",$I$982:$I$986,"&lt;"&amp;I983)+COUNTIFS($I$982:I983,I983),COUNTIFS($I$982:$I$986,"&gt;0",$J$982:$J$986,"&gt;"&amp;J983)+COUNTIFS($I$982:I983,"&gt;0",$J$982:J983,J983))))</x:f>
        <x:v>6</x:v>
      </x:c>
      <x:c r="P983" s="22" t="n">
        <x:f>IF(T983="Ready",MIN(U983,MAX(0,G983-SUMIFS($U$982:$U$986,$O$982:$O$986,"&lt;"&amp;O983))),"n.a.")</x:f>
        <x:v>0</x:v>
      </x:c>
      <x:c r="Q983" s="22" t="n">
        <x:f>IF(T983="Ready",ROUND(N983+P983,2),"n.a.")</x:f>
        <x:v>0</x:v>
      </x:c>
      <x:c r="R983" s="22" t="n">
        <x:f>IF(T983="Ready",ROUND(Q983-M983,2),"n.a.")</x:f>
        <x:v>0</x:v>
      </x:c>
      <x:c r="S983" s="22" t="n">
        <x:f>IF(T983="Ready",MAX(0,ROUND(I983+M983-Q983,2)),"n.a.")</x:f>
        <x:v>0</x:v>
      </x:c>
      <x:c r="T983" s="22" t="str">
        <x:f>IF(AND(COUNT($I$982:$I$986)=5,COUNT(E983:F983)=2),IF(E983&gt;=F983,"Ready","Budget below minima"),"Check inputs")</x:f>
        <x:v>Ready</x:v>
      </x:c>
      <x:c r="U983" s="22" t="n">
        <x:f>IF(COUNT(I983,M983,N983)=3,MAX(0,ROUND(I983+M983-N983,2)),"n.a.")</x:f>
        <x:v>0</x:v>
      </x:c>
    </x:row>
    <x:row r="984" ht="22" customHeight="1">
      <x:c r="A984" s="2"/>
      <x:c r="B984" s="2"/>
      <x:c r="C984" s="27" t="n">
        <x:f>196</x:f>
        <x:v>196</x:v>
      </x:c>
      <x:c r="D984" s="28" t="n">
        <x:f>IF(ISNUMBER('Inputs'!$D$7),EDATE('Inputs'!$D$7,195),"n.a.")</x:f>
        <x:v>52263</x:v>
      </x:c>
      <x:c r="E984" s="26" t="n">
        <x:f>IF('Inputs'!$D$9&lt;&gt;"Ready","n.a.",IF(ISNUMBER('Inputs'!E214),IF('Inputs'!E214&gt;=0,'Inputs'!E214,"n.a."),IF('Inputs'!E214="",'Inputs'!$D$6,"n.a.")))</x:f>
        <x:v>500</x:v>
      </x:c>
      <x:c r="F984" s="22" t="n">
        <x:f>IF(COUNT($N$982:$N$986)=5,SUM($N$982:$N$986),"n.a.")</x:f>
        <x:v>0</x:v>
      </x:c>
      <x:c r="G984" s="22" t="n">
        <x:f>IF(COUNT(E984:F984)=2,MAX(0,E984-F984),"n.a.")</x:f>
        <x:v>500</x:v>
      </x:c>
      <x:c r="H984" s="26" t="str">
        <x:f>'Inputs'!C13</x:f>
        <x:v>Loan C</x:v>
      </x:c>
      <x:c r="I984" s="26" t="n">
        <x:f>S979</x:f>
        <x:v>0</x:v>
      </x:c>
      <x:c r="J984" s="29" t="n">
        <x:f>IF('Inputs'!$D$9="Ready",'Inputs'!E13,"n.a.")</x:f>
        <x:v>0.08</x:v>
      </x:c>
      <x:c r="K984" s="26" t="n">
        <x:f>IF('Inputs'!$D$9="Ready",'Inputs'!F13,"n.a.")</x:f>
        <x:v>150</x:v>
      </x:c>
      <x:c r="L984" s="29" t="n">
        <x:f>IF('Inputs'!$D$9="Ready",'Inputs'!G13,"n.a.")</x:f>
        <x:v>0</x:v>
      </x:c>
      <x:c r="M984" s="22" t="n">
        <x:f>IF(COUNT(I984:L984)=4,ROUND(I984*J984/12,2),"n.a.")</x:f>
        <x:v>0</x:v>
      </x:c>
      <x:c r="N984" s="22" t="n">
        <x:f>IF(COUNT(I984:M984)=5,MIN(I984+M984,ROUND(MAX(K984,I984*L984+M984),2)),"n.a.")</x:f>
        <x:v>0</x:v>
      </x:c>
      <x:c r="O984" s="30" t="n">
        <x:f>IF(COUNT($I$982:$I$986)&lt;&gt;5,"n.a.",IF(I984=0,6,IF('Inputs'!$D$5=1,COUNTIFS($I$982:$I$986,"&gt;0",$I$982:$I$986,"&lt;"&amp;I984)+COUNTIFS($I$982:I984,I984),COUNTIFS($I$982:$I$986,"&gt;0",$J$982:$J$986,"&gt;"&amp;J984)+COUNTIFS($I$982:I984,"&gt;0",$J$982:J984,J984))))</x:f>
        <x:v>6</x:v>
      </x:c>
      <x:c r="P984" s="22" t="n">
        <x:f>IF(T984="Ready",MIN(U984,MAX(0,G984-SUMIFS($U$982:$U$986,$O$982:$O$986,"&lt;"&amp;O984))),"n.a.")</x:f>
        <x:v>0</x:v>
      </x:c>
      <x:c r="Q984" s="22" t="n">
        <x:f>IF(T984="Ready",ROUND(N984+P984,2),"n.a.")</x:f>
        <x:v>0</x:v>
      </x:c>
      <x:c r="R984" s="22" t="n">
        <x:f>IF(T984="Ready",ROUND(Q984-M984,2),"n.a.")</x:f>
        <x:v>0</x:v>
      </x:c>
      <x:c r="S984" s="22" t="n">
        <x:f>IF(T984="Ready",MAX(0,ROUND(I984+M984-Q984,2)),"n.a.")</x:f>
        <x:v>0</x:v>
      </x:c>
      <x:c r="T984" s="22" t="str">
        <x:f>IF(AND(COUNT($I$982:$I$986)=5,COUNT(E984:F984)=2),IF(E984&gt;=F984,"Ready","Budget below minima"),"Check inputs")</x:f>
        <x:v>Ready</x:v>
      </x:c>
      <x:c r="U984" s="22" t="n">
        <x:f>IF(COUNT(I984,M984,N984)=3,MAX(0,ROUND(I984+M984-N984,2)),"n.a.")</x:f>
        <x:v>0</x:v>
      </x:c>
    </x:row>
    <x:row r="985" ht="22" customHeight="1">
      <x:c r="A985" s="2"/>
      <x:c r="B985" s="2"/>
      <x:c r="C985" s="27" t="n">
        <x:f>196</x:f>
        <x:v>196</x:v>
      </x:c>
      <x:c r="D985" s="28" t="n">
        <x:f>IF(ISNUMBER('Inputs'!$D$7),EDATE('Inputs'!$D$7,195),"n.a.")</x:f>
        <x:v>52263</x:v>
      </x:c>
      <x:c r="E985" s="26" t="n">
        <x:f>IF('Inputs'!$D$9&lt;&gt;"Ready","n.a.",IF(ISNUMBER('Inputs'!E214),IF('Inputs'!E214&gt;=0,'Inputs'!E214,"n.a."),IF('Inputs'!E214="",'Inputs'!$D$6,"n.a.")))</x:f>
        <x:v>500</x:v>
      </x:c>
      <x:c r="F985" s="22" t="n">
        <x:f>IF(COUNT($N$982:$N$986)=5,SUM($N$982:$N$986),"n.a.")</x:f>
        <x:v>0</x:v>
      </x:c>
      <x:c r="G985" s="22" t="n">
        <x:f>IF(COUNT(E985:F985)=2,MAX(0,E985-F985),"n.a.")</x:f>
        <x:v>500</x:v>
      </x:c>
      <x:c r="H985" s="26" t="str">
        <x:f>'Inputs'!C14</x:f>
        <x:v>Unused 4</x:v>
      </x:c>
      <x:c r="I985" s="26" t="n">
        <x:f>S980</x:f>
        <x:v>0</x:v>
      </x:c>
      <x:c r="J985" s="29" t="n">
        <x:f>IF('Inputs'!$D$9="Ready",'Inputs'!E14,"n.a.")</x:f>
        <x:v>0</x:v>
      </x:c>
      <x:c r="K985" s="26" t="n">
        <x:f>IF('Inputs'!$D$9="Ready",'Inputs'!F14,"n.a.")</x:f>
        <x:v>0</x:v>
      </x:c>
      <x:c r="L985" s="29" t="n">
        <x:f>IF('Inputs'!$D$9="Ready",'Inputs'!G14,"n.a.")</x:f>
        <x:v>0</x:v>
      </x:c>
      <x:c r="M985" s="22" t="n">
        <x:f>IF(COUNT(I985:L985)=4,ROUND(I985*J985/12,2),"n.a.")</x:f>
        <x:v>0</x:v>
      </x:c>
      <x:c r="N985" s="22" t="n">
        <x:f>IF(COUNT(I985:M985)=5,MIN(I985+M985,ROUND(MAX(K985,I985*L985+M985),2)),"n.a.")</x:f>
        <x:v>0</x:v>
      </x:c>
      <x:c r="O985" s="30" t="n">
        <x:f>IF(COUNT($I$982:$I$986)&lt;&gt;5,"n.a.",IF(I985=0,6,IF('Inputs'!$D$5=1,COUNTIFS($I$982:$I$986,"&gt;0",$I$982:$I$986,"&lt;"&amp;I985)+COUNTIFS($I$982:I985,I985),COUNTIFS($I$982:$I$986,"&gt;0",$J$982:$J$986,"&gt;"&amp;J985)+COUNTIFS($I$982:I985,"&gt;0",$J$982:J985,J985))))</x:f>
        <x:v>6</x:v>
      </x:c>
      <x:c r="P985" s="22" t="n">
        <x:f>IF(T985="Ready",MIN(U985,MAX(0,G985-SUMIFS($U$982:$U$986,$O$982:$O$986,"&lt;"&amp;O985))),"n.a.")</x:f>
        <x:v>0</x:v>
      </x:c>
      <x:c r="Q985" s="22" t="n">
        <x:f>IF(T985="Ready",ROUND(N985+P985,2),"n.a.")</x:f>
        <x:v>0</x:v>
      </x:c>
      <x:c r="R985" s="22" t="n">
        <x:f>IF(T985="Ready",ROUND(Q985-M985,2),"n.a.")</x:f>
        <x:v>0</x:v>
      </x:c>
      <x:c r="S985" s="22" t="n">
        <x:f>IF(T985="Ready",MAX(0,ROUND(I985+M985-Q985,2)),"n.a.")</x:f>
        <x:v>0</x:v>
      </x:c>
      <x:c r="T985" s="22" t="str">
        <x:f>IF(AND(COUNT($I$982:$I$986)=5,COUNT(E985:F985)=2),IF(E985&gt;=F985,"Ready","Budget below minima"),"Check inputs")</x:f>
        <x:v>Ready</x:v>
      </x:c>
      <x:c r="U985" s="22" t="n">
        <x:f>IF(COUNT(I985,M985,N985)=3,MAX(0,ROUND(I985+M985-N985,2)),"n.a.")</x:f>
        <x:v>0</x:v>
      </x:c>
    </x:row>
    <x:row r="986" ht="22" customHeight="1">
      <x:c r="A986" s="2"/>
      <x:c r="B986" s="2"/>
      <x:c r="C986" s="27" t="n">
        <x:f>196</x:f>
        <x:v>196</x:v>
      </x:c>
      <x:c r="D986" s="28" t="n">
        <x:f>IF(ISNUMBER('Inputs'!$D$7),EDATE('Inputs'!$D$7,195),"n.a.")</x:f>
        <x:v>52263</x:v>
      </x:c>
      <x:c r="E986" s="26" t="n">
        <x:f>IF('Inputs'!$D$9&lt;&gt;"Ready","n.a.",IF(ISNUMBER('Inputs'!E214),IF('Inputs'!E214&gt;=0,'Inputs'!E214,"n.a."),IF('Inputs'!E214="",'Inputs'!$D$6,"n.a.")))</x:f>
        <x:v>500</x:v>
      </x:c>
      <x:c r="F986" s="22" t="n">
        <x:f>IF(COUNT($N$982:$N$986)=5,SUM($N$982:$N$986),"n.a.")</x:f>
        <x:v>0</x:v>
      </x:c>
      <x:c r="G986" s="22" t="n">
        <x:f>IF(COUNT(E986:F986)=2,MAX(0,E986-F986),"n.a.")</x:f>
        <x:v>500</x:v>
      </x:c>
      <x:c r="H986" s="26" t="str">
        <x:f>'Inputs'!C15</x:f>
        <x:v>Unused 5</x:v>
      </x:c>
      <x:c r="I986" s="26" t="n">
        <x:f>S981</x:f>
        <x:v>0</x:v>
      </x:c>
      <x:c r="J986" s="29" t="n">
        <x:f>IF('Inputs'!$D$9="Ready",'Inputs'!E15,"n.a.")</x:f>
        <x:v>0</x:v>
      </x:c>
      <x:c r="K986" s="26" t="n">
        <x:f>IF('Inputs'!$D$9="Ready",'Inputs'!F15,"n.a.")</x:f>
        <x:v>0</x:v>
      </x:c>
      <x:c r="L986" s="29" t="n">
        <x:f>IF('Inputs'!$D$9="Ready",'Inputs'!G15,"n.a.")</x:f>
        <x:v>0</x:v>
      </x:c>
      <x:c r="M986" s="22" t="n">
        <x:f>IF(COUNT(I986:L986)=4,ROUND(I986*J986/12,2),"n.a.")</x:f>
        <x:v>0</x:v>
      </x:c>
      <x:c r="N986" s="22" t="n">
        <x:f>IF(COUNT(I986:M986)=5,MIN(I986+M986,ROUND(MAX(K986,I986*L986+M986),2)),"n.a.")</x:f>
        <x:v>0</x:v>
      </x:c>
      <x:c r="O986" s="30" t="n">
        <x:f>IF(COUNT($I$982:$I$986)&lt;&gt;5,"n.a.",IF(I986=0,6,IF('Inputs'!$D$5=1,COUNTIFS($I$982:$I$986,"&gt;0",$I$982:$I$986,"&lt;"&amp;I986)+COUNTIFS($I$982:I986,I986),COUNTIFS($I$982:$I$986,"&gt;0",$J$982:$J$986,"&gt;"&amp;J986)+COUNTIFS($I$982:I986,"&gt;0",$J$982:J986,J986))))</x:f>
        <x:v>6</x:v>
      </x:c>
      <x:c r="P986" s="22" t="n">
        <x:f>IF(T986="Ready",MIN(U986,MAX(0,G986-SUMIFS($U$982:$U$986,$O$982:$O$986,"&lt;"&amp;O986))),"n.a.")</x:f>
        <x:v>0</x:v>
      </x:c>
      <x:c r="Q986" s="22" t="n">
        <x:f>IF(T986="Ready",ROUND(N986+P986,2),"n.a.")</x:f>
        <x:v>0</x:v>
      </x:c>
      <x:c r="R986" s="22" t="n">
        <x:f>IF(T986="Ready",ROUND(Q986-M986,2),"n.a.")</x:f>
        <x:v>0</x:v>
      </x:c>
      <x:c r="S986" s="22" t="n">
        <x:f>IF(T986="Ready",MAX(0,ROUND(I986+M986-Q986,2)),"n.a.")</x:f>
        <x:v>0</x:v>
      </x:c>
      <x:c r="T986" s="22" t="str">
        <x:f>IF(AND(COUNT($I$982:$I$986)=5,COUNT(E986:F986)=2),IF(E986&gt;=F986,"Ready","Budget below minima"),"Check inputs")</x:f>
        <x:v>Ready</x:v>
      </x:c>
      <x:c r="U986" s="22" t="n">
        <x:f>IF(COUNT(I986,M986,N986)=3,MAX(0,ROUND(I986+M986-N986,2)),"n.a.")</x:f>
        <x:v>0</x:v>
      </x:c>
    </x:row>
    <x:row r="987" ht="22" customHeight="1">
      <x:c r="A987" s="2"/>
      <x:c r="B987" s="2"/>
      <x:c r="C987" s="27" t="n">
        <x:f>197</x:f>
        <x:v>197</x:v>
      </x:c>
      <x:c r="D987" s="28" t="n">
        <x:f>IF(ISNUMBER('Inputs'!$D$7),EDATE('Inputs'!$D$7,196),"n.a.")</x:f>
        <x:v>52291</x:v>
      </x:c>
      <x:c r="E987" s="26" t="n">
        <x:f>IF('Inputs'!$D$9&lt;&gt;"Ready","n.a.",IF(ISNUMBER('Inputs'!E215),IF('Inputs'!E215&gt;=0,'Inputs'!E215,"n.a."),IF('Inputs'!E215="",'Inputs'!$D$6,"n.a.")))</x:f>
        <x:v>500</x:v>
      </x:c>
      <x:c r="F987" s="22" t="n">
        <x:f>IF(COUNT($N$987:$N$991)=5,SUM($N$987:$N$991),"n.a.")</x:f>
        <x:v>0</x:v>
      </x:c>
      <x:c r="G987" s="22" t="n">
        <x:f>IF(COUNT(E987:F987)=2,MAX(0,E987-F987),"n.a.")</x:f>
        <x:v>500</x:v>
      </x:c>
      <x:c r="H987" s="26" t="str">
        <x:f>'Inputs'!C11</x:f>
        <x:v>Card A</x:v>
      </x:c>
      <x:c r="I987" s="26" t="n">
        <x:f>S982</x:f>
        <x:v>0</x:v>
      </x:c>
      <x:c r="J987" s="29" t="n">
        <x:f>IF('Inputs'!$D$9="Ready",'Inputs'!E11,"n.a.")</x:f>
        <x:v>0.24</x:v>
      </x:c>
      <x:c r="K987" s="26" t="n">
        <x:f>IF('Inputs'!$D$9="Ready",'Inputs'!F11,"n.a.")</x:f>
        <x:v>35</x:v>
      </x:c>
      <x:c r="L987" s="29" t="n">
        <x:f>IF('Inputs'!$D$9="Ready",'Inputs'!G11,"n.a.")</x:f>
        <x:v>0.02</x:v>
      </x:c>
      <x:c r="M987" s="22" t="n">
        <x:f>IF(COUNT(I987:L987)=4,ROUND(I987*J987/12,2),"n.a.")</x:f>
        <x:v>0</x:v>
      </x:c>
      <x:c r="N987" s="22" t="n">
        <x:f>IF(COUNT(I987:M987)=5,MIN(I987+M987,ROUND(MAX(K987,I987*L987+M987),2)),"n.a.")</x:f>
        <x:v>0</x:v>
      </x:c>
      <x:c r="O987" s="30" t="n">
        <x:f>IF(COUNT($I$987:$I$991)&lt;&gt;5,"n.a.",IF(I987=0,6,IF('Inputs'!$D$5=1,COUNTIFS($I$987:$I$991,"&gt;0",$I$987:$I$991,"&lt;"&amp;I987)+COUNTIFS($I$987:I987,I987),COUNTIFS($I$987:$I$991,"&gt;0",$J$987:$J$991,"&gt;"&amp;J987)+COUNTIFS($I$987:I987,"&gt;0",$J$987:J987,J987))))</x:f>
        <x:v>6</x:v>
      </x:c>
      <x:c r="P987" s="22" t="n">
        <x:f>IF(T987="Ready",MIN(U987,MAX(0,G987-SUMIFS($U$987:$U$991,$O$987:$O$991,"&lt;"&amp;O987))),"n.a.")</x:f>
        <x:v>0</x:v>
      </x:c>
      <x:c r="Q987" s="22" t="n">
        <x:f>IF(T987="Ready",ROUND(N987+P987,2),"n.a.")</x:f>
        <x:v>0</x:v>
      </x:c>
      <x:c r="R987" s="22" t="n">
        <x:f>IF(T987="Ready",ROUND(Q987-M987,2),"n.a.")</x:f>
        <x:v>0</x:v>
      </x:c>
      <x:c r="S987" s="22" t="n">
        <x:f>IF(T987="Ready",MAX(0,ROUND(I987+M987-Q987,2)),"n.a.")</x:f>
        <x:v>0</x:v>
      </x:c>
      <x:c r="T987" s="22" t="str">
        <x:f>IF(AND(COUNT($I$987:$I$991)=5,COUNT(E987:F987)=2),IF(E987&gt;=F987,"Ready","Budget below minima"),"Check inputs")</x:f>
        <x:v>Ready</x:v>
      </x:c>
      <x:c r="U987" s="22" t="n">
        <x:f>IF(COUNT(I987,M987,N987)=3,MAX(0,ROUND(I987+M987-N987,2)),"n.a.")</x:f>
        <x:v>0</x:v>
      </x:c>
    </x:row>
    <x:row r="988" ht="22" customHeight="1">
      <x:c r="A988" s="2"/>
      <x:c r="B988" s="2"/>
      <x:c r="C988" s="27" t="n">
        <x:f>197</x:f>
        <x:v>197</x:v>
      </x:c>
      <x:c r="D988" s="28" t="n">
        <x:f>IF(ISNUMBER('Inputs'!$D$7),EDATE('Inputs'!$D$7,196),"n.a.")</x:f>
        <x:v>52291</x:v>
      </x:c>
      <x:c r="E988" s="26" t="n">
        <x:f>IF('Inputs'!$D$9&lt;&gt;"Ready","n.a.",IF(ISNUMBER('Inputs'!E215),IF('Inputs'!E215&gt;=0,'Inputs'!E215,"n.a."),IF('Inputs'!E215="",'Inputs'!$D$6,"n.a.")))</x:f>
        <x:v>500</x:v>
      </x:c>
      <x:c r="F988" s="22" t="n">
        <x:f>IF(COUNT($N$987:$N$991)=5,SUM($N$987:$N$991),"n.a.")</x:f>
        <x:v>0</x:v>
      </x:c>
      <x:c r="G988" s="22" t="n">
        <x:f>IF(COUNT(E988:F988)=2,MAX(0,E988-F988),"n.a.")</x:f>
        <x:v>500</x:v>
      </x:c>
      <x:c r="H988" s="26" t="str">
        <x:f>'Inputs'!C12</x:f>
        <x:v>Card B</x:v>
      </x:c>
      <x:c r="I988" s="26" t="n">
        <x:f>S983</x:f>
        <x:v>0</x:v>
      </x:c>
      <x:c r="J988" s="29" t="n">
        <x:f>IF('Inputs'!$D$9="Ready",'Inputs'!E12,"n.a.")</x:f>
        <x:v>0.18</x:v>
      </x:c>
      <x:c r="K988" s="26" t="n">
        <x:f>IF('Inputs'!$D$9="Ready",'Inputs'!F12,"n.a.")</x:f>
        <x:v>60</x:v>
      </x:c>
      <x:c r="L988" s="29" t="n">
        <x:f>IF('Inputs'!$D$9="Ready",'Inputs'!G12,"n.a.")</x:f>
        <x:v>0.02</x:v>
      </x:c>
      <x:c r="M988" s="22" t="n">
        <x:f>IF(COUNT(I988:L988)=4,ROUND(I988*J988/12,2),"n.a.")</x:f>
        <x:v>0</x:v>
      </x:c>
      <x:c r="N988" s="22" t="n">
        <x:f>IF(COUNT(I988:M988)=5,MIN(I988+M988,ROUND(MAX(K988,I988*L988+M988),2)),"n.a.")</x:f>
        <x:v>0</x:v>
      </x:c>
      <x:c r="O988" s="30" t="n">
        <x:f>IF(COUNT($I$987:$I$991)&lt;&gt;5,"n.a.",IF(I988=0,6,IF('Inputs'!$D$5=1,COUNTIFS($I$987:$I$991,"&gt;0",$I$987:$I$991,"&lt;"&amp;I988)+COUNTIFS($I$987:I988,I988),COUNTIFS($I$987:$I$991,"&gt;0",$J$987:$J$991,"&gt;"&amp;J988)+COUNTIFS($I$987:I988,"&gt;0",$J$987:J988,J988))))</x:f>
        <x:v>6</x:v>
      </x:c>
      <x:c r="P988" s="22" t="n">
        <x:f>IF(T988="Ready",MIN(U988,MAX(0,G988-SUMIFS($U$987:$U$991,$O$987:$O$991,"&lt;"&amp;O988))),"n.a.")</x:f>
        <x:v>0</x:v>
      </x:c>
      <x:c r="Q988" s="22" t="n">
        <x:f>IF(T988="Ready",ROUND(N988+P988,2),"n.a.")</x:f>
        <x:v>0</x:v>
      </x:c>
      <x:c r="R988" s="22" t="n">
        <x:f>IF(T988="Ready",ROUND(Q988-M988,2),"n.a.")</x:f>
        <x:v>0</x:v>
      </x:c>
      <x:c r="S988" s="22" t="n">
        <x:f>IF(T988="Ready",MAX(0,ROUND(I988+M988-Q988,2)),"n.a.")</x:f>
        <x:v>0</x:v>
      </x:c>
      <x:c r="T988" s="22" t="str">
        <x:f>IF(AND(COUNT($I$987:$I$991)=5,COUNT(E988:F988)=2),IF(E988&gt;=F988,"Ready","Budget below minima"),"Check inputs")</x:f>
        <x:v>Ready</x:v>
      </x:c>
      <x:c r="U988" s="22" t="n">
        <x:f>IF(COUNT(I988,M988,N988)=3,MAX(0,ROUND(I988+M988-N988,2)),"n.a.")</x:f>
        <x:v>0</x:v>
      </x:c>
    </x:row>
    <x:row r="989" ht="22" customHeight="1">
      <x:c r="A989" s="2"/>
      <x:c r="B989" s="2"/>
      <x:c r="C989" s="27" t="n">
        <x:f>197</x:f>
        <x:v>197</x:v>
      </x:c>
      <x:c r="D989" s="28" t="n">
        <x:f>IF(ISNUMBER('Inputs'!$D$7),EDATE('Inputs'!$D$7,196),"n.a.")</x:f>
        <x:v>52291</x:v>
      </x:c>
      <x:c r="E989" s="26" t="n">
        <x:f>IF('Inputs'!$D$9&lt;&gt;"Ready","n.a.",IF(ISNUMBER('Inputs'!E215),IF('Inputs'!E215&gt;=0,'Inputs'!E215,"n.a."),IF('Inputs'!E215="",'Inputs'!$D$6,"n.a.")))</x:f>
        <x:v>500</x:v>
      </x:c>
      <x:c r="F989" s="22" t="n">
        <x:f>IF(COUNT($N$987:$N$991)=5,SUM($N$987:$N$991),"n.a.")</x:f>
        <x:v>0</x:v>
      </x:c>
      <x:c r="G989" s="22" t="n">
        <x:f>IF(COUNT(E989:F989)=2,MAX(0,E989-F989),"n.a.")</x:f>
        <x:v>500</x:v>
      </x:c>
      <x:c r="H989" s="26" t="str">
        <x:f>'Inputs'!C13</x:f>
        <x:v>Loan C</x:v>
      </x:c>
      <x:c r="I989" s="26" t="n">
        <x:f>S984</x:f>
        <x:v>0</x:v>
      </x:c>
      <x:c r="J989" s="29" t="n">
        <x:f>IF('Inputs'!$D$9="Ready",'Inputs'!E13,"n.a.")</x:f>
        <x:v>0.08</x:v>
      </x:c>
      <x:c r="K989" s="26" t="n">
        <x:f>IF('Inputs'!$D$9="Ready",'Inputs'!F13,"n.a.")</x:f>
        <x:v>150</x:v>
      </x:c>
      <x:c r="L989" s="29" t="n">
        <x:f>IF('Inputs'!$D$9="Ready",'Inputs'!G13,"n.a.")</x:f>
        <x:v>0</x:v>
      </x:c>
      <x:c r="M989" s="22" t="n">
        <x:f>IF(COUNT(I989:L989)=4,ROUND(I989*J989/12,2),"n.a.")</x:f>
        <x:v>0</x:v>
      </x:c>
      <x:c r="N989" s="22" t="n">
        <x:f>IF(COUNT(I989:M989)=5,MIN(I989+M989,ROUND(MAX(K989,I989*L989+M989),2)),"n.a.")</x:f>
        <x:v>0</x:v>
      </x:c>
      <x:c r="O989" s="30" t="n">
        <x:f>IF(COUNT($I$987:$I$991)&lt;&gt;5,"n.a.",IF(I989=0,6,IF('Inputs'!$D$5=1,COUNTIFS($I$987:$I$991,"&gt;0",$I$987:$I$991,"&lt;"&amp;I989)+COUNTIFS($I$987:I989,I989),COUNTIFS($I$987:$I$991,"&gt;0",$J$987:$J$991,"&gt;"&amp;J989)+COUNTIFS($I$987:I989,"&gt;0",$J$987:J989,J989))))</x:f>
        <x:v>6</x:v>
      </x:c>
      <x:c r="P989" s="22" t="n">
        <x:f>IF(T989="Ready",MIN(U989,MAX(0,G989-SUMIFS($U$987:$U$991,$O$987:$O$991,"&lt;"&amp;O989))),"n.a.")</x:f>
        <x:v>0</x:v>
      </x:c>
      <x:c r="Q989" s="22" t="n">
        <x:f>IF(T989="Ready",ROUND(N989+P989,2),"n.a.")</x:f>
        <x:v>0</x:v>
      </x:c>
      <x:c r="R989" s="22" t="n">
        <x:f>IF(T989="Ready",ROUND(Q989-M989,2),"n.a.")</x:f>
        <x:v>0</x:v>
      </x:c>
      <x:c r="S989" s="22" t="n">
        <x:f>IF(T989="Ready",MAX(0,ROUND(I989+M989-Q989,2)),"n.a.")</x:f>
        <x:v>0</x:v>
      </x:c>
      <x:c r="T989" s="22" t="str">
        <x:f>IF(AND(COUNT($I$987:$I$991)=5,COUNT(E989:F989)=2),IF(E989&gt;=F989,"Ready","Budget below minima"),"Check inputs")</x:f>
        <x:v>Ready</x:v>
      </x:c>
      <x:c r="U989" s="22" t="n">
        <x:f>IF(COUNT(I989,M989,N989)=3,MAX(0,ROUND(I989+M989-N989,2)),"n.a.")</x:f>
        <x:v>0</x:v>
      </x:c>
    </x:row>
    <x:row r="990" ht="22" customHeight="1">
      <x:c r="A990" s="2"/>
      <x:c r="B990" s="2"/>
      <x:c r="C990" s="27" t="n">
        <x:f>197</x:f>
        <x:v>197</x:v>
      </x:c>
      <x:c r="D990" s="28" t="n">
        <x:f>IF(ISNUMBER('Inputs'!$D$7),EDATE('Inputs'!$D$7,196),"n.a.")</x:f>
        <x:v>52291</x:v>
      </x:c>
      <x:c r="E990" s="26" t="n">
        <x:f>IF('Inputs'!$D$9&lt;&gt;"Ready","n.a.",IF(ISNUMBER('Inputs'!E215),IF('Inputs'!E215&gt;=0,'Inputs'!E215,"n.a."),IF('Inputs'!E215="",'Inputs'!$D$6,"n.a.")))</x:f>
        <x:v>500</x:v>
      </x:c>
      <x:c r="F990" s="22" t="n">
        <x:f>IF(COUNT($N$987:$N$991)=5,SUM($N$987:$N$991),"n.a.")</x:f>
        <x:v>0</x:v>
      </x:c>
      <x:c r="G990" s="22" t="n">
        <x:f>IF(COUNT(E990:F990)=2,MAX(0,E990-F990),"n.a.")</x:f>
        <x:v>500</x:v>
      </x:c>
      <x:c r="H990" s="26" t="str">
        <x:f>'Inputs'!C14</x:f>
        <x:v>Unused 4</x:v>
      </x:c>
      <x:c r="I990" s="26" t="n">
        <x:f>S985</x:f>
        <x:v>0</x:v>
      </x:c>
      <x:c r="J990" s="29" t="n">
        <x:f>IF('Inputs'!$D$9="Ready",'Inputs'!E14,"n.a.")</x:f>
        <x:v>0</x:v>
      </x:c>
      <x:c r="K990" s="26" t="n">
        <x:f>IF('Inputs'!$D$9="Ready",'Inputs'!F14,"n.a.")</x:f>
        <x:v>0</x:v>
      </x:c>
      <x:c r="L990" s="29" t="n">
        <x:f>IF('Inputs'!$D$9="Ready",'Inputs'!G14,"n.a.")</x:f>
        <x:v>0</x:v>
      </x:c>
      <x:c r="M990" s="22" t="n">
        <x:f>IF(COUNT(I990:L990)=4,ROUND(I990*J990/12,2),"n.a.")</x:f>
        <x:v>0</x:v>
      </x:c>
      <x:c r="N990" s="22" t="n">
        <x:f>IF(COUNT(I990:M990)=5,MIN(I990+M990,ROUND(MAX(K990,I990*L990+M990),2)),"n.a.")</x:f>
        <x:v>0</x:v>
      </x:c>
      <x:c r="O990" s="30" t="n">
        <x:f>IF(COUNT($I$987:$I$991)&lt;&gt;5,"n.a.",IF(I990=0,6,IF('Inputs'!$D$5=1,COUNTIFS($I$987:$I$991,"&gt;0",$I$987:$I$991,"&lt;"&amp;I990)+COUNTIFS($I$987:I990,I990),COUNTIFS($I$987:$I$991,"&gt;0",$J$987:$J$991,"&gt;"&amp;J990)+COUNTIFS($I$987:I990,"&gt;0",$J$987:J990,J990))))</x:f>
        <x:v>6</x:v>
      </x:c>
      <x:c r="P990" s="22" t="n">
        <x:f>IF(T990="Ready",MIN(U990,MAX(0,G990-SUMIFS($U$987:$U$991,$O$987:$O$991,"&lt;"&amp;O990))),"n.a.")</x:f>
        <x:v>0</x:v>
      </x:c>
      <x:c r="Q990" s="22" t="n">
        <x:f>IF(T990="Ready",ROUND(N990+P990,2),"n.a.")</x:f>
        <x:v>0</x:v>
      </x:c>
      <x:c r="R990" s="22" t="n">
        <x:f>IF(T990="Ready",ROUND(Q990-M990,2),"n.a.")</x:f>
        <x:v>0</x:v>
      </x:c>
      <x:c r="S990" s="22" t="n">
        <x:f>IF(T990="Ready",MAX(0,ROUND(I990+M990-Q990,2)),"n.a.")</x:f>
        <x:v>0</x:v>
      </x:c>
      <x:c r="T990" s="22" t="str">
        <x:f>IF(AND(COUNT($I$987:$I$991)=5,COUNT(E990:F990)=2),IF(E990&gt;=F990,"Ready","Budget below minima"),"Check inputs")</x:f>
        <x:v>Ready</x:v>
      </x:c>
      <x:c r="U990" s="22" t="n">
        <x:f>IF(COUNT(I990,M990,N990)=3,MAX(0,ROUND(I990+M990-N990,2)),"n.a.")</x:f>
        <x:v>0</x:v>
      </x:c>
    </x:row>
    <x:row r="991" ht="22" customHeight="1">
      <x:c r="A991" s="2"/>
      <x:c r="B991" s="2"/>
      <x:c r="C991" s="27" t="n">
        <x:f>197</x:f>
        <x:v>197</x:v>
      </x:c>
      <x:c r="D991" s="28" t="n">
        <x:f>IF(ISNUMBER('Inputs'!$D$7),EDATE('Inputs'!$D$7,196),"n.a.")</x:f>
        <x:v>52291</x:v>
      </x:c>
      <x:c r="E991" s="26" t="n">
        <x:f>IF('Inputs'!$D$9&lt;&gt;"Ready","n.a.",IF(ISNUMBER('Inputs'!E215),IF('Inputs'!E215&gt;=0,'Inputs'!E215,"n.a."),IF('Inputs'!E215="",'Inputs'!$D$6,"n.a.")))</x:f>
        <x:v>500</x:v>
      </x:c>
      <x:c r="F991" s="22" t="n">
        <x:f>IF(COUNT($N$987:$N$991)=5,SUM($N$987:$N$991),"n.a.")</x:f>
        <x:v>0</x:v>
      </x:c>
      <x:c r="G991" s="22" t="n">
        <x:f>IF(COUNT(E991:F991)=2,MAX(0,E991-F991),"n.a.")</x:f>
        <x:v>500</x:v>
      </x:c>
      <x:c r="H991" s="26" t="str">
        <x:f>'Inputs'!C15</x:f>
        <x:v>Unused 5</x:v>
      </x:c>
      <x:c r="I991" s="26" t="n">
        <x:f>S986</x:f>
        <x:v>0</x:v>
      </x:c>
      <x:c r="J991" s="29" t="n">
        <x:f>IF('Inputs'!$D$9="Ready",'Inputs'!E15,"n.a.")</x:f>
        <x:v>0</x:v>
      </x:c>
      <x:c r="K991" s="26" t="n">
        <x:f>IF('Inputs'!$D$9="Ready",'Inputs'!F15,"n.a.")</x:f>
        <x:v>0</x:v>
      </x:c>
      <x:c r="L991" s="29" t="n">
        <x:f>IF('Inputs'!$D$9="Ready",'Inputs'!G15,"n.a.")</x:f>
        <x:v>0</x:v>
      </x:c>
      <x:c r="M991" s="22" t="n">
        <x:f>IF(COUNT(I991:L991)=4,ROUND(I991*J991/12,2),"n.a.")</x:f>
        <x:v>0</x:v>
      </x:c>
      <x:c r="N991" s="22" t="n">
        <x:f>IF(COUNT(I991:M991)=5,MIN(I991+M991,ROUND(MAX(K991,I991*L991+M991),2)),"n.a.")</x:f>
        <x:v>0</x:v>
      </x:c>
      <x:c r="O991" s="30" t="n">
        <x:f>IF(COUNT($I$987:$I$991)&lt;&gt;5,"n.a.",IF(I991=0,6,IF('Inputs'!$D$5=1,COUNTIFS($I$987:$I$991,"&gt;0",$I$987:$I$991,"&lt;"&amp;I991)+COUNTIFS($I$987:I991,I991),COUNTIFS($I$987:$I$991,"&gt;0",$J$987:$J$991,"&gt;"&amp;J991)+COUNTIFS($I$987:I991,"&gt;0",$J$987:J991,J991))))</x:f>
        <x:v>6</x:v>
      </x:c>
      <x:c r="P991" s="22" t="n">
        <x:f>IF(T991="Ready",MIN(U991,MAX(0,G991-SUMIFS($U$987:$U$991,$O$987:$O$991,"&lt;"&amp;O991))),"n.a.")</x:f>
        <x:v>0</x:v>
      </x:c>
      <x:c r="Q991" s="22" t="n">
        <x:f>IF(T991="Ready",ROUND(N991+P991,2),"n.a.")</x:f>
        <x:v>0</x:v>
      </x:c>
      <x:c r="R991" s="22" t="n">
        <x:f>IF(T991="Ready",ROUND(Q991-M991,2),"n.a.")</x:f>
        <x:v>0</x:v>
      </x:c>
      <x:c r="S991" s="22" t="n">
        <x:f>IF(T991="Ready",MAX(0,ROUND(I991+M991-Q991,2)),"n.a.")</x:f>
        <x:v>0</x:v>
      </x:c>
      <x:c r="T991" s="22" t="str">
        <x:f>IF(AND(COUNT($I$987:$I$991)=5,COUNT(E991:F991)=2),IF(E991&gt;=F991,"Ready","Budget below minima"),"Check inputs")</x:f>
        <x:v>Ready</x:v>
      </x:c>
      <x:c r="U991" s="22" t="n">
        <x:f>IF(COUNT(I991,M991,N991)=3,MAX(0,ROUND(I991+M991-N991,2)),"n.a.")</x:f>
        <x:v>0</x:v>
      </x:c>
    </x:row>
    <x:row r="992" ht="22" customHeight="1">
      <x:c r="A992" s="2"/>
      <x:c r="B992" s="2"/>
      <x:c r="C992" s="27" t="n">
        <x:f>198</x:f>
        <x:v>198</x:v>
      </x:c>
      <x:c r="D992" s="28" t="n">
        <x:f>IF(ISNUMBER('Inputs'!$D$7),EDATE('Inputs'!$D$7,197),"n.a.")</x:f>
        <x:v>52322</x:v>
      </x:c>
      <x:c r="E992" s="26" t="n">
        <x:f>IF('Inputs'!$D$9&lt;&gt;"Ready","n.a.",IF(ISNUMBER('Inputs'!E216),IF('Inputs'!E216&gt;=0,'Inputs'!E216,"n.a."),IF('Inputs'!E216="",'Inputs'!$D$6,"n.a.")))</x:f>
        <x:v>500</x:v>
      </x:c>
      <x:c r="F992" s="22" t="n">
        <x:f>IF(COUNT($N$992:$N$996)=5,SUM($N$992:$N$996),"n.a.")</x:f>
        <x:v>0</x:v>
      </x:c>
      <x:c r="G992" s="22" t="n">
        <x:f>IF(COUNT(E992:F992)=2,MAX(0,E992-F992),"n.a.")</x:f>
        <x:v>500</x:v>
      </x:c>
      <x:c r="H992" s="26" t="str">
        <x:f>'Inputs'!C11</x:f>
        <x:v>Card A</x:v>
      </x:c>
      <x:c r="I992" s="26" t="n">
        <x:f>S987</x:f>
        <x:v>0</x:v>
      </x:c>
      <x:c r="J992" s="29" t="n">
        <x:f>IF('Inputs'!$D$9="Ready",'Inputs'!E11,"n.a.")</x:f>
        <x:v>0.24</x:v>
      </x:c>
      <x:c r="K992" s="26" t="n">
        <x:f>IF('Inputs'!$D$9="Ready",'Inputs'!F11,"n.a.")</x:f>
        <x:v>35</x:v>
      </x:c>
      <x:c r="L992" s="29" t="n">
        <x:f>IF('Inputs'!$D$9="Ready",'Inputs'!G11,"n.a.")</x:f>
        <x:v>0.02</x:v>
      </x:c>
      <x:c r="M992" s="22" t="n">
        <x:f>IF(COUNT(I992:L992)=4,ROUND(I992*J992/12,2),"n.a.")</x:f>
        <x:v>0</x:v>
      </x:c>
      <x:c r="N992" s="22" t="n">
        <x:f>IF(COUNT(I992:M992)=5,MIN(I992+M992,ROUND(MAX(K992,I992*L992+M992),2)),"n.a.")</x:f>
        <x:v>0</x:v>
      </x:c>
      <x:c r="O992" s="30" t="n">
        <x:f>IF(COUNT($I$992:$I$996)&lt;&gt;5,"n.a.",IF(I992=0,6,IF('Inputs'!$D$5=1,COUNTIFS($I$992:$I$996,"&gt;0",$I$992:$I$996,"&lt;"&amp;I992)+COUNTIFS($I$992:I992,I992),COUNTIFS($I$992:$I$996,"&gt;0",$J$992:$J$996,"&gt;"&amp;J992)+COUNTIFS($I$992:I992,"&gt;0",$J$992:J992,J992))))</x:f>
        <x:v>6</x:v>
      </x:c>
      <x:c r="P992" s="22" t="n">
        <x:f>IF(T992="Ready",MIN(U992,MAX(0,G992-SUMIFS($U$992:$U$996,$O$992:$O$996,"&lt;"&amp;O992))),"n.a.")</x:f>
        <x:v>0</x:v>
      </x:c>
      <x:c r="Q992" s="22" t="n">
        <x:f>IF(T992="Ready",ROUND(N992+P992,2),"n.a.")</x:f>
        <x:v>0</x:v>
      </x:c>
      <x:c r="R992" s="22" t="n">
        <x:f>IF(T992="Ready",ROUND(Q992-M992,2),"n.a.")</x:f>
        <x:v>0</x:v>
      </x:c>
      <x:c r="S992" s="22" t="n">
        <x:f>IF(T992="Ready",MAX(0,ROUND(I992+M992-Q992,2)),"n.a.")</x:f>
        <x:v>0</x:v>
      </x:c>
      <x:c r="T992" s="22" t="str">
        <x:f>IF(AND(COUNT($I$992:$I$996)=5,COUNT(E992:F992)=2),IF(E992&gt;=F992,"Ready","Budget below minima"),"Check inputs")</x:f>
        <x:v>Ready</x:v>
      </x:c>
      <x:c r="U992" s="22" t="n">
        <x:f>IF(COUNT(I992,M992,N992)=3,MAX(0,ROUND(I992+M992-N992,2)),"n.a.")</x:f>
        <x:v>0</x:v>
      </x:c>
    </x:row>
    <x:row r="993" ht="22" customHeight="1">
      <x:c r="A993" s="2"/>
      <x:c r="B993" s="2"/>
      <x:c r="C993" s="27" t="n">
        <x:f>198</x:f>
        <x:v>198</x:v>
      </x:c>
      <x:c r="D993" s="28" t="n">
        <x:f>IF(ISNUMBER('Inputs'!$D$7),EDATE('Inputs'!$D$7,197),"n.a.")</x:f>
        <x:v>52322</x:v>
      </x:c>
      <x:c r="E993" s="26" t="n">
        <x:f>IF('Inputs'!$D$9&lt;&gt;"Ready","n.a.",IF(ISNUMBER('Inputs'!E216),IF('Inputs'!E216&gt;=0,'Inputs'!E216,"n.a."),IF('Inputs'!E216="",'Inputs'!$D$6,"n.a.")))</x:f>
        <x:v>500</x:v>
      </x:c>
      <x:c r="F993" s="22" t="n">
        <x:f>IF(COUNT($N$992:$N$996)=5,SUM($N$992:$N$996),"n.a.")</x:f>
        <x:v>0</x:v>
      </x:c>
      <x:c r="G993" s="22" t="n">
        <x:f>IF(COUNT(E993:F993)=2,MAX(0,E993-F993),"n.a.")</x:f>
        <x:v>500</x:v>
      </x:c>
      <x:c r="H993" s="26" t="str">
        <x:f>'Inputs'!C12</x:f>
        <x:v>Card B</x:v>
      </x:c>
      <x:c r="I993" s="26" t="n">
        <x:f>S988</x:f>
        <x:v>0</x:v>
      </x:c>
      <x:c r="J993" s="29" t="n">
        <x:f>IF('Inputs'!$D$9="Ready",'Inputs'!E12,"n.a.")</x:f>
        <x:v>0.18</x:v>
      </x:c>
      <x:c r="K993" s="26" t="n">
        <x:f>IF('Inputs'!$D$9="Ready",'Inputs'!F12,"n.a.")</x:f>
        <x:v>60</x:v>
      </x:c>
      <x:c r="L993" s="29" t="n">
        <x:f>IF('Inputs'!$D$9="Ready",'Inputs'!G12,"n.a.")</x:f>
        <x:v>0.02</x:v>
      </x:c>
      <x:c r="M993" s="22" t="n">
        <x:f>IF(COUNT(I993:L993)=4,ROUND(I993*J993/12,2),"n.a.")</x:f>
        <x:v>0</x:v>
      </x:c>
      <x:c r="N993" s="22" t="n">
        <x:f>IF(COUNT(I993:M993)=5,MIN(I993+M993,ROUND(MAX(K993,I993*L993+M993),2)),"n.a.")</x:f>
        <x:v>0</x:v>
      </x:c>
      <x:c r="O993" s="30" t="n">
        <x:f>IF(COUNT($I$992:$I$996)&lt;&gt;5,"n.a.",IF(I993=0,6,IF('Inputs'!$D$5=1,COUNTIFS($I$992:$I$996,"&gt;0",$I$992:$I$996,"&lt;"&amp;I993)+COUNTIFS($I$992:I993,I993),COUNTIFS($I$992:$I$996,"&gt;0",$J$992:$J$996,"&gt;"&amp;J993)+COUNTIFS($I$992:I993,"&gt;0",$J$992:J993,J993))))</x:f>
        <x:v>6</x:v>
      </x:c>
      <x:c r="P993" s="22" t="n">
        <x:f>IF(T993="Ready",MIN(U993,MAX(0,G993-SUMIFS($U$992:$U$996,$O$992:$O$996,"&lt;"&amp;O993))),"n.a.")</x:f>
        <x:v>0</x:v>
      </x:c>
      <x:c r="Q993" s="22" t="n">
        <x:f>IF(T993="Ready",ROUND(N993+P993,2),"n.a.")</x:f>
        <x:v>0</x:v>
      </x:c>
      <x:c r="R993" s="22" t="n">
        <x:f>IF(T993="Ready",ROUND(Q993-M993,2),"n.a.")</x:f>
        <x:v>0</x:v>
      </x:c>
      <x:c r="S993" s="22" t="n">
        <x:f>IF(T993="Ready",MAX(0,ROUND(I993+M993-Q993,2)),"n.a.")</x:f>
        <x:v>0</x:v>
      </x:c>
      <x:c r="T993" s="22" t="str">
        <x:f>IF(AND(COUNT($I$992:$I$996)=5,COUNT(E993:F993)=2),IF(E993&gt;=F993,"Ready","Budget below minima"),"Check inputs")</x:f>
        <x:v>Ready</x:v>
      </x:c>
      <x:c r="U993" s="22" t="n">
        <x:f>IF(COUNT(I993,M993,N993)=3,MAX(0,ROUND(I993+M993-N993,2)),"n.a.")</x:f>
        <x:v>0</x:v>
      </x:c>
    </x:row>
    <x:row r="994" ht="22" customHeight="1">
      <x:c r="A994" s="2"/>
      <x:c r="B994" s="2"/>
      <x:c r="C994" s="27" t="n">
        <x:f>198</x:f>
        <x:v>198</x:v>
      </x:c>
      <x:c r="D994" s="28" t="n">
        <x:f>IF(ISNUMBER('Inputs'!$D$7),EDATE('Inputs'!$D$7,197),"n.a.")</x:f>
        <x:v>52322</x:v>
      </x:c>
      <x:c r="E994" s="26" t="n">
        <x:f>IF('Inputs'!$D$9&lt;&gt;"Ready","n.a.",IF(ISNUMBER('Inputs'!E216),IF('Inputs'!E216&gt;=0,'Inputs'!E216,"n.a."),IF('Inputs'!E216="",'Inputs'!$D$6,"n.a.")))</x:f>
        <x:v>500</x:v>
      </x:c>
      <x:c r="F994" s="22" t="n">
        <x:f>IF(COUNT($N$992:$N$996)=5,SUM($N$992:$N$996),"n.a.")</x:f>
        <x:v>0</x:v>
      </x:c>
      <x:c r="G994" s="22" t="n">
        <x:f>IF(COUNT(E994:F994)=2,MAX(0,E994-F994),"n.a.")</x:f>
        <x:v>500</x:v>
      </x:c>
      <x:c r="H994" s="26" t="str">
        <x:f>'Inputs'!C13</x:f>
        <x:v>Loan C</x:v>
      </x:c>
      <x:c r="I994" s="26" t="n">
        <x:f>S989</x:f>
        <x:v>0</x:v>
      </x:c>
      <x:c r="J994" s="29" t="n">
        <x:f>IF('Inputs'!$D$9="Ready",'Inputs'!E13,"n.a.")</x:f>
        <x:v>0.08</x:v>
      </x:c>
      <x:c r="K994" s="26" t="n">
        <x:f>IF('Inputs'!$D$9="Ready",'Inputs'!F13,"n.a.")</x:f>
        <x:v>150</x:v>
      </x:c>
      <x:c r="L994" s="29" t="n">
        <x:f>IF('Inputs'!$D$9="Ready",'Inputs'!G13,"n.a.")</x:f>
        <x:v>0</x:v>
      </x:c>
      <x:c r="M994" s="22" t="n">
        <x:f>IF(COUNT(I994:L994)=4,ROUND(I994*J994/12,2),"n.a.")</x:f>
        <x:v>0</x:v>
      </x:c>
      <x:c r="N994" s="22" t="n">
        <x:f>IF(COUNT(I994:M994)=5,MIN(I994+M994,ROUND(MAX(K994,I994*L994+M994),2)),"n.a.")</x:f>
        <x:v>0</x:v>
      </x:c>
      <x:c r="O994" s="30" t="n">
        <x:f>IF(COUNT($I$992:$I$996)&lt;&gt;5,"n.a.",IF(I994=0,6,IF('Inputs'!$D$5=1,COUNTIFS($I$992:$I$996,"&gt;0",$I$992:$I$996,"&lt;"&amp;I994)+COUNTIFS($I$992:I994,I994),COUNTIFS($I$992:$I$996,"&gt;0",$J$992:$J$996,"&gt;"&amp;J994)+COUNTIFS($I$992:I994,"&gt;0",$J$992:J994,J994))))</x:f>
        <x:v>6</x:v>
      </x:c>
      <x:c r="P994" s="22" t="n">
        <x:f>IF(T994="Ready",MIN(U994,MAX(0,G994-SUMIFS($U$992:$U$996,$O$992:$O$996,"&lt;"&amp;O994))),"n.a.")</x:f>
        <x:v>0</x:v>
      </x:c>
      <x:c r="Q994" s="22" t="n">
        <x:f>IF(T994="Ready",ROUND(N994+P994,2),"n.a.")</x:f>
        <x:v>0</x:v>
      </x:c>
      <x:c r="R994" s="22" t="n">
        <x:f>IF(T994="Ready",ROUND(Q994-M994,2),"n.a.")</x:f>
        <x:v>0</x:v>
      </x:c>
      <x:c r="S994" s="22" t="n">
        <x:f>IF(T994="Ready",MAX(0,ROUND(I994+M994-Q994,2)),"n.a.")</x:f>
        <x:v>0</x:v>
      </x:c>
      <x:c r="T994" s="22" t="str">
        <x:f>IF(AND(COUNT($I$992:$I$996)=5,COUNT(E994:F994)=2),IF(E994&gt;=F994,"Ready","Budget below minima"),"Check inputs")</x:f>
        <x:v>Ready</x:v>
      </x:c>
      <x:c r="U994" s="22" t="n">
        <x:f>IF(COUNT(I994,M994,N994)=3,MAX(0,ROUND(I994+M994-N994,2)),"n.a.")</x:f>
        <x:v>0</x:v>
      </x:c>
    </x:row>
    <x:row r="995" ht="22" customHeight="1">
      <x:c r="A995" s="2"/>
      <x:c r="B995" s="2"/>
      <x:c r="C995" s="27" t="n">
        <x:f>198</x:f>
        <x:v>198</x:v>
      </x:c>
      <x:c r="D995" s="28" t="n">
        <x:f>IF(ISNUMBER('Inputs'!$D$7),EDATE('Inputs'!$D$7,197),"n.a.")</x:f>
        <x:v>52322</x:v>
      </x:c>
      <x:c r="E995" s="26" t="n">
        <x:f>IF('Inputs'!$D$9&lt;&gt;"Ready","n.a.",IF(ISNUMBER('Inputs'!E216),IF('Inputs'!E216&gt;=0,'Inputs'!E216,"n.a."),IF('Inputs'!E216="",'Inputs'!$D$6,"n.a.")))</x:f>
        <x:v>500</x:v>
      </x:c>
      <x:c r="F995" s="22" t="n">
        <x:f>IF(COUNT($N$992:$N$996)=5,SUM($N$992:$N$996),"n.a.")</x:f>
        <x:v>0</x:v>
      </x:c>
      <x:c r="G995" s="22" t="n">
        <x:f>IF(COUNT(E995:F995)=2,MAX(0,E995-F995),"n.a.")</x:f>
        <x:v>500</x:v>
      </x:c>
      <x:c r="H995" s="26" t="str">
        <x:f>'Inputs'!C14</x:f>
        <x:v>Unused 4</x:v>
      </x:c>
      <x:c r="I995" s="26" t="n">
        <x:f>S990</x:f>
        <x:v>0</x:v>
      </x:c>
      <x:c r="J995" s="29" t="n">
        <x:f>IF('Inputs'!$D$9="Ready",'Inputs'!E14,"n.a.")</x:f>
        <x:v>0</x:v>
      </x:c>
      <x:c r="K995" s="26" t="n">
        <x:f>IF('Inputs'!$D$9="Ready",'Inputs'!F14,"n.a.")</x:f>
        <x:v>0</x:v>
      </x:c>
      <x:c r="L995" s="29" t="n">
        <x:f>IF('Inputs'!$D$9="Ready",'Inputs'!G14,"n.a.")</x:f>
        <x:v>0</x:v>
      </x:c>
      <x:c r="M995" s="22" t="n">
        <x:f>IF(COUNT(I995:L995)=4,ROUND(I995*J995/12,2),"n.a.")</x:f>
        <x:v>0</x:v>
      </x:c>
      <x:c r="N995" s="22" t="n">
        <x:f>IF(COUNT(I995:M995)=5,MIN(I995+M995,ROUND(MAX(K995,I995*L995+M995),2)),"n.a.")</x:f>
        <x:v>0</x:v>
      </x:c>
      <x:c r="O995" s="30" t="n">
        <x:f>IF(COUNT($I$992:$I$996)&lt;&gt;5,"n.a.",IF(I995=0,6,IF('Inputs'!$D$5=1,COUNTIFS($I$992:$I$996,"&gt;0",$I$992:$I$996,"&lt;"&amp;I995)+COUNTIFS($I$992:I995,I995),COUNTIFS($I$992:$I$996,"&gt;0",$J$992:$J$996,"&gt;"&amp;J995)+COUNTIFS($I$992:I995,"&gt;0",$J$992:J995,J995))))</x:f>
        <x:v>6</x:v>
      </x:c>
      <x:c r="P995" s="22" t="n">
        <x:f>IF(T995="Ready",MIN(U995,MAX(0,G995-SUMIFS($U$992:$U$996,$O$992:$O$996,"&lt;"&amp;O995))),"n.a.")</x:f>
        <x:v>0</x:v>
      </x:c>
      <x:c r="Q995" s="22" t="n">
        <x:f>IF(T995="Ready",ROUND(N995+P995,2),"n.a.")</x:f>
        <x:v>0</x:v>
      </x:c>
      <x:c r="R995" s="22" t="n">
        <x:f>IF(T995="Ready",ROUND(Q995-M995,2),"n.a.")</x:f>
        <x:v>0</x:v>
      </x:c>
      <x:c r="S995" s="22" t="n">
        <x:f>IF(T995="Ready",MAX(0,ROUND(I995+M995-Q995,2)),"n.a.")</x:f>
        <x:v>0</x:v>
      </x:c>
      <x:c r="T995" s="22" t="str">
        <x:f>IF(AND(COUNT($I$992:$I$996)=5,COUNT(E995:F995)=2),IF(E995&gt;=F995,"Ready","Budget below minima"),"Check inputs")</x:f>
        <x:v>Ready</x:v>
      </x:c>
      <x:c r="U995" s="22" t="n">
        <x:f>IF(COUNT(I995,M995,N995)=3,MAX(0,ROUND(I995+M995-N995,2)),"n.a.")</x:f>
        <x:v>0</x:v>
      </x:c>
    </x:row>
    <x:row r="996" ht="22" customHeight="1">
      <x:c r="A996" s="2"/>
      <x:c r="B996" s="2"/>
      <x:c r="C996" s="27" t="n">
        <x:f>198</x:f>
        <x:v>198</x:v>
      </x:c>
      <x:c r="D996" s="28" t="n">
        <x:f>IF(ISNUMBER('Inputs'!$D$7),EDATE('Inputs'!$D$7,197),"n.a.")</x:f>
        <x:v>52322</x:v>
      </x:c>
      <x:c r="E996" s="26" t="n">
        <x:f>IF('Inputs'!$D$9&lt;&gt;"Ready","n.a.",IF(ISNUMBER('Inputs'!E216),IF('Inputs'!E216&gt;=0,'Inputs'!E216,"n.a."),IF('Inputs'!E216="",'Inputs'!$D$6,"n.a.")))</x:f>
        <x:v>500</x:v>
      </x:c>
      <x:c r="F996" s="22" t="n">
        <x:f>IF(COUNT($N$992:$N$996)=5,SUM($N$992:$N$996),"n.a.")</x:f>
        <x:v>0</x:v>
      </x:c>
      <x:c r="G996" s="22" t="n">
        <x:f>IF(COUNT(E996:F996)=2,MAX(0,E996-F996),"n.a.")</x:f>
        <x:v>500</x:v>
      </x:c>
      <x:c r="H996" s="26" t="str">
        <x:f>'Inputs'!C15</x:f>
        <x:v>Unused 5</x:v>
      </x:c>
      <x:c r="I996" s="26" t="n">
        <x:f>S991</x:f>
        <x:v>0</x:v>
      </x:c>
      <x:c r="J996" s="29" t="n">
        <x:f>IF('Inputs'!$D$9="Ready",'Inputs'!E15,"n.a.")</x:f>
        <x:v>0</x:v>
      </x:c>
      <x:c r="K996" s="26" t="n">
        <x:f>IF('Inputs'!$D$9="Ready",'Inputs'!F15,"n.a.")</x:f>
        <x:v>0</x:v>
      </x:c>
      <x:c r="L996" s="29" t="n">
        <x:f>IF('Inputs'!$D$9="Ready",'Inputs'!G15,"n.a.")</x:f>
        <x:v>0</x:v>
      </x:c>
      <x:c r="M996" s="22" t="n">
        <x:f>IF(COUNT(I996:L996)=4,ROUND(I996*J996/12,2),"n.a.")</x:f>
        <x:v>0</x:v>
      </x:c>
      <x:c r="N996" s="22" t="n">
        <x:f>IF(COUNT(I996:M996)=5,MIN(I996+M996,ROUND(MAX(K996,I996*L996+M996),2)),"n.a.")</x:f>
        <x:v>0</x:v>
      </x:c>
      <x:c r="O996" s="30" t="n">
        <x:f>IF(COUNT($I$992:$I$996)&lt;&gt;5,"n.a.",IF(I996=0,6,IF('Inputs'!$D$5=1,COUNTIFS($I$992:$I$996,"&gt;0",$I$992:$I$996,"&lt;"&amp;I996)+COUNTIFS($I$992:I996,I996),COUNTIFS($I$992:$I$996,"&gt;0",$J$992:$J$996,"&gt;"&amp;J996)+COUNTIFS($I$992:I996,"&gt;0",$J$992:J996,J996))))</x:f>
        <x:v>6</x:v>
      </x:c>
      <x:c r="P996" s="22" t="n">
        <x:f>IF(T996="Ready",MIN(U996,MAX(0,G996-SUMIFS($U$992:$U$996,$O$992:$O$996,"&lt;"&amp;O996))),"n.a.")</x:f>
        <x:v>0</x:v>
      </x:c>
      <x:c r="Q996" s="22" t="n">
        <x:f>IF(T996="Ready",ROUND(N996+P996,2),"n.a.")</x:f>
        <x:v>0</x:v>
      </x:c>
      <x:c r="R996" s="22" t="n">
        <x:f>IF(T996="Ready",ROUND(Q996-M996,2),"n.a.")</x:f>
        <x:v>0</x:v>
      </x:c>
      <x:c r="S996" s="22" t="n">
        <x:f>IF(T996="Ready",MAX(0,ROUND(I996+M996-Q996,2)),"n.a.")</x:f>
        <x:v>0</x:v>
      </x:c>
      <x:c r="T996" s="22" t="str">
        <x:f>IF(AND(COUNT($I$992:$I$996)=5,COUNT(E996:F996)=2),IF(E996&gt;=F996,"Ready","Budget below minima"),"Check inputs")</x:f>
        <x:v>Ready</x:v>
      </x:c>
      <x:c r="U996" s="22" t="n">
        <x:f>IF(COUNT(I996,M996,N996)=3,MAX(0,ROUND(I996+M996-N996,2)),"n.a.")</x:f>
        <x:v>0</x:v>
      </x:c>
    </x:row>
    <x:row r="997" ht="22" customHeight="1">
      <x:c r="A997" s="2"/>
      <x:c r="B997" s="2"/>
      <x:c r="C997" s="27" t="n">
        <x:f>199</x:f>
        <x:v>199</x:v>
      </x:c>
      <x:c r="D997" s="28" t="n">
        <x:f>IF(ISNUMBER('Inputs'!$D$7),EDATE('Inputs'!$D$7,198),"n.a.")</x:f>
        <x:v>52352</x:v>
      </x:c>
      <x:c r="E997" s="26" t="n">
        <x:f>IF('Inputs'!$D$9&lt;&gt;"Ready","n.a.",IF(ISNUMBER('Inputs'!E217),IF('Inputs'!E217&gt;=0,'Inputs'!E217,"n.a."),IF('Inputs'!E217="",'Inputs'!$D$6,"n.a.")))</x:f>
        <x:v>500</x:v>
      </x:c>
      <x:c r="F997" s="22" t="n">
        <x:f>IF(COUNT($N$997:$N$1001)=5,SUM($N$997:$N$1001),"n.a.")</x:f>
        <x:v>0</x:v>
      </x:c>
      <x:c r="G997" s="22" t="n">
        <x:f>IF(COUNT(E997:F997)=2,MAX(0,E997-F997),"n.a.")</x:f>
        <x:v>500</x:v>
      </x:c>
      <x:c r="H997" s="26" t="str">
        <x:f>'Inputs'!C11</x:f>
        <x:v>Card A</x:v>
      </x:c>
      <x:c r="I997" s="26" t="n">
        <x:f>S992</x:f>
        <x:v>0</x:v>
      </x:c>
      <x:c r="J997" s="29" t="n">
        <x:f>IF('Inputs'!$D$9="Ready",'Inputs'!E11,"n.a.")</x:f>
        <x:v>0.24</x:v>
      </x:c>
      <x:c r="K997" s="26" t="n">
        <x:f>IF('Inputs'!$D$9="Ready",'Inputs'!F11,"n.a.")</x:f>
        <x:v>35</x:v>
      </x:c>
      <x:c r="L997" s="29" t="n">
        <x:f>IF('Inputs'!$D$9="Ready",'Inputs'!G11,"n.a.")</x:f>
        <x:v>0.02</x:v>
      </x:c>
      <x:c r="M997" s="22" t="n">
        <x:f>IF(COUNT(I997:L997)=4,ROUND(I997*J997/12,2),"n.a.")</x:f>
        <x:v>0</x:v>
      </x:c>
      <x:c r="N997" s="22" t="n">
        <x:f>IF(COUNT(I997:M997)=5,MIN(I997+M997,ROUND(MAX(K997,I997*L997+M997),2)),"n.a.")</x:f>
        <x:v>0</x:v>
      </x:c>
      <x:c r="O997" s="30" t="n">
        <x:f>IF(COUNT($I$997:$I$1001)&lt;&gt;5,"n.a.",IF(I997=0,6,IF('Inputs'!$D$5=1,COUNTIFS($I$997:$I$1001,"&gt;0",$I$997:$I$1001,"&lt;"&amp;I997)+COUNTIFS($I$997:I997,I997),COUNTIFS($I$997:$I$1001,"&gt;0",$J$997:$J$1001,"&gt;"&amp;J997)+COUNTIFS($I$997:I997,"&gt;0",$J$997:J997,J997))))</x:f>
        <x:v>6</x:v>
      </x:c>
      <x:c r="P997" s="22" t="n">
        <x:f>IF(T997="Ready",MIN(U997,MAX(0,G997-SUMIFS($U$997:$U$1001,$O$997:$O$1001,"&lt;"&amp;O997))),"n.a.")</x:f>
        <x:v>0</x:v>
      </x:c>
      <x:c r="Q997" s="22" t="n">
        <x:f>IF(T997="Ready",ROUND(N997+P997,2),"n.a.")</x:f>
        <x:v>0</x:v>
      </x:c>
      <x:c r="R997" s="22" t="n">
        <x:f>IF(T997="Ready",ROUND(Q997-M997,2),"n.a.")</x:f>
        <x:v>0</x:v>
      </x:c>
      <x:c r="S997" s="22" t="n">
        <x:f>IF(T997="Ready",MAX(0,ROUND(I997+M997-Q997,2)),"n.a.")</x:f>
        <x:v>0</x:v>
      </x:c>
      <x:c r="T997" s="22" t="str">
        <x:f>IF(AND(COUNT($I$997:$I$1001)=5,COUNT(E997:F997)=2),IF(E997&gt;=F997,"Ready","Budget below minima"),"Check inputs")</x:f>
        <x:v>Ready</x:v>
      </x:c>
      <x:c r="U997" s="22" t="n">
        <x:f>IF(COUNT(I997,M997,N997)=3,MAX(0,ROUND(I997+M997-N997,2)),"n.a.")</x:f>
        <x:v>0</x:v>
      </x:c>
    </x:row>
    <x:row r="998" ht="22" customHeight="1">
      <x:c r="A998" s="2"/>
      <x:c r="B998" s="2"/>
      <x:c r="C998" s="27" t="n">
        <x:f>199</x:f>
        <x:v>199</x:v>
      </x:c>
      <x:c r="D998" s="28" t="n">
        <x:f>IF(ISNUMBER('Inputs'!$D$7),EDATE('Inputs'!$D$7,198),"n.a.")</x:f>
        <x:v>52352</x:v>
      </x:c>
      <x:c r="E998" s="26" t="n">
        <x:f>IF('Inputs'!$D$9&lt;&gt;"Ready","n.a.",IF(ISNUMBER('Inputs'!E217),IF('Inputs'!E217&gt;=0,'Inputs'!E217,"n.a."),IF('Inputs'!E217="",'Inputs'!$D$6,"n.a.")))</x:f>
        <x:v>500</x:v>
      </x:c>
      <x:c r="F998" s="22" t="n">
        <x:f>IF(COUNT($N$997:$N$1001)=5,SUM($N$997:$N$1001),"n.a.")</x:f>
        <x:v>0</x:v>
      </x:c>
      <x:c r="G998" s="22" t="n">
        <x:f>IF(COUNT(E998:F998)=2,MAX(0,E998-F998),"n.a.")</x:f>
        <x:v>500</x:v>
      </x:c>
      <x:c r="H998" s="26" t="str">
        <x:f>'Inputs'!C12</x:f>
        <x:v>Card B</x:v>
      </x:c>
      <x:c r="I998" s="26" t="n">
        <x:f>S993</x:f>
        <x:v>0</x:v>
      </x:c>
      <x:c r="J998" s="29" t="n">
        <x:f>IF('Inputs'!$D$9="Ready",'Inputs'!E12,"n.a.")</x:f>
        <x:v>0.18</x:v>
      </x:c>
      <x:c r="K998" s="26" t="n">
        <x:f>IF('Inputs'!$D$9="Ready",'Inputs'!F12,"n.a.")</x:f>
        <x:v>60</x:v>
      </x:c>
      <x:c r="L998" s="29" t="n">
        <x:f>IF('Inputs'!$D$9="Ready",'Inputs'!G12,"n.a.")</x:f>
        <x:v>0.02</x:v>
      </x:c>
      <x:c r="M998" s="22" t="n">
        <x:f>IF(COUNT(I998:L998)=4,ROUND(I998*J998/12,2),"n.a.")</x:f>
        <x:v>0</x:v>
      </x:c>
      <x:c r="N998" s="22" t="n">
        <x:f>IF(COUNT(I998:M998)=5,MIN(I998+M998,ROUND(MAX(K998,I998*L998+M998),2)),"n.a.")</x:f>
        <x:v>0</x:v>
      </x:c>
      <x:c r="O998" s="30" t="n">
        <x:f>IF(COUNT($I$997:$I$1001)&lt;&gt;5,"n.a.",IF(I998=0,6,IF('Inputs'!$D$5=1,COUNTIFS($I$997:$I$1001,"&gt;0",$I$997:$I$1001,"&lt;"&amp;I998)+COUNTIFS($I$997:I998,I998),COUNTIFS($I$997:$I$1001,"&gt;0",$J$997:$J$1001,"&gt;"&amp;J998)+COUNTIFS($I$997:I998,"&gt;0",$J$997:J998,J998))))</x:f>
        <x:v>6</x:v>
      </x:c>
      <x:c r="P998" s="22" t="n">
        <x:f>IF(T998="Ready",MIN(U998,MAX(0,G998-SUMIFS($U$997:$U$1001,$O$997:$O$1001,"&lt;"&amp;O998))),"n.a.")</x:f>
        <x:v>0</x:v>
      </x:c>
      <x:c r="Q998" s="22" t="n">
        <x:f>IF(T998="Ready",ROUND(N998+P998,2),"n.a.")</x:f>
        <x:v>0</x:v>
      </x:c>
      <x:c r="R998" s="22" t="n">
        <x:f>IF(T998="Ready",ROUND(Q998-M998,2),"n.a.")</x:f>
        <x:v>0</x:v>
      </x:c>
      <x:c r="S998" s="22" t="n">
        <x:f>IF(T998="Ready",MAX(0,ROUND(I998+M998-Q998,2)),"n.a.")</x:f>
        <x:v>0</x:v>
      </x:c>
      <x:c r="T998" s="22" t="str">
        <x:f>IF(AND(COUNT($I$997:$I$1001)=5,COUNT(E998:F998)=2),IF(E998&gt;=F998,"Ready","Budget below minima"),"Check inputs")</x:f>
        <x:v>Ready</x:v>
      </x:c>
      <x:c r="U998" s="22" t="n">
        <x:f>IF(COUNT(I998,M998,N998)=3,MAX(0,ROUND(I998+M998-N998,2)),"n.a.")</x:f>
        <x:v>0</x:v>
      </x:c>
    </x:row>
    <x:row r="999" ht="22" customHeight="1">
      <x:c r="A999" s="2"/>
      <x:c r="B999" s="2"/>
      <x:c r="C999" s="27" t="n">
        <x:f>199</x:f>
        <x:v>199</x:v>
      </x:c>
      <x:c r="D999" s="28" t="n">
        <x:f>IF(ISNUMBER('Inputs'!$D$7),EDATE('Inputs'!$D$7,198),"n.a.")</x:f>
        <x:v>52352</x:v>
      </x:c>
      <x:c r="E999" s="26" t="n">
        <x:f>IF('Inputs'!$D$9&lt;&gt;"Ready","n.a.",IF(ISNUMBER('Inputs'!E217),IF('Inputs'!E217&gt;=0,'Inputs'!E217,"n.a."),IF('Inputs'!E217="",'Inputs'!$D$6,"n.a.")))</x:f>
        <x:v>500</x:v>
      </x:c>
      <x:c r="F999" s="22" t="n">
        <x:f>IF(COUNT($N$997:$N$1001)=5,SUM($N$997:$N$1001),"n.a.")</x:f>
        <x:v>0</x:v>
      </x:c>
      <x:c r="G999" s="22" t="n">
        <x:f>IF(COUNT(E999:F999)=2,MAX(0,E999-F999),"n.a.")</x:f>
        <x:v>500</x:v>
      </x:c>
      <x:c r="H999" s="26" t="str">
        <x:f>'Inputs'!C13</x:f>
        <x:v>Loan C</x:v>
      </x:c>
      <x:c r="I999" s="26" t="n">
        <x:f>S994</x:f>
        <x:v>0</x:v>
      </x:c>
      <x:c r="J999" s="29" t="n">
        <x:f>IF('Inputs'!$D$9="Ready",'Inputs'!E13,"n.a.")</x:f>
        <x:v>0.08</x:v>
      </x:c>
      <x:c r="K999" s="26" t="n">
        <x:f>IF('Inputs'!$D$9="Ready",'Inputs'!F13,"n.a.")</x:f>
        <x:v>150</x:v>
      </x:c>
      <x:c r="L999" s="29" t="n">
        <x:f>IF('Inputs'!$D$9="Ready",'Inputs'!G13,"n.a.")</x:f>
        <x:v>0</x:v>
      </x:c>
      <x:c r="M999" s="22" t="n">
        <x:f>IF(COUNT(I999:L999)=4,ROUND(I999*J999/12,2),"n.a.")</x:f>
        <x:v>0</x:v>
      </x:c>
      <x:c r="N999" s="22" t="n">
        <x:f>IF(COUNT(I999:M999)=5,MIN(I999+M999,ROUND(MAX(K999,I999*L999+M999),2)),"n.a.")</x:f>
        <x:v>0</x:v>
      </x:c>
      <x:c r="O999" s="30" t="n">
        <x:f>IF(COUNT($I$997:$I$1001)&lt;&gt;5,"n.a.",IF(I999=0,6,IF('Inputs'!$D$5=1,COUNTIFS($I$997:$I$1001,"&gt;0",$I$997:$I$1001,"&lt;"&amp;I999)+COUNTIFS($I$997:I999,I999),COUNTIFS($I$997:$I$1001,"&gt;0",$J$997:$J$1001,"&gt;"&amp;J999)+COUNTIFS($I$997:I999,"&gt;0",$J$997:J999,J999))))</x:f>
        <x:v>6</x:v>
      </x:c>
      <x:c r="P999" s="22" t="n">
        <x:f>IF(T999="Ready",MIN(U999,MAX(0,G999-SUMIFS($U$997:$U$1001,$O$997:$O$1001,"&lt;"&amp;O999))),"n.a.")</x:f>
        <x:v>0</x:v>
      </x:c>
      <x:c r="Q999" s="22" t="n">
        <x:f>IF(T999="Ready",ROUND(N999+P999,2),"n.a.")</x:f>
        <x:v>0</x:v>
      </x:c>
      <x:c r="R999" s="22" t="n">
        <x:f>IF(T999="Ready",ROUND(Q999-M999,2),"n.a.")</x:f>
        <x:v>0</x:v>
      </x:c>
      <x:c r="S999" s="22" t="n">
        <x:f>IF(T999="Ready",MAX(0,ROUND(I999+M999-Q999,2)),"n.a.")</x:f>
        <x:v>0</x:v>
      </x:c>
      <x:c r="T999" s="22" t="str">
        <x:f>IF(AND(COUNT($I$997:$I$1001)=5,COUNT(E999:F999)=2),IF(E999&gt;=F999,"Ready","Budget below minima"),"Check inputs")</x:f>
        <x:v>Ready</x:v>
      </x:c>
      <x:c r="U999" s="22" t="n">
        <x:f>IF(COUNT(I999,M999,N999)=3,MAX(0,ROUND(I999+M999-N999,2)),"n.a.")</x:f>
        <x:v>0</x:v>
      </x:c>
    </x:row>
    <x:row r="1000" ht="22" customHeight="1">
      <x:c r="A1000" s="2"/>
      <x:c r="B1000" s="2"/>
      <x:c r="C1000" s="27" t="n">
        <x:f>199</x:f>
        <x:v>199</x:v>
      </x:c>
      <x:c r="D1000" s="28" t="n">
        <x:f>IF(ISNUMBER('Inputs'!$D$7),EDATE('Inputs'!$D$7,198),"n.a.")</x:f>
        <x:v>52352</x:v>
      </x:c>
      <x:c r="E1000" s="26" t="n">
        <x:f>IF('Inputs'!$D$9&lt;&gt;"Ready","n.a.",IF(ISNUMBER('Inputs'!E217),IF('Inputs'!E217&gt;=0,'Inputs'!E217,"n.a."),IF('Inputs'!E217="",'Inputs'!$D$6,"n.a.")))</x:f>
        <x:v>500</x:v>
      </x:c>
      <x:c r="F1000" s="22" t="n">
        <x:f>IF(COUNT($N$997:$N$1001)=5,SUM($N$997:$N$1001),"n.a.")</x:f>
        <x:v>0</x:v>
      </x:c>
      <x:c r="G1000" s="22" t="n">
        <x:f>IF(COUNT(E1000:F1000)=2,MAX(0,E1000-F1000),"n.a.")</x:f>
        <x:v>500</x:v>
      </x:c>
      <x:c r="H1000" s="26" t="str">
        <x:f>'Inputs'!C14</x:f>
        <x:v>Unused 4</x:v>
      </x:c>
      <x:c r="I1000" s="26" t="n">
        <x:f>S995</x:f>
        <x:v>0</x:v>
      </x:c>
      <x:c r="J1000" s="29" t="n">
        <x:f>IF('Inputs'!$D$9="Ready",'Inputs'!E14,"n.a.")</x:f>
        <x:v>0</x:v>
      </x:c>
      <x:c r="K1000" s="26" t="n">
        <x:f>IF('Inputs'!$D$9="Ready",'Inputs'!F14,"n.a.")</x:f>
        <x:v>0</x:v>
      </x:c>
      <x:c r="L1000" s="29" t="n">
        <x:f>IF('Inputs'!$D$9="Ready",'Inputs'!G14,"n.a.")</x:f>
        <x:v>0</x:v>
      </x:c>
      <x:c r="M1000" s="22" t="n">
        <x:f>IF(COUNT(I1000:L1000)=4,ROUND(I1000*J1000/12,2),"n.a.")</x:f>
        <x:v>0</x:v>
      </x:c>
      <x:c r="N1000" s="22" t="n">
        <x:f>IF(COUNT(I1000:M1000)=5,MIN(I1000+M1000,ROUND(MAX(K1000,I1000*L1000+M1000),2)),"n.a.")</x:f>
        <x:v>0</x:v>
      </x:c>
      <x:c r="O1000" s="30" t="n">
        <x:f>IF(COUNT($I$997:$I$1001)&lt;&gt;5,"n.a.",IF(I1000=0,6,IF('Inputs'!$D$5=1,COUNTIFS($I$997:$I$1001,"&gt;0",$I$997:$I$1001,"&lt;"&amp;I1000)+COUNTIFS($I$997:I1000,I1000),COUNTIFS($I$997:$I$1001,"&gt;0",$J$997:$J$1001,"&gt;"&amp;J1000)+COUNTIFS($I$997:I1000,"&gt;0",$J$997:J1000,J1000))))</x:f>
        <x:v>6</x:v>
      </x:c>
      <x:c r="P1000" s="22" t="n">
        <x:f>IF(T1000="Ready",MIN(U1000,MAX(0,G1000-SUMIFS($U$997:$U$1001,$O$997:$O$1001,"&lt;"&amp;O1000))),"n.a.")</x:f>
        <x:v>0</x:v>
      </x:c>
      <x:c r="Q1000" s="22" t="n">
        <x:f>IF(T1000="Ready",ROUND(N1000+P1000,2),"n.a.")</x:f>
        <x:v>0</x:v>
      </x:c>
      <x:c r="R1000" s="22" t="n">
        <x:f>IF(T1000="Ready",ROUND(Q1000-M1000,2),"n.a.")</x:f>
        <x:v>0</x:v>
      </x:c>
      <x:c r="S1000" s="22" t="n">
        <x:f>IF(T1000="Ready",MAX(0,ROUND(I1000+M1000-Q1000,2)),"n.a.")</x:f>
        <x:v>0</x:v>
      </x:c>
      <x:c r="T1000" s="22" t="str">
        <x:f>IF(AND(COUNT($I$997:$I$1001)=5,COUNT(E1000:F1000)=2),IF(E1000&gt;=F1000,"Ready","Budget below minima"),"Check inputs")</x:f>
        <x:v>Ready</x:v>
      </x:c>
      <x:c r="U1000" s="22" t="n">
        <x:f>IF(COUNT(I1000,M1000,N1000)=3,MAX(0,ROUND(I1000+M1000-N1000,2)),"n.a.")</x:f>
        <x:v>0</x:v>
      </x:c>
    </x:row>
    <x:row r="1001" ht="22" customHeight="1">
      <x:c r="A1001" s="2"/>
      <x:c r="B1001" s="2"/>
      <x:c r="C1001" s="27" t="n">
        <x:f>199</x:f>
        <x:v>199</x:v>
      </x:c>
      <x:c r="D1001" s="28" t="n">
        <x:f>IF(ISNUMBER('Inputs'!$D$7),EDATE('Inputs'!$D$7,198),"n.a.")</x:f>
        <x:v>52352</x:v>
      </x:c>
      <x:c r="E1001" s="26" t="n">
        <x:f>IF('Inputs'!$D$9&lt;&gt;"Ready","n.a.",IF(ISNUMBER('Inputs'!E217),IF('Inputs'!E217&gt;=0,'Inputs'!E217,"n.a."),IF('Inputs'!E217="",'Inputs'!$D$6,"n.a.")))</x:f>
        <x:v>500</x:v>
      </x:c>
      <x:c r="F1001" s="22" t="n">
        <x:f>IF(COUNT($N$997:$N$1001)=5,SUM($N$997:$N$1001),"n.a.")</x:f>
        <x:v>0</x:v>
      </x:c>
      <x:c r="G1001" s="22" t="n">
        <x:f>IF(COUNT(E1001:F1001)=2,MAX(0,E1001-F1001),"n.a.")</x:f>
        <x:v>500</x:v>
      </x:c>
      <x:c r="H1001" s="26" t="str">
        <x:f>'Inputs'!C15</x:f>
        <x:v>Unused 5</x:v>
      </x:c>
      <x:c r="I1001" s="26" t="n">
        <x:f>S996</x:f>
        <x:v>0</x:v>
      </x:c>
      <x:c r="J1001" s="29" t="n">
        <x:f>IF('Inputs'!$D$9="Ready",'Inputs'!E15,"n.a.")</x:f>
        <x:v>0</x:v>
      </x:c>
      <x:c r="K1001" s="26" t="n">
        <x:f>IF('Inputs'!$D$9="Ready",'Inputs'!F15,"n.a.")</x:f>
        <x:v>0</x:v>
      </x:c>
      <x:c r="L1001" s="29" t="n">
        <x:f>IF('Inputs'!$D$9="Ready",'Inputs'!G15,"n.a.")</x:f>
        <x:v>0</x:v>
      </x:c>
      <x:c r="M1001" s="22" t="n">
        <x:f>IF(COUNT(I1001:L1001)=4,ROUND(I1001*J1001/12,2),"n.a.")</x:f>
        <x:v>0</x:v>
      </x:c>
      <x:c r="N1001" s="22" t="n">
        <x:f>IF(COUNT(I1001:M1001)=5,MIN(I1001+M1001,ROUND(MAX(K1001,I1001*L1001+M1001),2)),"n.a.")</x:f>
        <x:v>0</x:v>
      </x:c>
      <x:c r="O1001" s="30" t="n">
        <x:f>IF(COUNT($I$997:$I$1001)&lt;&gt;5,"n.a.",IF(I1001=0,6,IF('Inputs'!$D$5=1,COUNTIFS($I$997:$I$1001,"&gt;0",$I$997:$I$1001,"&lt;"&amp;I1001)+COUNTIFS($I$997:I1001,I1001),COUNTIFS($I$997:$I$1001,"&gt;0",$J$997:$J$1001,"&gt;"&amp;J1001)+COUNTIFS($I$997:I1001,"&gt;0",$J$997:J1001,J1001))))</x:f>
        <x:v>6</x:v>
      </x:c>
      <x:c r="P1001" s="22" t="n">
        <x:f>IF(T1001="Ready",MIN(U1001,MAX(0,G1001-SUMIFS($U$997:$U$1001,$O$997:$O$1001,"&lt;"&amp;O1001))),"n.a.")</x:f>
        <x:v>0</x:v>
      </x:c>
      <x:c r="Q1001" s="22" t="n">
        <x:f>IF(T1001="Ready",ROUND(N1001+P1001,2),"n.a.")</x:f>
        <x:v>0</x:v>
      </x:c>
      <x:c r="R1001" s="22" t="n">
        <x:f>IF(T1001="Ready",ROUND(Q1001-M1001,2),"n.a.")</x:f>
        <x:v>0</x:v>
      </x:c>
      <x:c r="S1001" s="22" t="n">
        <x:f>IF(T1001="Ready",MAX(0,ROUND(I1001+M1001-Q1001,2)),"n.a.")</x:f>
        <x:v>0</x:v>
      </x:c>
      <x:c r="T1001" s="22" t="str">
        <x:f>IF(AND(COUNT($I$997:$I$1001)=5,COUNT(E1001:F1001)=2),IF(E1001&gt;=F1001,"Ready","Budget below minima"),"Check inputs")</x:f>
        <x:v>Ready</x:v>
      </x:c>
      <x:c r="U1001" s="22" t="n">
        <x:f>IF(COUNT(I1001,M1001,N1001)=3,MAX(0,ROUND(I1001+M1001-N1001,2)),"n.a.")</x:f>
        <x:v>0</x:v>
      </x:c>
    </x:row>
    <x:row r="1002" ht="22" customHeight="1">
      <x:c r="A1002" s="2"/>
      <x:c r="B1002" s="2"/>
      <x:c r="C1002" s="27" t="n">
        <x:f>200</x:f>
        <x:v>200</x:v>
      </x:c>
      <x:c r="D1002" s="28" t="n">
        <x:f>IF(ISNUMBER('Inputs'!$D$7),EDATE('Inputs'!$D$7,199),"n.a.")</x:f>
        <x:v>52383</x:v>
      </x:c>
      <x:c r="E1002" s="26" t="n">
        <x:f>IF('Inputs'!$D$9&lt;&gt;"Ready","n.a.",IF(ISNUMBER('Inputs'!E218),IF('Inputs'!E218&gt;=0,'Inputs'!E218,"n.a."),IF('Inputs'!E218="",'Inputs'!$D$6,"n.a.")))</x:f>
        <x:v>500</x:v>
      </x:c>
      <x:c r="F1002" s="22" t="n">
        <x:f>IF(COUNT($N$1002:$N$1006)=5,SUM($N$1002:$N$1006),"n.a.")</x:f>
        <x:v>0</x:v>
      </x:c>
      <x:c r="G1002" s="22" t="n">
        <x:f>IF(COUNT(E1002:F1002)=2,MAX(0,E1002-F1002),"n.a.")</x:f>
        <x:v>500</x:v>
      </x:c>
      <x:c r="H1002" s="26" t="str">
        <x:f>'Inputs'!C11</x:f>
        <x:v>Card A</x:v>
      </x:c>
      <x:c r="I1002" s="26" t="n">
        <x:f>S997</x:f>
        <x:v>0</x:v>
      </x:c>
      <x:c r="J1002" s="29" t="n">
        <x:f>IF('Inputs'!$D$9="Ready",'Inputs'!E11,"n.a.")</x:f>
        <x:v>0.24</x:v>
      </x:c>
      <x:c r="K1002" s="26" t="n">
        <x:f>IF('Inputs'!$D$9="Ready",'Inputs'!F11,"n.a.")</x:f>
        <x:v>35</x:v>
      </x:c>
      <x:c r="L1002" s="29" t="n">
        <x:f>IF('Inputs'!$D$9="Ready",'Inputs'!G11,"n.a.")</x:f>
        <x:v>0.02</x:v>
      </x:c>
      <x:c r="M1002" s="22" t="n">
        <x:f>IF(COUNT(I1002:L1002)=4,ROUND(I1002*J1002/12,2),"n.a.")</x:f>
        <x:v>0</x:v>
      </x:c>
      <x:c r="N1002" s="22" t="n">
        <x:f>IF(COUNT(I1002:M1002)=5,MIN(I1002+M1002,ROUND(MAX(K1002,I1002*L1002+M1002),2)),"n.a.")</x:f>
        <x:v>0</x:v>
      </x:c>
      <x:c r="O1002" s="30" t="n">
        <x:f>IF(COUNT($I$1002:$I$1006)&lt;&gt;5,"n.a.",IF(I1002=0,6,IF('Inputs'!$D$5=1,COUNTIFS($I$1002:$I$1006,"&gt;0",$I$1002:$I$1006,"&lt;"&amp;I1002)+COUNTIFS($I$1002:I1002,I1002),COUNTIFS($I$1002:$I$1006,"&gt;0",$J$1002:$J$1006,"&gt;"&amp;J1002)+COUNTIFS($I$1002:I1002,"&gt;0",$J$1002:J1002,J1002))))</x:f>
        <x:v>6</x:v>
      </x:c>
      <x:c r="P1002" s="22" t="n">
        <x:f>IF(T1002="Ready",MIN(U1002,MAX(0,G1002-SUMIFS($U$1002:$U$1006,$O$1002:$O$1006,"&lt;"&amp;O1002))),"n.a.")</x:f>
        <x:v>0</x:v>
      </x:c>
      <x:c r="Q1002" s="22" t="n">
        <x:f>IF(T1002="Ready",ROUND(N1002+P1002,2),"n.a.")</x:f>
        <x:v>0</x:v>
      </x:c>
      <x:c r="R1002" s="22" t="n">
        <x:f>IF(T1002="Ready",ROUND(Q1002-M1002,2),"n.a.")</x:f>
        <x:v>0</x:v>
      </x:c>
      <x:c r="S1002" s="22" t="n">
        <x:f>IF(T1002="Ready",MAX(0,ROUND(I1002+M1002-Q1002,2)),"n.a.")</x:f>
        <x:v>0</x:v>
      </x:c>
      <x:c r="T1002" s="22" t="str">
        <x:f>IF(AND(COUNT($I$1002:$I$1006)=5,COUNT(E1002:F1002)=2),IF(E1002&gt;=F1002,"Ready","Budget below minima"),"Check inputs")</x:f>
        <x:v>Ready</x:v>
      </x:c>
      <x:c r="U1002" s="22" t="n">
        <x:f>IF(COUNT(I1002,M1002,N1002)=3,MAX(0,ROUND(I1002+M1002-N1002,2)),"n.a.")</x:f>
        <x:v>0</x:v>
      </x:c>
    </x:row>
    <x:row r="1003" ht="22" customHeight="1">
      <x:c r="A1003" s="2"/>
      <x:c r="B1003" s="2"/>
      <x:c r="C1003" s="27" t="n">
        <x:f>200</x:f>
        <x:v>200</x:v>
      </x:c>
      <x:c r="D1003" s="28" t="n">
        <x:f>IF(ISNUMBER('Inputs'!$D$7),EDATE('Inputs'!$D$7,199),"n.a.")</x:f>
        <x:v>52383</x:v>
      </x:c>
      <x:c r="E1003" s="26" t="n">
        <x:f>IF('Inputs'!$D$9&lt;&gt;"Ready","n.a.",IF(ISNUMBER('Inputs'!E218),IF('Inputs'!E218&gt;=0,'Inputs'!E218,"n.a."),IF('Inputs'!E218="",'Inputs'!$D$6,"n.a.")))</x:f>
        <x:v>500</x:v>
      </x:c>
      <x:c r="F1003" s="22" t="n">
        <x:f>IF(COUNT($N$1002:$N$1006)=5,SUM($N$1002:$N$1006),"n.a.")</x:f>
        <x:v>0</x:v>
      </x:c>
      <x:c r="G1003" s="22" t="n">
        <x:f>IF(COUNT(E1003:F1003)=2,MAX(0,E1003-F1003),"n.a.")</x:f>
        <x:v>500</x:v>
      </x:c>
      <x:c r="H1003" s="26" t="str">
        <x:f>'Inputs'!C12</x:f>
        <x:v>Card B</x:v>
      </x:c>
      <x:c r="I1003" s="26" t="n">
        <x:f>S998</x:f>
        <x:v>0</x:v>
      </x:c>
      <x:c r="J1003" s="29" t="n">
        <x:f>IF('Inputs'!$D$9="Ready",'Inputs'!E12,"n.a.")</x:f>
        <x:v>0.18</x:v>
      </x:c>
      <x:c r="K1003" s="26" t="n">
        <x:f>IF('Inputs'!$D$9="Ready",'Inputs'!F12,"n.a.")</x:f>
        <x:v>60</x:v>
      </x:c>
      <x:c r="L1003" s="29" t="n">
        <x:f>IF('Inputs'!$D$9="Ready",'Inputs'!G12,"n.a.")</x:f>
        <x:v>0.02</x:v>
      </x:c>
      <x:c r="M1003" s="22" t="n">
        <x:f>IF(COUNT(I1003:L1003)=4,ROUND(I1003*J1003/12,2),"n.a.")</x:f>
        <x:v>0</x:v>
      </x:c>
      <x:c r="N1003" s="22" t="n">
        <x:f>IF(COUNT(I1003:M1003)=5,MIN(I1003+M1003,ROUND(MAX(K1003,I1003*L1003+M1003),2)),"n.a.")</x:f>
        <x:v>0</x:v>
      </x:c>
      <x:c r="O1003" s="30" t="n">
        <x:f>IF(COUNT($I$1002:$I$1006)&lt;&gt;5,"n.a.",IF(I1003=0,6,IF('Inputs'!$D$5=1,COUNTIFS($I$1002:$I$1006,"&gt;0",$I$1002:$I$1006,"&lt;"&amp;I1003)+COUNTIFS($I$1002:I1003,I1003),COUNTIFS($I$1002:$I$1006,"&gt;0",$J$1002:$J$1006,"&gt;"&amp;J1003)+COUNTIFS($I$1002:I1003,"&gt;0",$J$1002:J1003,J1003))))</x:f>
        <x:v>6</x:v>
      </x:c>
      <x:c r="P1003" s="22" t="n">
        <x:f>IF(T1003="Ready",MIN(U1003,MAX(0,G1003-SUMIFS($U$1002:$U$1006,$O$1002:$O$1006,"&lt;"&amp;O1003))),"n.a.")</x:f>
        <x:v>0</x:v>
      </x:c>
      <x:c r="Q1003" s="22" t="n">
        <x:f>IF(T1003="Ready",ROUND(N1003+P1003,2),"n.a.")</x:f>
        <x:v>0</x:v>
      </x:c>
      <x:c r="R1003" s="22" t="n">
        <x:f>IF(T1003="Ready",ROUND(Q1003-M1003,2),"n.a.")</x:f>
        <x:v>0</x:v>
      </x:c>
      <x:c r="S1003" s="22" t="n">
        <x:f>IF(T1003="Ready",MAX(0,ROUND(I1003+M1003-Q1003,2)),"n.a.")</x:f>
        <x:v>0</x:v>
      </x:c>
      <x:c r="T1003" s="22" t="str">
        <x:f>IF(AND(COUNT($I$1002:$I$1006)=5,COUNT(E1003:F1003)=2),IF(E1003&gt;=F1003,"Ready","Budget below minima"),"Check inputs")</x:f>
        <x:v>Ready</x:v>
      </x:c>
      <x:c r="U1003" s="22" t="n">
        <x:f>IF(COUNT(I1003,M1003,N1003)=3,MAX(0,ROUND(I1003+M1003-N1003,2)),"n.a.")</x:f>
        <x:v>0</x:v>
      </x:c>
    </x:row>
    <x:row r="1004" ht="22" customHeight="1">
      <x:c r="A1004" s="2"/>
      <x:c r="B1004" s="2"/>
      <x:c r="C1004" s="27" t="n">
        <x:f>200</x:f>
        <x:v>200</x:v>
      </x:c>
      <x:c r="D1004" s="28" t="n">
        <x:f>IF(ISNUMBER('Inputs'!$D$7),EDATE('Inputs'!$D$7,199),"n.a.")</x:f>
        <x:v>52383</x:v>
      </x:c>
      <x:c r="E1004" s="26" t="n">
        <x:f>IF('Inputs'!$D$9&lt;&gt;"Ready","n.a.",IF(ISNUMBER('Inputs'!E218),IF('Inputs'!E218&gt;=0,'Inputs'!E218,"n.a."),IF('Inputs'!E218="",'Inputs'!$D$6,"n.a.")))</x:f>
        <x:v>500</x:v>
      </x:c>
      <x:c r="F1004" s="22" t="n">
        <x:f>IF(COUNT($N$1002:$N$1006)=5,SUM($N$1002:$N$1006),"n.a.")</x:f>
        <x:v>0</x:v>
      </x:c>
      <x:c r="G1004" s="22" t="n">
        <x:f>IF(COUNT(E1004:F1004)=2,MAX(0,E1004-F1004),"n.a.")</x:f>
        <x:v>500</x:v>
      </x:c>
      <x:c r="H1004" s="26" t="str">
        <x:f>'Inputs'!C13</x:f>
        <x:v>Loan C</x:v>
      </x:c>
      <x:c r="I1004" s="26" t="n">
        <x:f>S999</x:f>
        <x:v>0</x:v>
      </x:c>
      <x:c r="J1004" s="29" t="n">
        <x:f>IF('Inputs'!$D$9="Ready",'Inputs'!E13,"n.a.")</x:f>
        <x:v>0.08</x:v>
      </x:c>
      <x:c r="K1004" s="26" t="n">
        <x:f>IF('Inputs'!$D$9="Ready",'Inputs'!F13,"n.a.")</x:f>
        <x:v>150</x:v>
      </x:c>
      <x:c r="L1004" s="29" t="n">
        <x:f>IF('Inputs'!$D$9="Ready",'Inputs'!G13,"n.a.")</x:f>
        <x:v>0</x:v>
      </x:c>
      <x:c r="M1004" s="22" t="n">
        <x:f>IF(COUNT(I1004:L1004)=4,ROUND(I1004*J1004/12,2),"n.a.")</x:f>
        <x:v>0</x:v>
      </x:c>
      <x:c r="N1004" s="22" t="n">
        <x:f>IF(COUNT(I1004:M1004)=5,MIN(I1004+M1004,ROUND(MAX(K1004,I1004*L1004+M1004),2)),"n.a.")</x:f>
        <x:v>0</x:v>
      </x:c>
      <x:c r="O1004" s="30" t="n">
        <x:f>IF(COUNT($I$1002:$I$1006)&lt;&gt;5,"n.a.",IF(I1004=0,6,IF('Inputs'!$D$5=1,COUNTIFS($I$1002:$I$1006,"&gt;0",$I$1002:$I$1006,"&lt;"&amp;I1004)+COUNTIFS($I$1002:I1004,I1004),COUNTIFS($I$1002:$I$1006,"&gt;0",$J$1002:$J$1006,"&gt;"&amp;J1004)+COUNTIFS($I$1002:I1004,"&gt;0",$J$1002:J1004,J1004))))</x:f>
        <x:v>6</x:v>
      </x:c>
      <x:c r="P1004" s="22" t="n">
        <x:f>IF(T1004="Ready",MIN(U1004,MAX(0,G1004-SUMIFS($U$1002:$U$1006,$O$1002:$O$1006,"&lt;"&amp;O1004))),"n.a.")</x:f>
        <x:v>0</x:v>
      </x:c>
      <x:c r="Q1004" s="22" t="n">
        <x:f>IF(T1004="Ready",ROUND(N1004+P1004,2),"n.a.")</x:f>
        <x:v>0</x:v>
      </x:c>
      <x:c r="R1004" s="22" t="n">
        <x:f>IF(T1004="Ready",ROUND(Q1004-M1004,2),"n.a.")</x:f>
        <x:v>0</x:v>
      </x:c>
      <x:c r="S1004" s="22" t="n">
        <x:f>IF(T1004="Ready",MAX(0,ROUND(I1004+M1004-Q1004,2)),"n.a.")</x:f>
        <x:v>0</x:v>
      </x:c>
      <x:c r="T1004" s="22" t="str">
        <x:f>IF(AND(COUNT($I$1002:$I$1006)=5,COUNT(E1004:F1004)=2),IF(E1004&gt;=F1004,"Ready","Budget below minima"),"Check inputs")</x:f>
        <x:v>Ready</x:v>
      </x:c>
      <x:c r="U1004" s="22" t="n">
        <x:f>IF(COUNT(I1004,M1004,N1004)=3,MAX(0,ROUND(I1004+M1004-N1004,2)),"n.a.")</x:f>
        <x:v>0</x:v>
      </x:c>
    </x:row>
    <x:row r="1005" ht="22" customHeight="1">
      <x:c r="A1005" s="2"/>
      <x:c r="B1005" s="2"/>
      <x:c r="C1005" s="27" t="n">
        <x:f>200</x:f>
        <x:v>200</x:v>
      </x:c>
      <x:c r="D1005" s="28" t="n">
        <x:f>IF(ISNUMBER('Inputs'!$D$7),EDATE('Inputs'!$D$7,199),"n.a.")</x:f>
        <x:v>52383</x:v>
      </x:c>
      <x:c r="E1005" s="26" t="n">
        <x:f>IF('Inputs'!$D$9&lt;&gt;"Ready","n.a.",IF(ISNUMBER('Inputs'!E218),IF('Inputs'!E218&gt;=0,'Inputs'!E218,"n.a."),IF('Inputs'!E218="",'Inputs'!$D$6,"n.a.")))</x:f>
        <x:v>500</x:v>
      </x:c>
      <x:c r="F1005" s="22" t="n">
        <x:f>IF(COUNT($N$1002:$N$1006)=5,SUM($N$1002:$N$1006),"n.a.")</x:f>
        <x:v>0</x:v>
      </x:c>
      <x:c r="G1005" s="22" t="n">
        <x:f>IF(COUNT(E1005:F1005)=2,MAX(0,E1005-F1005),"n.a.")</x:f>
        <x:v>500</x:v>
      </x:c>
      <x:c r="H1005" s="26" t="str">
        <x:f>'Inputs'!C14</x:f>
        <x:v>Unused 4</x:v>
      </x:c>
      <x:c r="I1005" s="26" t="n">
        <x:f>S1000</x:f>
        <x:v>0</x:v>
      </x:c>
      <x:c r="J1005" s="29" t="n">
        <x:f>IF('Inputs'!$D$9="Ready",'Inputs'!E14,"n.a.")</x:f>
        <x:v>0</x:v>
      </x:c>
      <x:c r="K1005" s="26" t="n">
        <x:f>IF('Inputs'!$D$9="Ready",'Inputs'!F14,"n.a.")</x:f>
        <x:v>0</x:v>
      </x:c>
      <x:c r="L1005" s="29" t="n">
        <x:f>IF('Inputs'!$D$9="Ready",'Inputs'!G14,"n.a.")</x:f>
        <x:v>0</x:v>
      </x:c>
      <x:c r="M1005" s="22" t="n">
        <x:f>IF(COUNT(I1005:L1005)=4,ROUND(I1005*J1005/12,2),"n.a.")</x:f>
        <x:v>0</x:v>
      </x:c>
      <x:c r="N1005" s="22" t="n">
        <x:f>IF(COUNT(I1005:M1005)=5,MIN(I1005+M1005,ROUND(MAX(K1005,I1005*L1005+M1005),2)),"n.a.")</x:f>
        <x:v>0</x:v>
      </x:c>
      <x:c r="O1005" s="30" t="n">
        <x:f>IF(COUNT($I$1002:$I$1006)&lt;&gt;5,"n.a.",IF(I1005=0,6,IF('Inputs'!$D$5=1,COUNTIFS($I$1002:$I$1006,"&gt;0",$I$1002:$I$1006,"&lt;"&amp;I1005)+COUNTIFS($I$1002:I1005,I1005),COUNTIFS($I$1002:$I$1006,"&gt;0",$J$1002:$J$1006,"&gt;"&amp;J1005)+COUNTIFS($I$1002:I1005,"&gt;0",$J$1002:J1005,J1005))))</x:f>
        <x:v>6</x:v>
      </x:c>
      <x:c r="P1005" s="22" t="n">
        <x:f>IF(T1005="Ready",MIN(U1005,MAX(0,G1005-SUMIFS($U$1002:$U$1006,$O$1002:$O$1006,"&lt;"&amp;O1005))),"n.a.")</x:f>
        <x:v>0</x:v>
      </x:c>
      <x:c r="Q1005" s="22" t="n">
        <x:f>IF(T1005="Ready",ROUND(N1005+P1005,2),"n.a.")</x:f>
        <x:v>0</x:v>
      </x:c>
      <x:c r="R1005" s="22" t="n">
        <x:f>IF(T1005="Ready",ROUND(Q1005-M1005,2),"n.a.")</x:f>
        <x:v>0</x:v>
      </x:c>
      <x:c r="S1005" s="22" t="n">
        <x:f>IF(T1005="Ready",MAX(0,ROUND(I1005+M1005-Q1005,2)),"n.a.")</x:f>
        <x:v>0</x:v>
      </x:c>
      <x:c r="T1005" s="22" t="str">
        <x:f>IF(AND(COUNT($I$1002:$I$1006)=5,COUNT(E1005:F1005)=2),IF(E1005&gt;=F1005,"Ready","Budget below minima"),"Check inputs")</x:f>
        <x:v>Ready</x:v>
      </x:c>
      <x:c r="U1005" s="22" t="n">
        <x:f>IF(COUNT(I1005,M1005,N1005)=3,MAX(0,ROUND(I1005+M1005-N1005,2)),"n.a.")</x:f>
        <x:v>0</x:v>
      </x:c>
    </x:row>
    <x:row r="1006" ht="22" customHeight="1">
      <x:c r="A1006" s="2"/>
      <x:c r="B1006" s="2"/>
      <x:c r="C1006" s="27" t="n">
        <x:f>200</x:f>
        <x:v>200</x:v>
      </x:c>
      <x:c r="D1006" s="28" t="n">
        <x:f>IF(ISNUMBER('Inputs'!$D$7),EDATE('Inputs'!$D$7,199),"n.a.")</x:f>
        <x:v>52383</x:v>
      </x:c>
      <x:c r="E1006" s="26" t="n">
        <x:f>IF('Inputs'!$D$9&lt;&gt;"Ready","n.a.",IF(ISNUMBER('Inputs'!E218),IF('Inputs'!E218&gt;=0,'Inputs'!E218,"n.a."),IF('Inputs'!E218="",'Inputs'!$D$6,"n.a.")))</x:f>
        <x:v>500</x:v>
      </x:c>
      <x:c r="F1006" s="22" t="n">
        <x:f>IF(COUNT($N$1002:$N$1006)=5,SUM($N$1002:$N$1006),"n.a.")</x:f>
        <x:v>0</x:v>
      </x:c>
      <x:c r="G1006" s="22" t="n">
        <x:f>IF(COUNT(E1006:F1006)=2,MAX(0,E1006-F1006),"n.a.")</x:f>
        <x:v>500</x:v>
      </x:c>
      <x:c r="H1006" s="26" t="str">
        <x:f>'Inputs'!C15</x:f>
        <x:v>Unused 5</x:v>
      </x:c>
      <x:c r="I1006" s="26" t="n">
        <x:f>S1001</x:f>
        <x:v>0</x:v>
      </x:c>
      <x:c r="J1006" s="29" t="n">
        <x:f>IF('Inputs'!$D$9="Ready",'Inputs'!E15,"n.a.")</x:f>
        <x:v>0</x:v>
      </x:c>
      <x:c r="K1006" s="26" t="n">
        <x:f>IF('Inputs'!$D$9="Ready",'Inputs'!F15,"n.a.")</x:f>
        <x:v>0</x:v>
      </x:c>
      <x:c r="L1006" s="29" t="n">
        <x:f>IF('Inputs'!$D$9="Ready",'Inputs'!G15,"n.a.")</x:f>
        <x:v>0</x:v>
      </x:c>
      <x:c r="M1006" s="22" t="n">
        <x:f>IF(COUNT(I1006:L1006)=4,ROUND(I1006*J1006/12,2),"n.a.")</x:f>
        <x:v>0</x:v>
      </x:c>
      <x:c r="N1006" s="22" t="n">
        <x:f>IF(COUNT(I1006:M1006)=5,MIN(I1006+M1006,ROUND(MAX(K1006,I1006*L1006+M1006),2)),"n.a.")</x:f>
        <x:v>0</x:v>
      </x:c>
      <x:c r="O1006" s="30" t="n">
        <x:f>IF(COUNT($I$1002:$I$1006)&lt;&gt;5,"n.a.",IF(I1006=0,6,IF('Inputs'!$D$5=1,COUNTIFS($I$1002:$I$1006,"&gt;0",$I$1002:$I$1006,"&lt;"&amp;I1006)+COUNTIFS($I$1002:I1006,I1006),COUNTIFS($I$1002:$I$1006,"&gt;0",$J$1002:$J$1006,"&gt;"&amp;J1006)+COUNTIFS($I$1002:I1006,"&gt;0",$J$1002:J1006,J1006))))</x:f>
        <x:v>6</x:v>
      </x:c>
      <x:c r="P1006" s="22" t="n">
        <x:f>IF(T1006="Ready",MIN(U1006,MAX(0,G1006-SUMIFS($U$1002:$U$1006,$O$1002:$O$1006,"&lt;"&amp;O1006))),"n.a.")</x:f>
        <x:v>0</x:v>
      </x:c>
      <x:c r="Q1006" s="22" t="n">
        <x:f>IF(T1006="Ready",ROUND(N1006+P1006,2),"n.a.")</x:f>
        <x:v>0</x:v>
      </x:c>
      <x:c r="R1006" s="22" t="n">
        <x:f>IF(T1006="Ready",ROUND(Q1006-M1006,2),"n.a.")</x:f>
        <x:v>0</x:v>
      </x:c>
      <x:c r="S1006" s="22" t="n">
        <x:f>IF(T1006="Ready",MAX(0,ROUND(I1006+M1006-Q1006,2)),"n.a.")</x:f>
        <x:v>0</x:v>
      </x:c>
      <x:c r="T1006" s="22" t="str">
        <x:f>IF(AND(COUNT($I$1002:$I$1006)=5,COUNT(E1006:F1006)=2),IF(E1006&gt;=F1006,"Ready","Budget below minima"),"Check inputs")</x:f>
        <x:v>Ready</x:v>
      </x:c>
      <x:c r="U1006" s="22" t="n">
        <x:f>IF(COUNT(I1006,M1006,N1006)=3,MAX(0,ROUND(I1006+M1006-N1006,2)),"n.a.")</x:f>
        <x:v>0</x:v>
      </x:c>
    </x:row>
    <x:row r="1007" ht="22" customHeight="1">
      <x:c r="A1007" s="2"/>
      <x:c r="B1007" s="2"/>
      <x:c r="C1007" s="27" t="n">
        <x:f>201</x:f>
        <x:v>201</x:v>
      </x:c>
      <x:c r="D1007" s="28" t="n">
        <x:f>IF(ISNUMBER('Inputs'!$D$7),EDATE('Inputs'!$D$7,200),"n.a.")</x:f>
        <x:v>52413</x:v>
      </x:c>
      <x:c r="E1007" s="26" t="n">
        <x:f>IF('Inputs'!$D$9&lt;&gt;"Ready","n.a.",IF(ISNUMBER('Inputs'!E219),IF('Inputs'!E219&gt;=0,'Inputs'!E219,"n.a."),IF('Inputs'!E219="",'Inputs'!$D$6,"n.a.")))</x:f>
        <x:v>500</x:v>
      </x:c>
      <x:c r="F1007" s="22" t="n">
        <x:f>IF(COUNT($N$1007:$N$1011)=5,SUM($N$1007:$N$1011),"n.a.")</x:f>
        <x:v>0</x:v>
      </x:c>
      <x:c r="G1007" s="22" t="n">
        <x:f>IF(COUNT(E1007:F1007)=2,MAX(0,E1007-F1007),"n.a.")</x:f>
        <x:v>500</x:v>
      </x:c>
      <x:c r="H1007" s="26" t="str">
        <x:f>'Inputs'!C11</x:f>
        <x:v>Card A</x:v>
      </x:c>
      <x:c r="I1007" s="26" t="n">
        <x:f>S1002</x:f>
        <x:v>0</x:v>
      </x:c>
      <x:c r="J1007" s="29" t="n">
        <x:f>IF('Inputs'!$D$9="Ready",'Inputs'!E11,"n.a.")</x:f>
        <x:v>0.24</x:v>
      </x:c>
      <x:c r="K1007" s="26" t="n">
        <x:f>IF('Inputs'!$D$9="Ready",'Inputs'!F11,"n.a.")</x:f>
        <x:v>35</x:v>
      </x:c>
      <x:c r="L1007" s="29" t="n">
        <x:f>IF('Inputs'!$D$9="Ready",'Inputs'!G11,"n.a.")</x:f>
        <x:v>0.02</x:v>
      </x:c>
      <x:c r="M1007" s="22" t="n">
        <x:f>IF(COUNT(I1007:L1007)=4,ROUND(I1007*J1007/12,2),"n.a.")</x:f>
        <x:v>0</x:v>
      </x:c>
      <x:c r="N1007" s="22" t="n">
        <x:f>IF(COUNT(I1007:M1007)=5,MIN(I1007+M1007,ROUND(MAX(K1007,I1007*L1007+M1007),2)),"n.a.")</x:f>
        <x:v>0</x:v>
      </x:c>
      <x:c r="O1007" s="30" t="n">
        <x:f>IF(COUNT($I$1007:$I$1011)&lt;&gt;5,"n.a.",IF(I1007=0,6,IF('Inputs'!$D$5=1,COUNTIFS($I$1007:$I$1011,"&gt;0",$I$1007:$I$1011,"&lt;"&amp;I1007)+COUNTIFS($I$1007:I1007,I1007),COUNTIFS($I$1007:$I$1011,"&gt;0",$J$1007:$J$1011,"&gt;"&amp;J1007)+COUNTIFS($I$1007:I1007,"&gt;0",$J$1007:J1007,J1007))))</x:f>
        <x:v>6</x:v>
      </x:c>
      <x:c r="P1007" s="22" t="n">
        <x:f>IF(T1007="Ready",MIN(U1007,MAX(0,G1007-SUMIFS($U$1007:$U$1011,$O$1007:$O$1011,"&lt;"&amp;O1007))),"n.a.")</x:f>
        <x:v>0</x:v>
      </x:c>
      <x:c r="Q1007" s="22" t="n">
        <x:f>IF(T1007="Ready",ROUND(N1007+P1007,2),"n.a.")</x:f>
        <x:v>0</x:v>
      </x:c>
      <x:c r="R1007" s="22" t="n">
        <x:f>IF(T1007="Ready",ROUND(Q1007-M1007,2),"n.a.")</x:f>
        <x:v>0</x:v>
      </x:c>
      <x:c r="S1007" s="22" t="n">
        <x:f>IF(T1007="Ready",MAX(0,ROUND(I1007+M1007-Q1007,2)),"n.a.")</x:f>
        <x:v>0</x:v>
      </x:c>
      <x:c r="T1007" s="22" t="str">
        <x:f>IF(AND(COUNT($I$1007:$I$1011)=5,COUNT(E1007:F1007)=2),IF(E1007&gt;=F1007,"Ready","Budget below minima"),"Check inputs")</x:f>
        <x:v>Ready</x:v>
      </x:c>
      <x:c r="U1007" s="22" t="n">
        <x:f>IF(COUNT(I1007,M1007,N1007)=3,MAX(0,ROUND(I1007+M1007-N1007,2)),"n.a.")</x:f>
        <x:v>0</x:v>
      </x:c>
    </x:row>
    <x:row r="1008" ht="22" customHeight="1">
      <x:c r="A1008" s="2"/>
      <x:c r="B1008" s="2"/>
      <x:c r="C1008" s="27" t="n">
        <x:f>201</x:f>
        <x:v>201</x:v>
      </x:c>
      <x:c r="D1008" s="28" t="n">
        <x:f>IF(ISNUMBER('Inputs'!$D$7),EDATE('Inputs'!$D$7,200),"n.a.")</x:f>
        <x:v>52413</x:v>
      </x:c>
      <x:c r="E1008" s="26" t="n">
        <x:f>IF('Inputs'!$D$9&lt;&gt;"Ready","n.a.",IF(ISNUMBER('Inputs'!E219),IF('Inputs'!E219&gt;=0,'Inputs'!E219,"n.a."),IF('Inputs'!E219="",'Inputs'!$D$6,"n.a.")))</x:f>
        <x:v>500</x:v>
      </x:c>
      <x:c r="F1008" s="22" t="n">
        <x:f>IF(COUNT($N$1007:$N$1011)=5,SUM($N$1007:$N$1011),"n.a.")</x:f>
        <x:v>0</x:v>
      </x:c>
      <x:c r="G1008" s="22" t="n">
        <x:f>IF(COUNT(E1008:F1008)=2,MAX(0,E1008-F1008),"n.a.")</x:f>
        <x:v>500</x:v>
      </x:c>
      <x:c r="H1008" s="26" t="str">
        <x:f>'Inputs'!C12</x:f>
        <x:v>Card B</x:v>
      </x:c>
      <x:c r="I1008" s="26" t="n">
        <x:f>S1003</x:f>
        <x:v>0</x:v>
      </x:c>
      <x:c r="J1008" s="29" t="n">
        <x:f>IF('Inputs'!$D$9="Ready",'Inputs'!E12,"n.a.")</x:f>
        <x:v>0.18</x:v>
      </x:c>
      <x:c r="K1008" s="26" t="n">
        <x:f>IF('Inputs'!$D$9="Ready",'Inputs'!F12,"n.a.")</x:f>
        <x:v>60</x:v>
      </x:c>
      <x:c r="L1008" s="29" t="n">
        <x:f>IF('Inputs'!$D$9="Ready",'Inputs'!G12,"n.a.")</x:f>
        <x:v>0.02</x:v>
      </x:c>
      <x:c r="M1008" s="22" t="n">
        <x:f>IF(COUNT(I1008:L1008)=4,ROUND(I1008*J1008/12,2),"n.a.")</x:f>
        <x:v>0</x:v>
      </x:c>
      <x:c r="N1008" s="22" t="n">
        <x:f>IF(COUNT(I1008:M1008)=5,MIN(I1008+M1008,ROUND(MAX(K1008,I1008*L1008+M1008),2)),"n.a.")</x:f>
        <x:v>0</x:v>
      </x:c>
      <x:c r="O1008" s="30" t="n">
        <x:f>IF(COUNT($I$1007:$I$1011)&lt;&gt;5,"n.a.",IF(I1008=0,6,IF('Inputs'!$D$5=1,COUNTIFS($I$1007:$I$1011,"&gt;0",$I$1007:$I$1011,"&lt;"&amp;I1008)+COUNTIFS($I$1007:I1008,I1008),COUNTIFS($I$1007:$I$1011,"&gt;0",$J$1007:$J$1011,"&gt;"&amp;J1008)+COUNTIFS($I$1007:I1008,"&gt;0",$J$1007:J1008,J1008))))</x:f>
        <x:v>6</x:v>
      </x:c>
      <x:c r="P1008" s="22" t="n">
        <x:f>IF(T1008="Ready",MIN(U1008,MAX(0,G1008-SUMIFS($U$1007:$U$1011,$O$1007:$O$1011,"&lt;"&amp;O1008))),"n.a.")</x:f>
        <x:v>0</x:v>
      </x:c>
      <x:c r="Q1008" s="22" t="n">
        <x:f>IF(T1008="Ready",ROUND(N1008+P1008,2),"n.a.")</x:f>
        <x:v>0</x:v>
      </x:c>
      <x:c r="R1008" s="22" t="n">
        <x:f>IF(T1008="Ready",ROUND(Q1008-M1008,2),"n.a.")</x:f>
        <x:v>0</x:v>
      </x:c>
      <x:c r="S1008" s="22" t="n">
        <x:f>IF(T1008="Ready",MAX(0,ROUND(I1008+M1008-Q1008,2)),"n.a.")</x:f>
        <x:v>0</x:v>
      </x:c>
      <x:c r="T1008" s="22" t="str">
        <x:f>IF(AND(COUNT($I$1007:$I$1011)=5,COUNT(E1008:F1008)=2),IF(E1008&gt;=F1008,"Ready","Budget below minima"),"Check inputs")</x:f>
        <x:v>Ready</x:v>
      </x:c>
      <x:c r="U1008" s="22" t="n">
        <x:f>IF(COUNT(I1008,M1008,N1008)=3,MAX(0,ROUND(I1008+M1008-N1008,2)),"n.a.")</x:f>
        <x:v>0</x:v>
      </x:c>
    </x:row>
    <x:row r="1009" ht="22" customHeight="1">
      <x:c r="A1009" s="2"/>
      <x:c r="B1009" s="2"/>
      <x:c r="C1009" s="27" t="n">
        <x:f>201</x:f>
        <x:v>201</x:v>
      </x:c>
      <x:c r="D1009" s="28" t="n">
        <x:f>IF(ISNUMBER('Inputs'!$D$7),EDATE('Inputs'!$D$7,200),"n.a.")</x:f>
        <x:v>52413</x:v>
      </x:c>
      <x:c r="E1009" s="26" t="n">
        <x:f>IF('Inputs'!$D$9&lt;&gt;"Ready","n.a.",IF(ISNUMBER('Inputs'!E219),IF('Inputs'!E219&gt;=0,'Inputs'!E219,"n.a."),IF('Inputs'!E219="",'Inputs'!$D$6,"n.a.")))</x:f>
        <x:v>500</x:v>
      </x:c>
      <x:c r="F1009" s="22" t="n">
        <x:f>IF(COUNT($N$1007:$N$1011)=5,SUM($N$1007:$N$1011),"n.a.")</x:f>
        <x:v>0</x:v>
      </x:c>
      <x:c r="G1009" s="22" t="n">
        <x:f>IF(COUNT(E1009:F1009)=2,MAX(0,E1009-F1009),"n.a.")</x:f>
        <x:v>500</x:v>
      </x:c>
      <x:c r="H1009" s="26" t="str">
        <x:f>'Inputs'!C13</x:f>
        <x:v>Loan C</x:v>
      </x:c>
      <x:c r="I1009" s="26" t="n">
        <x:f>S1004</x:f>
        <x:v>0</x:v>
      </x:c>
      <x:c r="J1009" s="29" t="n">
        <x:f>IF('Inputs'!$D$9="Ready",'Inputs'!E13,"n.a.")</x:f>
        <x:v>0.08</x:v>
      </x:c>
      <x:c r="K1009" s="26" t="n">
        <x:f>IF('Inputs'!$D$9="Ready",'Inputs'!F13,"n.a.")</x:f>
        <x:v>150</x:v>
      </x:c>
      <x:c r="L1009" s="29" t="n">
        <x:f>IF('Inputs'!$D$9="Ready",'Inputs'!G13,"n.a.")</x:f>
        <x:v>0</x:v>
      </x:c>
      <x:c r="M1009" s="22" t="n">
        <x:f>IF(COUNT(I1009:L1009)=4,ROUND(I1009*J1009/12,2),"n.a.")</x:f>
        <x:v>0</x:v>
      </x:c>
      <x:c r="N1009" s="22" t="n">
        <x:f>IF(COUNT(I1009:M1009)=5,MIN(I1009+M1009,ROUND(MAX(K1009,I1009*L1009+M1009),2)),"n.a.")</x:f>
        <x:v>0</x:v>
      </x:c>
      <x:c r="O1009" s="30" t="n">
        <x:f>IF(COUNT($I$1007:$I$1011)&lt;&gt;5,"n.a.",IF(I1009=0,6,IF('Inputs'!$D$5=1,COUNTIFS($I$1007:$I$1011,"&gt;0",$I$1007:$I$1011,"&lt;"&amp;I1009)+COUNTIFS($I$1007:I1009,I1009),COUNTIFS($I$1007:$I$1011,"&gt;0",$J$1007:$J$1011,"&gt;"&amp;J1009)+COUNTIFS($I$1007:I1009,"&gt;0",$J$1007:J1009,J1009))))</x:f>
        <x:v>6</x:v>
      </x:c>
      <x:c r="P1009" s="22" t="n">
        <x:f>IF(T1009="Ready",MIN(U1009,MAX(0,G1009-SUMIFS($U$1007:$U$1011,$O$1007:$O$1011,"&lt;"&amp;O1009))),"n.a.")</x:f>
        <x:v>0</x:v>
      </x:c>
      <x:c r="Q1009" s="22" t="n">
        <x:f>IF(T1009="Ready",ROUND(N1009+P1009,2),"n.a.")</x:f>
        <x:v>0</x:v>
      </x:c>
      <x:c r="R1009" s="22" t="n">
        <x:f>IF(T1009="Ready",ROUND(Q1009-M1009,2),"n.a.")</x:f>
        <x:v>0</x:v>
      </x:c>
      <x:c r="S1009" s="22" t="n">
        <x:f>IF(T1009="Ready",MAX(0,ROUND(I1009+M1009-Q1009,2)),"n.a.")</x:f>
        <x:v>0</x:v>
      </x:c>
      <x:c r="T1009" s="22" t="str">
        <x:f>IF(AND(COUNT($I$1007:$I$1011)=5,COUNT(E1009:F1009)=2),IF(E1009&gt;=F1009,"Ready","Budget below minima"),"Check inputs")</x:f>
        <x:v>Ready</x:v>
      </x:c>
      <x:c r="U1009" s="22" t="n">
        <x:f>IF(COUNT(I1009,M1009,N1009)=3,MAX(0,ROUND(I1009+M1009-N1009,2)),"n.a.")</x:f>
        <x:v>0</x:v>
      </x:c>
    </x:row>
    <x:row r="1010" ht="22" customHeight="1">
      <x:c r="A1010" s="2"/>
      <x:c r="B1010" s="2"/>
      <x:c r="C1010" s="27" t="n">
        <x:f>201</x:f>
        <x:v>201</x:v>
      </x:c>
      <x:c r="D1010" s="28" t="n">
        <x:f>IF(ISNUMBER('Inputs'!$D$7),EDATE('Inputs'!$D$7,200),"n.a.")</x:f>
        <x:v>52413</x:v>
      </x:c>
      <x:c r="E1010" s="26" t="n">
        <x:f>IF('Inputs'!$D$9&lt;&gt;"Ready","n.a.",IF(ISNUMBER('Inputs'!E219),IF('Inputs'!E219&gt;=0,'Inputs'!E219,"n.a."),IF('Inputs'!E219="",'Inputs'!$D$6,"n.a.")))</x:f>
        <x:v>500</x:v>
      </x:c>
      <x:c r="F1010" s="22" t="n">
        <x:f>IF(COUNT($N$1007:$N$1011)=5,SUM($N$1007:$N$1011),"n.a.")</x:f>
        <x:v>0</x:v>
      </x:c>
      <x:c r="G1010" s="22" t="n">
        <x:f>IF(COUNT(E1010:F1010)=2,MAX(0,E1010-F1010),"n.a.")</x:f>
        <x:v>500</x:v>
      </x:c>
      <x:c r="H1010" s="26" t="str">
        <x:f>'Inputs'!C14</x:f>
        <x:v>Unused 4</x:v>
      </x:c>
      <x:c r="I1010" s="26" t="n">
        <x:f>S1005</x:f>
        <x:v>0</x:v>
      </x:c>
      <x:c r="J1010" s="29" t="n">
        <x:f>IF('Inputs'!$D$9="Ready",'Inputs'!E14,"n.a.")</x:f>
        <x:v>0</x:v>
      </x:c>
      <x:c r="K1010" s="26" t="n">
        <x:f>IF('Inputs'!$D$9="Ready",'Inputs'!F14,"n.a.")</x:f>
        <x:v>0</x:v>
      </x:c>
      <x:c r="L1010" s="29" t="n">
        <x:f>IF('Inputs'!$D$9="Ready",'Inputs'!G14,"n.a.")</x:f>
        <x:v>0</x:v>
      </x:c>
      <x:c r="M1010" s="22" t="n">
        <x:f>IF(COUNT(I1010:L1010)=4,ROUND(I1010*J1010/12,2),"n.a.")</x:f>
        <x:v>0</x:v>
      </x:c>
      <x:c r="N1010" s="22" t="n">
        <x:f>IF(COUNT(I1010:M1010)=5,MIN(I1010+M1010,ROUND(MAX(K1010,I1010*L1010+M1010),2)),"n.a.")</x:f>
        <x:v>0</x:v>
      </x:c>
      <x:c r="O1010" s="30" t="n">
        <x:f>IF(COUNT($I$1007:$I$1011)&lt;&gt;5,"n.a.",IF(I1010=0,6,IF('Inputs'!$D$5=1,COUNTIFS($I$1007:$I$1011,"&gt;0",$I$1007:$I$1011,"&lt;"&amp;I1010)+COUNTIFS($I$1007:I1010,I1010),COUNTIFS($I$1007:$I$1011,"&gt;0",$J$1007:$J$1011,"&gt;"&amp;J1010)+COUNTIFS($I$1007:I1010,"&gt;0",$J$1007:J1010,J1010))))</x:f>
        <x:v>6</x:v>
      </x:c>
      <x:c r="P1010" s="22" t="n">
        <x:f>IF(T1010="Ready",MIN(U1010,MAX(0,G1010-SUMIFS($U$1007:$U$1011,$O$1007:$O$1011,"&lt;"&amp;O1010))),"n.a.")</x:f>
        <x:v>0</x:v>
      </x:c>
      <x:c r="Q1010" s="22" t="n">
        <x:f>IF(T1010="Ready",ROUND(N1010+P1010,2),"n.a.")</x:f>
        <x:v>0</x:v>
      </x:c>
      <x:c r="R1010" s="22" t="n">
        <x:f>IF(T1010="Ready",ROUND(Q1010-M1010,2),"n.a.")</x:f>
        <x:v>0</x:v>
      </x:c>
      <x:c r="S1010" s="22" t="n">
        <x:f>IF(T1010="Ready",MAX(0,ROUND(I1010+M1010-Q1010,2)),"n.a.")</x:f>
        <x:v>0</x:v>
      </x:c>
      <x:c r="T1010" s="22" t="str">
        <x:f>IF(AND(COUNT($I$1007:$I$1011)=5,COUNT(E1010:F1010)=2),IF(E1010&gt;=F1010,"Ready","Budget below minima"),"Check inputs")</x:f>
        <x:v>Ready</x:v>
      </x:c>
      <x:c r="U1010" s="22" t="n">
        <x:f>IF(COUNT(I1010,M1010,N1010)=3,MAX(0,ROUND(I1010+M1010-N1010,2)),"n.a.")</x:f>
        <x:v>0</x:v>
      </x:c>
    </x:row>
    <x:row r="1011" ht="22" customHeight="1">
      <x:c r="A1011" s="2"/>
      <x:c r="B1011" s="2"/>
      <x:c r="C1011" s="27" t="n">
        <x:f>201</x:f>
        <x:v>201</x:v>
      </x:c>
      <x:c r="D1011" s="28" t="n">
        <x:f>IF(ISNUMBER('Inputs'!$D$7),EDATE('Inputs'!$D$7,200),"n.a.")</x:f>
        <x:v>52413</x:v>
      </x:c>
      <x:c r="E1011" s="26" t="n">
        <x:f>IF('Inputs'!$D$9&lt;&gt;"Ready","n.a.",IF(ISNUMBER('Inputs'!E219),IF('Inputs'!E219&gt;=0,'Inputs'!E219,"n.a."),IF('Inputs'!E219="",'Inputs'!$D$6,"n.a.")))</x:f>
        <x:v>500</x:v>
      </x:c>
      <x:c r="F1011" s="22" t="n">
        <x:f>IF(COUNT($N$1007:$N$1011)=5,SUM($N$1007:$N$1011),"n.a.")</x:f>
        <x:v>0</x:v>
      </x:c>
      <x:c r="G1011" s="22" t="n">
        <x:f>IF(COUNT(E1011:F1011)=2,MAX(0,E1011-F1011),"n.a.")</x:f>
        <x:v>500</x:v>
      </x:c>
      <x:c r="H1011" s="26" t="str">
        <x:f>'Inputs'!C15</x:f>
        <x:v>Unused 5</x:v>
      </x:c>
      <x:c r="I1011" s="26" t="n">
        <x:f>S1006</x:f>
        <x:v>0</x:v>
      </x:c>
      <x:c r="J1011" s="29" t="n">
        <x:f>IF('Inputs'!$D$9="Ready",'Inputs'!E15,"n.a.")</x:f>
        <x:v>0</x:v>
      </x:c>
      <x:c r="K1011" s="26" t="n">
        <x:f>IF('Inputs'!$D$9="Ready",'Inputs'!F15,"n.a.")</x:f>
        <x:v>0</x:v>
      </x:c>
      <x:c r="L1011" s="29" t="n">
        <x:f>IF('Inputs'!$D$9="Ready",'Inputs'!G15,"n.a.")</x:f>
        <x:v>0</x:v>
      </x:c>
      <x:c r="M1011" s="22" t="n">
        <x:f>IF(COUNT(I1011:L1011)=4,ROUND(I1011*J1011/12,2),"n.a.")</x:f>
        <x:v>0</x:v>
      </x:c>
      <x:c r="N1011" s="22" t="n">
        <x:f>IF(COUNT(I1011:M1011)=5,MIN(I1011+M1011,ROUND(MAX(K1011,I1011*L1011+M1011),2)),"n.a.")</x:f>
        <x:v>0</x:v>
      </x:c>
      <x:c r="O1011" s="30" t="n">
        <x:f>IF(COUNT($I$1007:$I$1011)&lt;&gt;5,"n.a.",IF(I1011=0,6,IF('Inputs'!$D$5=1,COUNTIFS($I$1007:$I$1011,"&gt;0",$I$1007:$I$1011,"&lt;"&amp;I1011)+COUNTIFS($I$1007:I1011,I1011),COUNTIFS($I$1007:$I$1011,"&gt;0",$J$1007:$J$1011,"&gt;"&amp;J1011)+COUNTIFS($I$1007:I1011,"&gt;0",$J$1007:J1011,J1011))))</x:f>
        <x:v>6</x:v>
      </x:c>
      <x:c r="P1011" s="22" t="n">
        <x:f>IF(T1011="Ready",MIN(U1011,MAX(0,G1011-SUMIFS($U$1007:$U$1011,$O$1007:$O$1011,"&lt;"&amp;O1011))),"n.a.")</x:f>
        <x:v>0</x:v>
      </x:c>
      <x:c r="Q1011" s="22" t="n">
        <x:f>IF(T1011="Ready",ROUND(N1011+P1011,2),"n.a.")</x:f>
        <x:v>0</x:v>
      </x:c>
      <x:c r="R1011" s="22" t="n">
        <x:f>IF(T1011="Ready",ROUND(Q1011-M1011,2),"n.a.")</x:f>
        <x:v>0</x:v>
      </x:c>
      <x:c r="S1011" s="22" t="n">
        <x:f>IF(T1011="Ready",MAX(0,ROUND(I1011+M1011-Q1011,2)),"n.a.")</x:f>
        <x:v>0</x:v>
      </x:c>
      <x:c r="T1011" s="22" t="str">
        <x:f>IF(AND(COUNT($I$1007:$I$1011)=5,COUNT(E1011:F1011)=2),IF(E1011&gt;=F1011,"Ready","Budget below minima"),"Check inputs")</x:f>
        <x:v>Ready</x:v>
      </x:c>
      <x:c r="U1011" s="22" t="n">
        <x:f>IF(COUNT(I1011,M1011,N1011)=3,MAX(0,ROUND(I1011+M1011-N1011,2)),"n.a.")</x:f>
        <x:v>0</x:v>
      </x:c>
    </x:row>
    <x:row r="1012" ht="22" customHeight="1">
      <x:c r="A1012" s="2"/>
      <x:c r="B1012" s="2"/>
      <x:c r="C1012" s="27" t="n">
        <x:f>202</x:f>
        <x:v>202</x:v>
      </x:c>
      <x:c r="D1012" s="28" t="n">
        <x:f>IF(ISNUMBER('Inputs'!$D$7),EDATE('Inputs'!$D$7,201),"n.a.")</x:f>
        <x:v>52444</x:v>
      </x:c>
      <x:c r="E1012" s="26" t="n">
        <x:f>IF('Inputs'!$D$9&lt;&gt;"Ready","n.a.",IF(ISNUMBER('Inputs'!E220),IF('Inputs'!E220&gt;=0,'Inputs'!E220,"n.a."),IF('Inputs'!E220="",'Inputs'!$D$6,"n.a.")))</x:f>
        <x:v>500</x:v>
      </x:c>
      <x:c r="F1012" s="22" t="n">
        <x:f>IF(COUNT($N$1012:$N$1016)=5,SUM($N$1012:$N$1016),"n.a.")</x:f>
        <x:v>0</x:v>
      </x:c>
      <x:c r="G1012" s="22" t="n">
        <x:f>IF(COUNT(E1012:F1012)=2,MAX(0,E1012-F1012),"n.a.")</x:f>
        <x:v>500</x:v>
      </x:c>
      <x:c r="H1012" s="26" t="str">
        <x:f>'Inputs'!C11</x:f>
        <x:v>Card A</x:v>
      </x:c>
      <x:c r="I1012" s="26" t="n">
        <x:f>S1007</x:f>
        <x:v>0</x:v>
      </x:c>
      <x:c r="J1012" s="29" t="n">
        <x:f>IF('Inputs'!$D$9="Ready",'Inputs'!E11,"n.a.")</x:f>
        <x:v>0.24</x:v>
      </x:c>
      <x:c r="K1012" s="26" t="n">
        <x:f>IF('Inputs'!$D$9="Ready",'Inputs'!F11,"n.a.")</x:f>
        <x:v>35</x:v>
      </x:c>
      <x:c r="L1012" s="29" t="n">
        <x:f>IF('Inputs'!$D$9="Ready",'Inputs'!G11,"n.a.")</x:f>
        <x:v>0.02</x:v>
      </x:c>
      <x:c r="M1012" s="22" t="n">
        <x:f>IF(COUNT(I1012:L1012)=4,ROUND(I1012*J1012/12,2),"n.a.")</x:f>
        <x:v>0</x:v>
      </x:c>
      <x:c r="N1012" s="22" t="n">
        <x:f>IF(COUNT(I1012:M1012)=5,MIN(I1012+M1012,ROUND(MAX(K1012,I1012*L1012+M1012),2)),"n.a.")</x:f>
        <x:v>0</x:v>
      </x:c>
      <x:c r="O1012" s="30" t="n">
        <x:f>IF(COUNT($I$1012:$I$1016)&lt;&gt;5,"n.a.",IF(I1012=0,6,IF('Inputs'!$D$5=1,COUNTIFS($I$1012:$I$1016,"&gt;0",$I$1012:$I$1016,"&lt;"&amp;I1012)+COUNTIFS($I$1012:I1012,I1012),COUNTIFS($I$1012:$I$1016,"&gt;0",$J$1012:$J$1016,"&gt;"&amp;J1012)+COUNTIFS($I$1012:I1012,"&gt;0",$J$1012:J1012,J1012))))</x:f>
        <x:v>6</x:v>
      </x:c>
      <x:c r="P1012" s="22" t="n">
        <x:f>IF(T1012="Ready",MIN(U1012,MAX(0,G1012-SUMIFS($U$1012:$U$1016,$O$1012:$O$1016,"&lt;"&amp;O1012))),"n.a.")</x:f>
        <x:v>0</x:v>
      </x:c>
      <x:c r="Q1012" s="22" t="n">
        <x:f>IF(T1012="Ready",ROUND(N1012+P1012,2),"n.a.")</x:f>
        <x:v>0</x:v>
      </x:c>
      <x:c r="R1012" s="22" t="n">
        <x:f>IF(T1012="Ready",ROUND(Q1012-M1012,2),"n.a.")</x:f>
        <x:v>0</x:v>
      </x:c>
      <x:c r="S1012" s="22" t="n">
        <x:f>IF(T1012="Ready",MAX(0,ROUND(I1012+M1012-Q1012,2)),"n.a.")</x:f>
        <x:v>0</x:v>
      </x:c>
      <x:c r="T1012" s="22" t="str">
        <x:f>IF(AND(COUNT($I$1012:$I$1016)=5,COUNT(E1012:F1012)=2),IF(E1012&gt;=F1012,"Ready","Budget below minima"),"Check inputs")</x:f>
        <x:v>Ready</x:v>
      </x:c>
      <x:c r="U1012" s="22" t="n">
        <x:f>IF(COUNT(I1012,M1012,N1012)=3,MAX(0,ROUND(I1012+M1012-N1012,2)),"n.a.")</x:f>
        <x:v>0</x:v>
      </x:c>
    </x:row>
    <x:row r="1013" ht="22" customHeight="1">
      <x:c r="A1013" s="2"/>
      <x:c r="B1013" s="2"/>
      <x:c r="C1013" s="27" t="n">
        <x:f>202</x:f>
        <x:v>202</x:v>
      </x:c>
      <x:c r="D1013" s="28" t="n">
        <x:f>IF(ISNUMBER('Inputs'!$D$7),EDATE('Inputs'!$D$7,201),"n.a.")</x:f>
        <x:v>52444</x:v>
      </x:c>
      <x:c r="E1013" s="26" t="n">
        <x:f>IF('Inputs'!$D$9&lt;&gt;"Ready","n.a.",IF(ISNUMBER('Inputs'!E220),IF('Inputs'!E220&gt;=0,'Inputs'!E220,"n.a."),IF('Inputs'!E220="",'Inputs'!$D$6,"n.a.")))</x:f>
        <x:v>500</x:v>
      </x:c>
      <x:c r="F1013" s="22" t="n">
        <x:f>IF(COUNT($N$1012:$N$1016)=5,SUM($N$1012:$N$1016),"n.a.")</x:f>
        <x:v>0</x:v>
      </x:c>
      <x:c r="G1013" s="22" t="n">
        <x:f>IF(COUNT(E1013:F1013)=2,MAX(0,E1013-F1013),"n.a.")</x:f>
        <x:v>500</x:v>
      </x:c>
      <x:c r="H1013" s="26" t="str">
        <x:f>'Inputs'!C12</x:f>
        <x:v>Card B</x:v>
      </x:c>
      <x:c r="I1013" s="26" t="n">
        <x:f>S1008</x:f>
        <x:v>0</x:v>
      </x:c>
      <x:c r="J1013" s="29" t="n">
        <x:f>IF('Inputs'!$D$9="Ready",'Inputs'!E12,"n.a.")</x:f>
        <x:v>0.18</x:v>
      </x:c>
      <x:c r="K1013" s="26" t="n">
        <x:f>IF('Inputs'!$D$9="Ready",'Inputs'!F12,"n.a.")</x:f>
        <x:v>60</x:v>
      </x:c>
      <x:c r="L1013" s="29" t="n">
        <x:f>IF('Inputs'!$D$9="Ready",'Inputs'!G12,"n.a.")</x:f>
        <x:v>0.02</x:v>
      </x:c>
      <x:c r="M1013" s="22" t="n">
        <x:f>IF(COUNT(I1013:L1013)=4,ROUND(I1013*J1013/12,2),"n.a.")</x:f>
        <x:v>0</x:v>
      </x:c>
      <x:c r="N1013" s="22" t="n">
        <x:f>IF(COUNT(I1013:M1013)=5,MIN(I1013+M1013,ROUND(MAX(K1013,I1013*L1013+M1013),2)),"n.a.")</x:f>
        <x:v>0</x:v>
      </x:c>
      <x:c r="O1013" s="30" t="n">
        <x:f>IF(COUNT($I$1012:$I$1016)&lt;&gt;5,"n.a.",IF(I1013=0,6,IF('Inputs'!$D$5=1,COUNTIFS($I$1012:$I$1016,"&gt;0",$I$1012:$I$1016,"&lt;"&amp;I1013)+COUNTIFS($I$1012:I1013,I1013),COUNTIFS($I$1012:$I$1016,"&gt;0",$J$1012:$J$1016,"&gt;"&amp;J1013)+COUNTIFS($I$1012:I1013,"&gt;0",$J$1012:J1013,J1013))))</x:f>
        <x:v>6</x:v>
      </x:c>
      <x:c r="P1013" s="22" t="n">
        <x:f>IF(T1013="Ready",MIN(U1013,MAX(0,G1013-SUMIFS($U$1012:$U$1016,$O$1012:$O$1016,"&lt;"&amp;O1013))),"n.a.")</x:f>
        <x:v>0</x:v>
      </x:c>
      <x:c r="Q1013" s="22" t="n">
        <x:f>IF(T1013="Ready",ROUND(N1013+P1013,2),"n.a.")</x:f>
        <x:v>0</x:v>
      </x:c>
      <x:c r="R1013" s="22" t="n">
        <x:f>IF(T1013="Ready",ROUND(Q1013-M1013,2),"n.a.")</x:f>
        <x:v>0</x:v>
      </x:c>
      <x:c r="S1013" s="22" t="n">
        <x:f>IF(T1013="Ready",MAX(0,ROUND(I1013+M1013-Q1013,2)),"n.a.")</x:f>
        <x:v>0</x:v>
      </x:c>
      <x:c r="T1013" s="22" t="str">
        <x:f>IF(AND(COUNT($I$1012:$I$1016)=5,COUNT(E1013:F1013)=2),IF(E1013&gt;=F1013,"Ready","Budget below minima"),"Check inputs")</x:f>
        <x:v>Ready</x:v>
      </x:c>
      <x:c r="U1013" s="22" t="n">
        <x:f>IF(COUNT(I1013,M1013,N1013)=3,MAX(0,ROUND(I1013+M1013-N1013,2)),"n.a.")</x:f>
        <x:v>0</x:v>
      </x:c>
    </x:row>
    <x:row r="1014" ht="22" customHeight="1">
      <x:c r="A1014" s="2"/>
      <x:c r="B1014" s="2"/>
      <x:c r="C1014" s="27" t="n">
        <x:f>202</x:f>
        <x:v>202</x:v>
      </x:c>
      <x:c r="D1014" s="28" t="n">
        <x:f>IF(ISNUMBER('Inputs'!$D$7),EDATE('Inputs'!$D$7,201),"n.a.")</x:f>
        <x:v>52444</x:v>
      </x:c>
      <x:c r="E1014" s="26" t="n">
        <x:f>IF('Inputs'!$D$9&lt;&gt;"Ready","n.a.",IF(ISNUMBER('Inputs'!E220),IF('Inputs'!E220&gt;=0,'Inputs'!E220,"n.a."),IF('Inputs'!E220="",'Inputs'!$D$6,"n.a.")))</x:f>
        <x:v>500</x:v>
      </x:c>
      <x:c r="F1014" s="22" t="n">
        <x:f>IF(COUNT($N$1012:$N$1016)=5,SUM($N$1012:$N$1016),"n.a.")</x:f>
        <x:v>0</x:v>
      </x:c>
      <x:c r="G1014" s="22" t="n">
        <x:f>IF(COUNT(E1014:F1014)=2,MAX(0,E1014-F1014),"n.a.")</x:f>
        <x:v>500</x:v>
      </x:c>
      <x:c r="H1014" s="26" t="str">
        <x:f>'Inputs'!C13</x:f>
        <x:v>Loan C</x:v>
      </x:c>
      <x:c r="I1014" s="26" t="n">
        <x:f>S1009</x:f>
        <x:v>0</x:v>
      </x:c>
      <x:c r="J1014" s="29" t="n">
        <x:f>IF('Inputs'!$D$9="Ready",'Inputs'!E13,"n.a.")</x:f>
        <x:v>0.08</x:v>
      </x:c>
      <x:c r="K1014" s="26" t="n">
        <x:f>IF('Inputs'!$D$9="Ready",'Inputs'!F13,"n.a.")</x:f>
        <x:v>150</x:v>
      </x:c>
      <x:c r="L1014" s="29" t="n">
        <x:f>IF('Inputs'!$D$9="Ready",'Inputs'!G13,"n.a.")</x:f>
        <x:v>0</x:v>
      </x:c>
      <x:c r="M1014" s="22" t="n">
        <x:f>IF(COUNT(I1014:L1014)=4,ROUND(I1014*J1014/12,2),"n.a.")</x:f>
        <x:v>0</x:v>
      </x:c>
      <x:c r="N1014" s="22" t="n">
        <x:f>IF(COUNT(I1014:M1014)=5,MIN(I1014+M1014,ROUND(MAX(K1014,I1014*L1014+M1014),2)),"n.a.")</x:f>
        <x:v>0</x:v>
      </x:c>
      <x:c r="O1014" s="30" t="n">
        <x:f>IF(COUNT($I$1012:$I$1016)&lt;&gt;5,"n.a.",IF(I1014=0,6,IF('Inputs'!$D$5=1,COUNTIFS($I$1012:$I$1016,"&gt;0",$I$1012:$I$1016,"&lt;"&amp;I1014)+COUNTIFS($I$1012:I1014,I1014),COUNTIFS($I$1012:$I$1016,"&gt;0",$J$1012:$J$1016,"&gt;"&amp;J1014)+COUNTIFS($I$1012:I1014,"&gt;0",$J$1012:J1014,J1014))))</x:f>
        <x:v>6</x:v>
      </x:c>
      <x:c r="P1014" s="22" t="n">
        <x:f>IF(T1014="Ready",MIN(U1014,MAX(0,G1014-SUMIFS($U$1012:$U$1016,$O$1012:$O$1016,"&lt;"&amp;O1014))),"n.a.")</x:f>
        <x:v>0</x:v>
      </x:c>
      <x:c r="Q1014" s="22" t="n">
        <x:f>IF(T1014="Ready",ROUND(N1014+P1014,2),"n.a.")</x:f>
        <x:v>0</x:v>
      </x:c>
      <x:c r="R1014" s="22" t="n">
        <x:f>IF(T1014="Ready",ROUND(Q1014-M1014,2),"n.a.")</x:f>
        <x:v>0</x:v>
      </x:c>
      <x:c r="S1014" s="22" t="n">
        <x:f>IF(T1014="Ready",MAX(0,ROUND(I1014+M1014-Q1014,2)),"n.a.")</x:f>
        <x:v>0</x:v>
      </x:c>
      <x:c r="T1014" s="22" t="str">
        <x:f>IF(AND(COUNT($I$1012:$I$1016)=5,COUNT(E1014:F1014)=2),IF(E1014&gt;=F1014,"Ready","Budget below minima"),"Check inputs")</x:f>
        <x:v>Ready</x:v>
      </x:c>
      <x:c r="U1014" s="22" t="n">
        <x:f>IF(COUNT(I1014,M1014,N1014)=3,MAX(0,ROUND(I1014+M1014-N1014,2)),"n.a.")</x:f>
        <x:v>0</x:v>
      </x:c>
    </x:row>
    <x:row r="1015" ht="22" customHeight="1">
      <x:c r="A1015" s="2"/>
      <x:c r="B1015" s="2"/>
      <x:c r="C1015" s="27" t="n">
        <x:f>202</x:f>
        <x:v>202</x:v>
      </x:c>
      <x:c r="D1015" s="28" t="n">
        <x:f>IF(ISNUMBER('Inputs'!$D$7),EDATE('Inputs'!$D$7,201),"n.a.")</x:f>
        <x:v>52444</x:v>
      </x:c>
      <x:c r="E1015" s="26" t="n">
        <x:f>IF('Inputs'!$D$9&lt;&gt;"Ready","n.a.",IF(ISNUMBER('Inputs'!E220),IF('Inputs'!E220&gt;=0,'Inputs'!E220,"n.a."),IF('Inputs'!E220="",'Inputs'!$D$6,"n.a.")))</x:f>
        <x:v>500</x:v>
      </x:c>
      <x:c r="F1015" s="22" t="n">
        <x:f>IF(COUNT($N$1012:$N$1016)=5,SUM($N$1012:$N$1016),"n.a.")</x:f>
        <x:v>0</x:v>
      </x:c>
      <x:c r="G1015" s="22" t="n">
        <x:f>IF(COUNT(E1015:F1015)=2,MAX(0,E1015-F1015),"n.a.")</x:f>
        <x:v>500</x:v>
      </x:c>
      <x:c r="H1015" s="26" t="str">
        <x:f>'Inputs'!C14</x:f>
        <x:v>Unused 4</x:v>
      </x:c>
      <x:c r="I1015" s="26" t="n">
        <x:f>S1010</x:f>
        <x:v>0</x:v>
      </x:c>
      <x:c r="J1015" s="29" t="n">
        <x:f>IF('Inputs'!$D$9="Ready",'Inputs'!E14,"n.a.")</x:f>
        <x:v>0</x:v>
      </x:c>
      <x:c r="K1015" s="26" t="n">
        <x:f>IF('Inputs'!$D$9="Ready",'Inputs'!F14,"n.a.")</x:f>
        <x:v>0</x:v>
      </x:c>
      <x:c r="L1015" s="29" t="n">
        <x:f>IF('Inputs'!$D$9="Ready",'Inputs'!G14,"n.a.")</x:f>
        <x:v>0</x:v>
      </x:c>
      <x:c r="M1015" s="22" t="n">
        <x:f>IF(COUNT(I1015:L1015)=4,ROUND(I1015*J1015/12,2),"n.a.")</x:f>
        <x:v>0</x:v>
      </x:c>
      <x:c r="N1015" s="22" t="n">
        <x:f>IF(COUNT(I1015:M1015)=5,MIN(I1015+M1015,ROUND(MAX(K1015,I1015*L1015+M1015),2)),"n.a.")</x:f>
        <x:v>0</x:v>
      </x:c>
      <x:c r="O1015" s="30" t="n">
        <x:f>IF(COUNT($I$1012:$I$1016)&lt;&gt;5,"n.a.",IF(I1015=0,6,IF('Inputs'!$D$5=1,COUNTIFS($I$1012:$I$1016,"&gt;0",$I$1012:$I$1016,"&lt;"&amp;I1015)+COUNTIFS($I$1012:I1015,I1015),COUNTIFS($I$1012:$I$1016,"&gt;0",$J$1012:$J$1016,"&gt;"&amp;J1015)+COUNTIFS($I$1012:I1015,"&gt;0",$J$1012:J1015,J1015))))</x:f>
        <x:v>6</x:v>
      </x:c>
      <x:c r="P1015" s="22" t="n">
        <x:f>IF(T1015="Ready",MIN(U1015,MAX(0,G1015-SUMIFS($U$1012:$U$1016,$O$1012:$O$1016,"&lt;"&amp;O1015))),"n.a.")</x:f>
        <x:v>0</x:v>
      </x:c>
      <x:c r="Q1015" s="22" t="n">
        <x:f>IF(T1015="Ready",ROUND(N1015+P1015,2),"n.a.")</x:f>
        <x:v>0</x:v>
      </x:c>
      <x:c r="R1015" s="22" t="n">
        <x:f>IF(T1015="Ready",ROUND(Q1015-M1015,2),"n.a.")</x:f>
        <x:v>0</x:v>
      </x:c>
      <x:c r="S1015" s="22" t="n">
        <x:f>IF(T1015="Ready",MAX(0,ROUND(I1015+M1015-Q1015,2)),"n.a.")</x:f>
        <x:v>0</x:v>
      </x:c>
      <x:c r="T1015" s="22" t="str">
        <x:f>IF(AND(COUNT($I$1012:$I$1016)=5,COUNT(E1015:F1015)=2),IF(E1015&gt;=F1015,"Ready","Budget below minima"),"Check inputs")</x:f>
        <x:v>Ready</x:v>
      </x:c>
      <x:c r="U1015" s="22" t="n">
        <x:f>IF(COUNT(I1015,M1015,N1015)=3,MAX(0,ROUND(I1015+M1015-N1015,2)),"n.a.")</x:f>
        <x:v>0</x:v>
      </x:c>
    </x:row>
    <x:row r="1016" ht="22" customHeight="1">
      <x:c r="A1016" s="2"/>
      <x:c r="B1016" s="2"/>
      <x:c r="C1016" s="27" t="n">
        <x:f>202</x:f>
        <x:v>202</x:v>
      </x:c>
      <x:c r="D1016" s="28" t="n">
        <x:f>IF(ISNUMBER('Inputs'!$D$7),EDATE('Inputs'!$D$7,201),"n.a.")</x:f>
        <x:v>52444</x:v>
      </x:c>
      <x:c r="E1016" s="26" t="n">
        <x:f>IF('Inputs'!$D$9&lt;&gt;"Ready","n.a.",IF(ISNUMBER('Inputs'!E220),IF('Inputs'!E220&gt;=0,'Inputs'!E220,"n.a."),IF('Inputs'!E220="",'Inputs'!$D$6,"n.a.")))</x:f>
        <x:v>500</x:v>
      </x:c>
      <x:c r="F1016" s="22" t="n">
        <x:f>IF(COUNT($N$1012:$N$1016)=5,SUM($N$1012:$N$1016),"n.a.")</x:f>
        <x:v>0</x:v>
      </x:c>
      <x:c r="G1016" s="22" t="n">
        <x:f>IF(COUNT(E1016:F1016)=2,MAX(0,E1016-F1016),"n.a.")</x:f>
        <x:v>500</x:v>
      </x:c>
      <x:c r="H1016" s="26" t="str">
        <x:f>'Inputs'!C15</x:f>
        <x:v>Unused 5</x:v>
      </x:c>
      <x:c r="I1016" s="26" t="n">
        <x:f>S1011</x:f>
        <x:v>0</x:v>
      </x:c>
      <x:c r="J1016" s="29" t="n">
        <x:f>IF('Inputs'!$D$9="Ready",'Inputs'!E15,"n.a.")</x:f>
        <x:v>0</x:v>
      </x:c>
      <x:c r="K1016" s="26" t="n">
        <x:f>IF('Inputs'!$D$9="Ready",'Inputs'!F15,"n.a.")</x:f>
        <x:v>0</x:v>
      </x:c>
      <x:c r="L1016" s="29" t="n">
        <x:f>IF('Inputs'!$D$9="Ready",'Inputs'!G15,"n.a.")</x:f>
        <x:v>0</x:v>
      </x:c>
      <x:c r="M1016" s="22" t="n">
        <x:f>IF(COUNT(I1016:L1016)=4,ROUND(I1016*J1016/12,2),"n.a.")</x:f>
        <x:v>0</x:v>
      </x:c>
      <x:c r="N1016" s="22" t="n">
        <x:f>IF(COUNT(I1016:M1016)=5,MIN(I1016+M1016,ROUND(MAX(K1016,I1016*L1016+M1016),2)),"n.a.")</x:f>
        <x:v>0</x:v>
      </x:c>
      <x:c r="O1016" s="30" t="n">
        <x:f>IF(COUNT($I$1012:$I$1016)&lt;&gt;5,"n.a.",IF(I1016=0,6,IF('Inputs'!$D$5=1,COUNTIFS($I$1012:$I$1016,"&gt;0",$I$1012:$I$1016,"&lt;"&amp;I1016)+COUNTIFS($I$1012:I1016,I1016),COUNTIFS($I$1012:$I$1016,"&gt;0",$J$1012:$J$1016,"&gt;"&amp;J1016)+COUNTIFS($I$1012:I1016,"&gt;0",$J$1012:J1016,J1016))))</x:f>
        <x:v>6</x:v>
      </x:c>
      <x:c r="P1016" s="22" t="n">
        <x:f>IF(T1016="Ready",MIN(U1016,MAX(0,G1016-SUMIFS($U$1012:$U$1016,$O$1012:$O$1016,"&lt;"&amp;O1016))),"n.a.")</x:f>
        <x:v>0</x:v>
      </x:c>
      <x:c r="Q1016" s="22" t="n">
        <x:f>IF(T1016="Ready",ROUND(N1016+P1016,2),"n.a.")</x:f>
        <x:v>0</x:v>
      </x:c>
      <x:c r="R1016" s="22" t="n">
        <x:f>IF(T1016="Ready",ROUND(Q1016-M1016,2),"n.a.")</x:f>
        <x:v>0</x:v>
      </x:c>
      <x:c r="S1016" s="22" t="n">
        <x:f>IF(T1016="Ready",MAX(0,ROUND(I1016+M1016-Q1016,2)),"n.a.")</x:f>
        <x:v>0</x:v>
      </x:c>
      <x:c r="T1016" s="22" t="str">
        <x:f>IF(AND(COUNT($I$1012:$I$1016)=5,COUNT(E1016:F1016)=2),IF(E1016&gt;=F1016,"Ready","Budget below minima"),"Check inputs")</x:f>
        <x:v>Ready</x:v>
      </x:c>
      <x:c r="U1016" s="22" t="n">
        <x:f>IF(COUNT(I1016,M1016,N1016)=3,MAX(0,ROUND(I1016+M1016-N1016,2)),"n.a.")</x:f>
        <x:v>0</x:v>
      </x:c>
    </x:row>
    <x:row r="1017" ht="22" customHeight="1">
      <x:c r="A1017" s="2"/>
      <x:c r="B1017" s="2"/>
      <x:c r="C1017" s="27" t="n">
        <x:f>203</x:f>
        <x:v>203</x:v>
      </x:c>
      <x:c r="D1017" s="28" t="n">
        <x:f>IF(ISNUMBER('Inputs'!$D$7),EDATE('Inputs'!$D$7,202),"n.a.")</x:f>
        <x:v>52475</x:v>
      </x:c>
      <x:c r="E1017" s="26" t="n">
        <x:f>IF('Inputs'!$D$9&lt;&gt;"Ready","n.a.",IF(ISNUMBER('Inputs'!E221),IF('Inputs'!E221&gt;=0,'Inputs'!E221,"n.a."),IF('Inputs'!E221="",'Inputs'!$D$6,"n.a.")))</x:f>
        <x:v>500</x:v>
      </x:c>
      <x:c r="F1017" s="22" t="n">
        <x:f>IF(COUNT($N$1017:$N$1021)=5,SUM($N$1017:$N$1021),"n.a.")</x:f>
        <x:v>0</x:v>
      </x:c>
      <x:c r="G1017" s="22" t="n">
        <x:f>IF(COUNT(E1017:F1017)=2,MAX(0,E1017-F1017),"n.a.")</x:f>
        <x:v>500</x:v>
      </x:c>
      <x:c r="H1017" s="26" t="str">
        <x:f>'Inputs'!C11</x:f>
        <x:v>Card A</x:v>
      </x:c>
      <x:c r="I1017" s="26" t="n">
        <x:f>S1012</x:f>
        <x:v>0</x:v>
      </x:c>
      <x:c r="J1017" s="29" t="n">
        <x:f>IF('Inputs'!$D$9="Ready",'Inputs'!E11,"n.a.")</x:f>
        <x:v>0.24</x:v>
      </x:c>
      <x:c r="K1017" s="26" t="n">
        <x:f>IF('Inputs'!$D$9="Ready",'Inputs'!F11,"n.a.")</x:f>
        <x:v>35</x:v>
      </x:c>
      <x:c r="L1017" s="29" t="n">
        <x:f>IF('Inputs'!$D$9="Ready",'Inputs'!G11,"n.a.")</x:f>
        <x:v>0.02</x:v>
      </x:c>
      <x:c r="M1017" s="22" t="n">
        <x:f>IF(COUNT(I1017:L1017)=4,ROUND(I1017*J1017/12,2),"n.a.")</x:f>
        <x:v>0</x:v>
      </x:c>
      <x:c r="N1017" s="22" t="n">
        <x:f>IF(COUNT(I1017:M1017)=5,MIN(I1017+M1017,ROUND(MAX(K1017,I1017*L1017+M1017),2)),"n.a.")</x:f>
        <x:v>0</x:v>
      </x:c>
      <x:c r="O1017" s="30" t="n">
        <x:f>IF(COUNT($I$1017:$I$1021)&lt;&gt;5,"n.a.",IF(I1017=0,6,IF('Inputs'!$D$5=1,COUNTIFS($I$1017:$I$1021,"&gt;0",$I$1017:$I$1021,"&lt;"&amp;I1017)+COUNTIFS($I$1017:I1017,I1017),COUNTIFS($I$1017:$I$1021,"&gt;0",$J$1017:$J$1021,"&gt;"&amp;J1017)+COUNTIFS($I$1017:I1017,"&gt;0",$J$1017:J1017,J1017))))</x:f>
        <x:v>6</x:v>
      </x:c>
      <x:c r="P1017" s="22" t="n">
        <x:f>IF(T1017="Ready",MIN(U1017,MAX(0,G1017-SUMIFS($U$1017:$U$1021,$O$1017:$O$1021,"&lt;"&amp;O1017))),"n.a.")</x:f>
        <x:v>0</x:v>
      </x:c>
      <x:c r="Q1017" s="22" t="n">
        <x:f>IF(T1017="Ready",ROUND(N1017+P1017,2),"n.a.")</x:f>
        <x:v>0</x:v>
      </x:c>
      <x:c r="R1017" s="22" t="n">
        <x:f>IF(T1017="Ready",ROUND(Q1017-M1017,2),"n.a.")</x:f>
        <x:v>0</x:v>
      </x:c>
      <x:c r="S1017" s="22" t="n">
        <x:f>IF(T1017="Ready",MAX(0,ROUND(I1017+M1017-Q1017,2)),"n.a.")</x:f>
        <x:v>0</x:v>
      </x:c>
      <x:c r="T1017" s="22" t="str">
        <x:f>IF(AND(COUNT($I$1017:$I$1021)=5,COUNT(E1017:F1017)=2),IF(E1017&gt;=F1017,"Ready","Budget below minima"),"Check inputs")</x:f>
        <x:v>Ready</x:v>
      </x:c>
      <x:c r="U1017" s="22" t="n">
        <x:f>IF(COUNT(I1017,M1017,N1017)=3,MAX(0,ROUND(I1017+M1017-N1017,2)),"n.a.")</x:f>
        <x:v>0</x:v>
      </x:c>
    </x:row>
    <x:row r="1018" ht="22" customHeight="1">
      <x:c r="A1018" s="2"/>
      <x:c r="B1018" s="2"/>
      <x:c r="C1018" s="27" t="n">
        <x:f>203</x:f>
        <x:v>203</x:v>
      </x:c>
      <x:c r="D1018" s="28" t="n">
        <x:f>IF(ISNUMBER('Inputs'!$D$7),EDATE('Inputs'!$D$7,202),"n.a.")</x:f>
        <x:v>52475</x:v>
      </x:c>
      <x:c r="E1018" s="26" t="n">
        <x:f>IF('Inputs'!$D$9&lt;&gt;"Ready","n.a.",IF(ISNUMBER('Inputs'!E221),IF('Inputs'!E221&gt;=0,'Inputs'!E221,"n.a."),IF('Inputs'!E221="",'Inputs'!$D$6,"n.a.")))</x:f>
        <x:v>500</x:v>
      </x:c>
      <x:c r="F1018" s="22" t="n">
        <x:f>IF(COUNT($N$1017:$N$1021)=5,SUM($N$1017:$N$1021),"n.a.")</x:f>
        <x:v>0</x:v>
      </x:c>
      <x:c r="G1018" s="22" t="n">
        <x:f>IF(COUNT(E1018:F1018)=2,MAX(0,E1018-F1018),"n.a.")</x:f>
        <x:v>500</x:v>
      </x:c>
      <x:c r="H1018" s="26" t="str">
        <x:f>'Inputs'!C12</x:f>
        <x:v>Card B</x:v>
      </x:c>
      <x:c r="I1018" s="26" t="n">
        <x:f>S1013</x:f>
        <x:v>0</x:v>
      </x:c>
      <x:c r="J1018" s="29" t="n">
        <x:f>IF('Inputs'!$D$9="Ready",'Inputs'!E12,"n.a.")</x:f>
        <x:v>0.18</x:v>
      </x:c>
      <x:c r="K1018" s="26" t="n">
        <x:f>IF('Inputs'!$D$9="Ready",'Inputs'!F12,"n.a.")</x:f>
        <x:v>60</x:v>
      </x:c>
      <x:c r="L1018" s="29" t="n">
        <x:f>IF('Inputs'!$D$9="Ready",'Inputs'!G12,"n.a.")</x:f>
        <x:v>0.02</x:v>
      </x:c>
      <x:c r="M1018" s="22" t="n">
        <x:f>IF(COUNT(I1018:L1018)=4,ROUND(I1018*J1018/12,2),"n.a.")</x:f>
        <x:v>0</x:v>
      </x:c>
      <x:c r="N1018" s="22" t="n">
        <x:f>IF(COUNT(I1018:M1018)=5,MIN(I1018+M1018,ROUND(MAX(K1018,I1018*L1018+M1018),2)),"n.a.")</x:f>
        <x:v>0</x:v>
      </x:c>
      <x:c r="O1018" s="30" t="n">
        <x:f>IF(COUNT($I$1017:$I$1021)&lt;&gt;5,"n.a.",IF(I1018=0,6,IF('Inputs'!$D$5=1,COUNTIFS($I$1017:$I$1021,"&gt;0",$I$1017:$I$1021,"&lt;"&amp;I1018)+COUNTIFS($I$1017:I1018,I1018),COUNTIFS($I$1017:$I$1021,"&gt;0",$J$1017:$J$1021,"&gt;"&amp;J1018)+COUNTIFS($I$1017:I1018,"&gt;0",$J$1017:J1018,J1018))))</x:f>
        <x:v>6</x:v>
      </x:c>
      <x:c r="P1018" s="22" t="n">
        <x:f>IF(T1018="Ready",MIN(U1018,MAX(0,G1018-SUMIFS($U$1017:$U$1021,$O$1017:$O$1021,"&lt;"&amp;O1018))),"n.a.")</x:f>
        <x:v>0</x:v>
      </x:c>
      <x:c r="Q1018" s="22" t="n">
        <x:f>IF(T1018="Ready",ROUND(N1018+P1018,2),"n.a.")</x:f>
        <x:v>0</x:v>
      </x:c>
      <x:c r="R1018" s="22" t="n">
        <x:f>IF(T1018="Ready",ROUND(Q1018-M1018,2),"n.a.")</x:f>
        <x:v>0</x:v>
      </x:c>
      <x:c r="S1018" s="22" t="n">
        <x:f>IF(T1018="Ready",MAX(0,ROUND(I1018+M1018-Q1018,2)),"n.a.")</x:f>
        <x:v>0</x:v>
      </x:c>
      <x:c r="T1018" s="22" t="str">
        <x:f>IF(AND(COUNT($I$1017:$I$1021)=5,COUNT(E1018:F1018)=2),IF(E1018&gt;=F1018,"Ready","Budget below minima"),"Check inputs")</x:f>
        <x:v>Ready</x:v>
      </x:c>
      <x:c r="U1018" s="22" t="n">
        <x:f>IF(COUNT(I1018,M1018,N1018)=3,MAX(0,ROUND(I1018+M1018-N1018,2)),"n.a.")</x:f>
        <x:v>0</x:v>
      </x:c>
    </x:row>
    <x:row r="1019" ht="22" customHeight="1">
      <x:c r="A1019" s="2"/>
      <x:c r="B1019" s="2"/>
      <x:c r="C1019" s="27" t="n">
        <x:f>203</x:f>
        <x:v>203</x:v>
      </x:c>
      <x:c r="D1019" s="28" t="n">
        <x:f>IF(ISNUMBER('Inputs'!$D$7),EDATE('Inputs'!$D$7,202),"n.a.")</x:f>
        <x:v>52475</x:v>
      </x:c>
      <x:c r="E1019" s="26" t="n">
        <x:f>IF('Inputs'!$D$9&lt;&gt;"Ready","n.a.",IF(ISNUMBER('Inputs'!E221),IF('Inputs'!E221&gt;=0,'Inputs'!E221,"n.a."),IF('Inputs'!E221="",'Inputs'!$D$6,"n.a.")))</x:f>
        <x:v>500</x:v>
      </x:c>
      <x:c r="F1019" s="22" t="n">
        <x:f>IF(COUNT($N$1017:$N$1021)=5,SUM($N$1017:$N$1021),"n.a.")</x:f>
        <x:v>0</x:v>
      </x:c>
      <x:c r="G1019" s="22" t="n">
        <x:f>IF(COUNT(E1019:F1019)=2,MAX(0,E1019-F1019),"n.a.")</x:f>
        <x:v>500</x:v>
      </x:c>
      <x:c r="H1019" s="26" t="str">
        <x:f>'Inputs'!C13</x:f>
        <x:v>Loan C</x:v>
      </x:c>
      <x:c r="I1019" s="26" t="n">
        <x:f>S1014</x:f>
        <x:v>0</x:v>
      </x:c>
      <x:c r="J1019" s="29" t="n">
        <x:f>IF('Inputs'!$D$9="Ready",'Inputs'!E13,"n.a.")</x:f>
        <x:v>0.08</x:v>
      </x:c>
      <x:c r="K1019" s="26" t="n">
        <x:f>IF('Inputs'!$D$9="Ready",'Inputs'!F13,"n.a.")</x:f>
        <x:v>150</x:v>
      </x:c>
      <x:c r="L1019" s="29" t="n">
        <x:f>IF('Inputs'!$D$9="Ready",'Inputs'!G13,"n.a.")</x:f>
        <x:v>0</x:v>
      </x:c>
      <x:c r="M1019" s="22" t="n">
        <x:f>IF(COUNT(I1019:L1019)=4,ROUND(I1019*J1019/12,2),"n.a.")</x:f>
        <x:v>0</x:v>
      </x:c>
      <x:c r="N1019" s="22" t="n">
        <x:f>IF(COUNT(I1019:M1019)=5,MIN(I1019+M1019,ROUND(MAX(K1019,I1019*L1019+M1019),2)),"n.a.")</x:f>
        <x:v>0</x:v>
      </x:c>
      <x:c r="O1019" s="30" t="n">
        <x:f>IF(COUNT($I$1017:$I$1021)&lt;&gt;5,"n.a.",IF(I1019=0,6,IF('Inputs'!$D$5=1,COUNTIFS($I$1017:$I$1021,"&gt;0",$I$1017:$I$1021,"&lt;"&amp;I1019)+COUNTIFS($I$1017:I1019,I1019),COUNTIFS($I$1017:$I$1021,"&gt;0",$J$1017:$J$1021,"&gt;"&amp;J1019)+COUNTIFS($I$1017:I1019,"&gt;0",$J$1017:J1019,J1019))))</x:f>
        <x:v>6</x:v>
      </x:c>
      <x:c r="P1019" s="22" t="n">
        <x:f>IF(T1019="Ready",MIN(U1019,MAX(0,G1019-SUMIFS($U$1017:$U$1021,$O$1017:$O$1021,"&lt;"&amp;O1019))),"n.a.")</x:f>
        <x:v>0</x:v>
      </x:c>
      <x:c r="Q1019" s="22" t="n">
        <x:f>IF(T1019="Ready",ROUND(N1019+P1019,2),"n.a.")</x:f>
        <x:v>0</x:v>
      </x:c>
      <x:c r="R1019" s="22" t="n">
        <x:f>IF(T1019="Ready",ROUND(Q1019-M1019,2),"n.a.")</x:f>
        <x:v>0</x:v>
      </x:c>
      <x:c r="S1019" s="22" t="n">
        <x:f>IF(T1019="Ready",MAX(0,ROUND(I1019+M1019-Q1019,2)),"n.a.")</x:f>
        <x:v>0</x:v>
      </x:c>
      <x:c r="T1019" s="22" t="str">
        <x:f>IF(AND(COUNT($I$1017:$I$1021)=5,COUNT(E1019:F1019)=2),IF(E1019&gt;=F1019,"Ready","Budget below minima"),"Check inputs")</x:f>
        <x:v>Ready</x:v>
      </x:c>
      <x:c r="U1019" s="22" t="n">
        <x:f>IF(COUNT(I1019,M1019,N1019)=3,MAX(0,ROUND(I1019+M1019-N1019,2)),"n.a.")</x:f>
        <x:v>0</x:v>
      </x:c>
    </x:row>
    <x:row r="1020" ht="22" customHeight="1">
      <x:c r="A1020" s="2"/>
      <x:c r="B1020" s="2"/>
      <x:c r="C1020" s="27" t="n">
        <x:f>203</x:f>
        <x:v>203</x:v>
      </x:c>
      <x:c r="D1020" s="28" t="n">
        <x:f>IF(ISNUMBER('Inputs'!$D$7),EDATE('Inputs'!$D$7,202),"n.a.")</x:f>
        <x:v>52475</x:v>
      </x:c>
      <x:c r="E1020" s="26" t="n">
        <x:f>IF('Inputs'!$D$9&lt;&gt;"Ready","n.a.",IF(ISNUMBER('Inputs'!E221),IF('Inputs'!E221&gt;=0,'Inputs'!E221,"n.a."),IF('Inputs'!E221="",'Inputs'!$D$6,"n.a.")))</x:f>
        <x:v>500</x:v>
      </x:c>
      <x:c r="F1020" s="22" t="n">
        <x:f>IF(COUNT($N$1017:$N$1021)=5,SUM($N$1017:$N$1021),"n.a.")</x:f>
        <x:v>0</x:v>
      </x:c>
      <x:c r="G1020" s="22" t="n">
        <x:f>IF(COUNT(E1020:F1020)=2,MAX(0,E1020-F1020),"n.a.")</x:f>
        <x:v>500</x:v>
      </x:c>
      <x:c r="H1020" s="26" t="str">
        <x:f>'Inputs'!C14</x:f>
        <x:v>Unused 4</x:v>
      </x:c>
      <x:c r="I1020" s="26" t="n">
        <x:f>S1015</x:f>
        <x:v>0</x:v>
      </x:c>
      <x:c r="J1020" s="29" t="n">
        <x:f>IF('Inputs'!$D$9="Ready",'Inputs'!E14,"n.a.")</x:f>
        <x:v>0</x:v>
      </x:c>
      <x:c r="K1020" s="26" t="n">
        <x:f>IF('Inputs'!$D$9="Ready",'Inputs'!F14,"n.a.")</x:f>
        <x:v>0</x:v>
      </x:c>
      <x:c r="L1020" s="29" t="n">
        <x:f>IF('Inputs'!$D$9="Ready",'Inputs'!G14,"n.a.")</x:f>
        <x:v>0</x:v>
      </x:c>
      <x:c r="M1020" s="22" t="n">
        <x:f>IF(COUNT(I1020:L1020)=4,ROUND(I1020*J1020/12,2),"n.a.")</x:f>
        <x:v>0</x:v>
      </x:c>
      <x:c r="N1020" s="22" t="n">
        <x:f>IF(COUNT(I1020:M1020)=5,MIN(I1020+M1020,ROUND(MAX(K1020,I1020*L1020+M1020),2)),"n.a.")</x:f>
        <x:v>0</x:v>
      </x:c>
      <x:c r="O1020" s="30" t="n">
        <x:f>IF(COUNT($I$1017:$I$1021)&lt;&gt;5,"n.a.",IF(I1020=0,6,IF('Inputs'!$D$5=1,COUNTIFS($I$1017:$I$1021,"&gt;0",$I$1017:$I$1021,"&lt;"&amp;I1020)+COUNTIFS($I$1017:I1020,I1020),COUNTIFS($I$1017:$I$1021,"&gt;0",$J$1017:$J$1021,"&gt;"&amp;J1020)+COUNTIFS($I$1017:I1020,"&gt;0",$J$1017:J1020,J1020))))</x:f>
        <x:v>6</x:v>
      </x:c>
      <x:c r="P1020" s="22" t="n">
        <x:f>IF(T1020="Ready",MIN(U1020,MAX(0,G1020-SUMIFS($U$1017:$U$1021,$O$1017:$O$1021,"&lt;"&amp;O1020))),"n.a.")</x:f>
        <x:v>0</x:v>
      </x:c>
      <x:c r="Q1020" s="22" t="n">
        <x:f>IF(T1020="Ready",ROUND(N1020+P1020,2),"n.a.")</x:f>
        <x:v>0</x:v>
      </x:c>
      <x:c r="R1020" s="22" t="n">
        <x:f>IF(T1020="Ready",ROUND(Q1020-M1020,2),"n.a.")</x:f>
        <x:v>0</x:v>
      </x:c>
      <x:c r="S1020" s="22" t="n">
        <x:f>IF(T1020="Ready",MAX(0,ROUND(I1020+M1020-Q1020,2)),"n.a.")</x:f>
        <x:v>0</x:v>
      </x:c>
      <x:c r="T1020" s="22" t="str">
        <x:f>IF(AND(COUNT($I$1017:$I$1021)=5,COUNT(E1020:F1020)=2),IF(E1020&gt;=F1020,"Ready","Budget below minima"),"Check inputs")</x:f>
        <x:v>Ready</x:v>
      </x:c>
      <x:c r="U1020" s="22" t="n">
        <x:f>IF(COUNT(I1020,M1020,N1020)=3,MAX(0,ROUND(I1020+M1020-N1020,2)),"n.a.")</x:f>
        <x:v>0</x:v>
      </x:c>
    </x:row>
    <x:row r="1021" ht="22" customHeight="1">
      <x:c r="A1021" s="2"/>
      <x:c r="B1021" s="2"/>
      <x:c r="C1021" s="27" t="n">
        <x:f>203</x:f>
        <x:v>203</x:v>
      </x:c>
      <x:c r="D1021" s="28" t="n">
        <x:f>IF(ISNUMBER('Inputs'!$D$7),EDATE('Inputs'!$D$7,202),"n.a.")</x:f>
        <x:v>52475</x:v>
      </x:c>
      <x:c r="E1021" s="26" t="n">
        <x:f>IF('Inputs'!$D$9&lt;&gt;"Ready","n.a.",IF(ISNUMBER('Inputs'!E221),IF('Inputs'!E221&gt;=0,'Inputs'!E221,"n.a."),IF('Inputs'!E221="",'Inputs'!$D$6,"n.a.")))</x:f>
        <x:v>500</x:v>
      </x:c>
      <x:c r="F1021" s="22" t="n">
        <x:f>IF(COUNT($N$1017:$N$1021)=5,SUM($N$1017:$N$1021),"n.a.")</x:f>
        <x:v>0</x:v>
      </x:c>
      <x:c r="G1021" s="22" t="n">
        <x:f>IF(COUNT(E1021:F1021)=2,MAX(0,E1021-F1021),"n.a.")</x:f>
        <x:v>500</x:v>
      </x:c>
      <x:c r="H1021" s="26" t="str">
        <x:f>'Inputs'!C15</x:f>
        <x:v>Unused 5</x:v>
      </x:c>
      <x:c r="I1021" s="26" t="n">
        <x:f>S1016</x:f>
        <x:v>0</x:v>
      </x:c>
      <x:c r="J1021" s="29" t="n">
        <x:f>IF('Inputs'!$D$9="Ready",'Inputs'!E15,"n.a.")</x:f>
        <x:v>0</x:v>
      </x:c>
      <x:c r="K1021" s="26" t="n">
        <x:f>IF('Inputs'!$D$9="Ready",'Inputs'!F15,"n.a.")</x:f>
        <x:v>0</x:v>
      </x:c>
      <x:c r="L1021" s="29" t="n">
        <x:f>IF('Inputs'!$D$9="Ready",'Inputs'!G15,"n.a.")</x:f>
        <x:v>0</x:v>
      </x:c>
      <x:c r="M1021" s="22" t="n">
        <x:f>IF(COUNT(I1021:L1021)=4,ROUND(I1021*J1021/12,2),"n.a.")</x:f>
        <x:v>0</x:v>
      </x:c>
      <x:c r="N1021" s="22" t="n">
        <x:f>IF(COUNT(I1021:M1021)=5,MIN(I1021+M1021,ROUND(MAX(K1021,I1021*L1021+M1021),2)),"n.a.")</x:f>
        <x:v>0</x:v>
      </x:c>
      <x:c r="O1021" s="30" t="n">
        <x:f>IF(COUNT($I$1017:$I$1021)&lt;&gt;5,"n.a.",IF(I1021=0,6,IF('Inputs'!$D$5=1,COUNTIFS($I$1017:$I$1021,"&gt;0",$I$1017:$I$1021,"&lt;"&amp;I1021)+COUNTIFS($I$1017:I1021,I1021),COUNTIFS($I$1017:$I$1021,"&gt;0",$J$1017:$J$1021,"&gt;"&amp;J1021)+COUNTIFS($I$1017:I1021,"&gt;0",$J$1017:J1021,J1021))))</x:f>
        <x:v>6</x:v>
      </x:c>
      <x:c r="P1021" s="22" t="n">
        <x:f>IF(T1021="Ready",MIN(U1021,MAX(0,G1021-SUMIFS($U$1017:$U$1021,$O$1017:$O$1021,"&lt;"&amp;O1021))),"n.a.")</x:f>
        <x:v>0</x:v>
      </x:c>
      <x:c r="Q1021" s="22" t="n">
        <x:f>IF(T1021="Ready",ROUND(N1021+P1021,2),"n.a.")</x:f>
        <x:v>0</x:v>
      </x:c>
      <x:c r="R1021" s="22" t="n">
        <x:f>IF(T1021="Ready",ROUND(Q1021-M1021,2),"n.a.")</x:f>
        <x:v>0</x:v>
      </x:c>
      <x:c r="S1021" s="22" t="n">
        <x:f>IF(T1021="Ready",MAX(0,ROUND(I1021+M1021-Q1021,2)),"n.a.")</x:f>
        <x:v>0</x:v>
      </x:c>
      <x:c r="T1021" s="22" t="str">
        <x:f>IF(AND(COUNT($I$1017:$I$1021)=5,COUNT(E1021:F1021)=2),IF(E1021&gt;=F1021,"Ready","Budget below minima"),"Check inputs")</x:f>
        <x:v>Ready</x:v>
      </x:c>
      <x:c r="U1021" s="22" t="n">
        <x:f>IF(COUNT(I1021,M1021,N1021)=3,MAX(0,ROUND(I1021+M1021-N1021,2)),"n.a.")</x:f>
        <x:v>0</x:v>
      </x:c>
    </x:row>
    <x:row r="1022" ht="22" customHeight="1">
      <x:c r="A1022" s="2"/>
      <x:c r="B1022" s="2"/>
      <x:c r="C1022" s="27" t="n">
        <x:f>204</x:f>
        <x:v>204</x:v>
      </x:c>
      <x:c r="D1022" s="28" t="n">
        <x:f>IF(ISNUMBER('Inputs'!$D$7),EDATE('Inputs'!$D$7,203),"n.a.")</x:f>
        <x:v>52505</x:v>
      </x:c>
      <x:c r="E1022" s="26" t="n">
        <x:f>IF('Inputs'!$D$9&lt;&gt;"Ready","n.a.",IF(ISNUMBER('Inputs'!E222),IF('Inputs'!E222&gt;=0,'Inputs'!E222,"n.a."),IF('Inputs'!E222="",'Inputs'!$D$6,"n.a.")))</x:f>
        <x:v>500</x:v>
      </x:c>
      <x:c r="F1022" s="22" t="n">
        <x:f>IF(COUNT($N$1022:$N$1026)=5,SUM($N$1022:$N$1026),"n.a.")</x:f>
        <x:v>0</x:v>
      </x:c>
      <x:c r="G1022" s="22" t="n">
        <x:f>IF(COUNT(E1022:F1022)=2,MAX(0,E1022-F1022),"n.a.")</x:f>
        <x:v>500</x:v>
      </x:c>
      <x:c r="H1022" s="26" t="str">
        <x:f>'Inputs'!C11</x:f>
        <x:v>Card A</x:v>
      </x:c>
      <x:c r="I1022" s="26" t="n">
        <x:f>S1017</x:f>
        <x:v>0</x:v>
      </x:c>
      <x:c r="J1022" s="29" t="n">
        <x:f>IF('Inputs'!$D$9="Ready",'Inputs'!E11,"n.a.")</x:f>
        <x:v>0.24</x:v>
      </x:c>
      <x:c r="K1022" s="26" t="n">
        <x:f>IF('Inputs'!$D$9="Ready",'Inputs'!F11,"n.a.")</x:f>
        <x:v>35</x:v>
      </x:c>
      <x:c r="L1022" s="29" t="n">
        <x:f>IF('Inputs'!$D$9="Ready",'Inputs'!G11,"n.a.")</x:f>
        <x:v>0.02</x:v>
      </x:c>
      <x:c r="M1022" s="22" t="n">
        <x:f>IF(COUNT(I1022:L1022)=4,ROUND(I1022*J1022/12,2),"n.a.")</x:f>
        <x:v>0</x:v>
      </x:c>
      <x:c r="N1022" s="22" t="n">
        <x:f>IF(COUNT(I1022:M1022)=5,MIN(I1022+M1022,ROUND(MAX(K1022,I1022*L1022+M1022),2)),"n.a.")</x:f>
        <x:v>0</x:v>
      </x:c>
      <x:c r="O1022" s="30" t="n">
        <x:f>IF(COUNT($I$1022:$I$1026)&lt;&gt;5,"n.a.",IF(I1022=0,6,IF('Inputs'!$D$5=1,COUNTIFS($I$1022:$I$1026,"&gt;0",$I$1022:$I$1026,"&lt;"&amp;I1022)+COUNTIFS($I$1022:I1022,I1022),COUNTIFS($I$1022:$I$1026,"&gt;0",$J$1022:$J$1026,"&gt;"&amp;J1022)+COUNTIFS($I$1022:I1022,"&gt;0",$J$1022:J1022,J1022))))</x:f>
        <x:v>6</x:v>
      </x:c>
      <x:c r="P1022" s="22" t="n">
        <x:f>IF(T1022="Ready",MIN(U1022,MAX(0,G1022-SUMIFS($U$1022:$U$1026,$O$1022:$O$1026,"&lt;"&amp;O1022))),"n.a.")</x:f>
        <x:v>0</x:v>
      </x:c>
      <x:c r="Q1022" s="22" t="n">
        <x:f>IF(T1022="Ready",ROUND(N1022+P1022,2),"n.a.")</x:f>
        <x:v>0</x:v>
      </x:c>
      <x:c r="R1022" s="22" t="n">
        <x:f>IF(T1022="Ready",ROUND(Q1022-M1022,2),"n.a.")</x:f>
        <x:v>0</x:v>
      </x:c>
      <x:c r="S1022" s="22" t="n">
        <x:f>IF(T1022="Ready",MAX(0,ROUND(I1022+M1022-Q1022,2)),"n.a.")</x:f>
        <x:v>0</x:v>
      </x:c>
      <x:c r="T1022" s="22" t="str">
        <x:f>IF(AND(COUNT($I$1022:$I$1026)=5,COUNT(E1022:F1022)=2),IF(E1022&gt;=F1022,"Ready","Budget below minima"),"Check inputs")</x:f>
        <x:v>Ready</x:v>
      </x:c>
      <x:c r="U1022" s="22" t="n">
        <x:f>IF(COUNT(I1022,M1022,N1022)=3,MAX(0,ROUND(I1022+M1022-N1022,2)),"n.a.")</x:f>
        <x:v>0</x:v>
      </x:c>
    </x:row>
    <x:row r="1023" ht="22" customHeight="1">
      <x:c r="A1023" s="2"/>
      <x:c r="B1023" s="2"/>
      <x:c r="C1023" s="27" t="n">
        <x:f>204</x:f>
        <x:v>204</x:v>
      </x:c>
      <x:c r="D1023" s="28" t="n">
        <x:f>IF(ISNUMBER('Inputs'!$D$7),EDATE('Inputs'!$D$7,203),"n.a.")</x:f>
        <x:v>52505</x:v>
      </x:c>
      <x:c r="E1023" s="26" t="n">
        <x:f>IF('Inputs'!$D$9&lt;&gt;"Ready","n.a.",IF(ISNUMBER('Inputs'!E222),IF('Inputs'!E222&gt;=0,'Inputs'!E222,"n.a."),IF('Inputs'!E222="",'Inputs'!$D$6,"n.a.")))</x:f>
        <x:v>500</x:v>
      </x:c>
      <x:c r="F1023" s="22" t="n">
        <x:f>IF(COUNT($N$1022:$N$1026)=5,SUM($N$1022:$N$1026),"n.a.")</x:f>
        <x:v>0</x:v>
      </x:c>
      <x:c r="G1023" s="22" t="n">
        <x:f>IF(COUNT(E1023:F1023)=2,MAX(0,E1023-F1023),"n.a.")</x:f>
        <x:v>500</x:v>
      </x:c>
      <x:c r="H1023" s="26" t="str">
        <x:f>'Inputs'!C12</x:f>
        <x:v>Card B</x:v>
      </x:c>
      <x:c r="I1023" s="26" t="n">
        <x:f>S1018</x:f>
        <x:v>0</x:v>
      </x:c>
      <x:c r="J1023" s="29" t="n">
        <x:f>IF('Inputs'!$D$9="Ready",'Inputs'!E12,"n.a.")</x:f>
        <x:v>0.18</x:v>
      </x:c>
      <x:c r="K1023" s="26" t="n">
        <x:f>IF('Inputs'!$D$9="Ready",'Inputs'!F12,"n.a.")</x:f>
        <x:v>60</x:v>
      </x:c>
      <x:c r="L1023" s="29" t="n">
        <x:f>IF('Inputs'!$D$9="Ready",'Inputs'!G12,"n.a.")</x:f>
        <x:v>0.02</x:v>
      </x:c>
      <x:c r="M1023" s="22" t="n">
        <x:f>IF(COUNT(I1023:L1023)=4,ROUND(I1023*J1023/12,2),"n.a.")</x:f>
        <x:v>0</x:v>
      </x:c>
      <x:c r="N1023" s="22" t="n">
        <x:f>IF(COUNT(I1023:M1023)=5,MIN(I1023+M1023,ROUND(MAX(K1023,I1023*L1023+M1023),2)),"n.a.")</x:f>
        <x:v>0</x:v>
      </x:c>
      <x:c r="O1023" s="30" t="n">
        <x:f>IF(COUNT($I$1022:$I$1026)&lt;&gt;5,"n.a.",IF(I1023=0,6,IF('Inputs'!$D$5=1,COUNTIFS($I$1022:$I$1026,"&gt;0",$I$1022:$I$1026,"&lt;"&amp;I1023)+COUNTIFS($I$1022:I1023,I1023),COUNTIFS($I$1022:$I$1026,"&gt;0",$J$1022:$J$1026,"&gt;"&amp;J1023)+COUNTIFS($I$1022:I1023,"&gt;0",$J$1022:J1023,J1023))))</x:f>
        <x:v>6</x:v>
      </x:c>
      <x:c r="P1023" s="22" t="n">
        <x:f>IF(T1023="Ready",MIN(U1023,MAX(0,G1023-SUMIFS($U$1022:$U$1026,$O$1022:$O$1026,"&lt;"&amp;O1023))),"n.a.")</x:f>
        <x:v>0</x:v>
      </x:c>
      <x:c r="Q1023" s="22" t="n">
        <x:f>IF(T1023="Ready",ROUND(N1023+P1023,2),"n.a.")</x:f>
        <x:v>0</x:v>
      </x:c>
      <x:c r="R1023" s="22" t="n">
        <x:f>IF(T1023="Ready",ROUND(Q1023-M1023,2),"n.a.")</x:f>
        <x:v>0</x:v>
      </x:c>
      <x:c r="S1023" s="22" t="n">
        <x:f>IF(T1023="Ready",MAX(0,ROUND(I1023+M1023-Q1023,2)),"n.a.")</x:f>
        <x:v>0</x:v>
      </x:c>
      <x:c r="T1023" s="22" t="str">
        <x:f>IF(AND(COUNT($I$1022:$I$1026)=5,COUNT(E1023:F1023)=2),IF(E1023&gt;=F1023,"Ready","Budget below minima"),"Check inputs")</x:f>
        <x:v>Ready</x:v>
      </x:c>
      <x:c r="U1023" s="22" t="n">
        <x:f>IF(COUNT(I1023,M1023,N1023)=3,MAX(0,ROUND(I1023+M1023-N1023,2)),"n.a.")</x:f>
        <x:v>0</x:v>
      </x:c>
    </x:row>
    <x:row r="1024" ht="22" customHeight="1">
      <x:c r="A1024" s="2"/>
      <x:c r="B1024" s="2"/>
      <x:c r="C1024" s="27" t="n">
        <x:f>204</x:f>
        <x:v>204</x:v>
      </x:c>
      <x:c r="D1024" s="28" t="n">
        <x:f>IF(ISNUMBER('Inputs'!$D$7),EDATE('Inputs'!$D$7,203),"n.a.")</x:f>
        <x:v>52505</x:v>
      </x:c>
      <x:c r="E1024" s="26" t="n">
        <x:f>IF('Inputs'!$D$9&lt;&gt;"Ready","n.a.",IF(ISNUMBER('Inputs'!E222),IF('Inputs'!E222&gt;=0,'Inputs'!E222,"n.a."),IF('Inputs'!E222="",'Inputs'!$D$6,"n.a.")))</x:f>
        <x:v>500</x:v>
      </x:c>
      <x:c r="F1024" s="22" t="n">
        <x:f>IF(COUNT($N$1022:$N$1026)=5,SUM($N$1022:$N$1026),"n.a.")</x:f>
        <x:v>0</x:v>
      </x:c>
      <x:c r="G1024" s="22" t="n">
        <x:f>IF(COUNT(E1024:F1024)=2,MAX(0,E1024-F1024),"n.a.")</x:f>
        <x:v>500</x:v>
      </x:c>
      <x:c r="H1024" s="26" t="str">
        <x:f>'Inputs'!C13</x:f>
        <x:v>Loan C</x:v>
      </x:c>
      <x:c r="I1024" s="26" t="n">
        <x:f>S1019</x:f>
        <x:v>0</x:v>
      </x:c>
      <x:c r="J1024" s="29" t="n">
        <x:f>IF('Inputs'!$D$9="Ready",'Inputs'!E13,"n.a.")</x:f>
        <x:v>0.08</x:v>
      </x:c>
      <x:c r="K1024" s="26" t="n">
        <x:f>IF('Inputs'!$D$9="Ready",'Inputs'!F13,"n.a.")</x:f>
        <x:v>150</x:v>
      </x:c>
      <x:c r="L1024" s="29" t="n">
        <x:f>IF('Inputs'!$D$9="Ready",'Inputs'!G13,"n.a.")</x:f>
        <x:v>0</x:v>
      </x:c>
      <x:c r="M1024" s="22" t="n">
        <x:f>IF(COUNT(I1024:L1024)=4,ROUND(I1024*J1024/12,2),"n.a.")</x:f>
        <x:v>0</x:v>
      </x:c>
      <x:c r="N1024" s="22" t="n">
        <x:f>IF(COUNT(I1024:M1024)=5,MIN(I1024+M1024,ROUND(MAX(K1024,I1024*L1024+M1024),2)),"n.a.")</x:f>
        <x:v>0</x:v>
      </x:c>
      <x:c r="O1024" s="30" t="n">
        <x:f>IF(COUNT($I$1022:$I$1026)&lt;&gt;5,"n.a.",IF(I1024=0,6,IF('Inputs'!$D$5=1,COUNTIFS($I$1022:$I$1026,"&gt;0",$I$1022:$I$1026,"&lt;"&amp;I1024)+COUNTIFS($I$1022:I1024,I1024),COUNTIFS($I$1022:$I$1026,"&gt;0",$J$1022:$J$1026,"&gt;"&amp;J1024)+COUNTIFS($I$1022:I1024,"&gt;0",$J$1022:J1024,J1024))))</x:f>
        <x:v>6</x:v>
      </x:c>
      <x:c r="P1024" s="22" t="n">
        <x:f>IF(T1024="Ready",MIN(U1024,MAX(0,G1024-SUMIFS($U$1022:$U$1026,$O$1022:$O$1026,"&lt;"&amp;O1024))),"n.a.")</x:f>
        <x:v>0</x:v>
      </x:c>
      <x:c r="Q1024" s="22" t="n">
        <x:f>IF(T1024="Ready",ROUND(N1024+P1024,2),"n.a.")</x:f>
        <x:v>0</x:v>
      </x:c>
      <x:c r="R1024" s="22" t="n">
        <x:f>IF(T1024="Ready",ROUND(Q1024-M1024,2),"n.a.")</x:f>
        <x:v>0</x:v>
      </x:c>
      <x:c r="S1024" s="22" t="n">
        <x:f>IF(T1024="Ready",MAX(0,ROUND(I1024+M1024-Q1024,2)),"n.a.")</x:f>
        <x:v>0</x:v>
      </x:c>
      <x:c r="T1024" s="22" t="str">
        <x:f>IF(AND(COUNT($I$1022:$I$1026)=5,COUNT(E1024:F1024)=2),IF(E1024&gt;=F1024,"Ready","Budget below minima"),"Check inputs")</x:f>
        <x:v>Ready</x:v>
      </x:c>
      <x:c r="U1024" s="22" t="n">
        <x:f>IF(COUNT(I1024,M1024,N1024)=3,MAX(0,ROUND(I1024+M1024-N1024,2)),"n.a.")</x:f>
        <x:v>0</x:v>
      </x:c>
    </x:row>
    <x:row r="1025" ht="22" customHeight="1">
      <x:c r="A1025" s="2"/>
      <x:c r="B1025" s="2"/>
      <x:c r="C1025" s="27" t="n">
        <x:f>204</x:f>
        <x:v>204</x:v>
      </x:c>
      <x:c r="D1025" s="28" t="n">
        <x:f>IF(ISNUMBER('Inputs'!$D$7),EDATE('Inputs'!$D$7,203),"n.a.")</x:f>
        <x:v>52505</x:v>
      </x:c>
      <x:c r="E1025" s="26" t="n">
        <x:f>IF('Inputs'!$D$9&lt;&gt;"Ready","n.a.",IF(ISNUMBER('Inputs'!E222),IF('Inputs'!E222&gt;=0,'Inputs'!E222,"n.a."),IF('Inputs'!E222="",'Inputs'!$D$6,"n.a.")))</x:f>
        <x:v>500</x:v>
      </x:c>
      <x:c r="F1025" s="22" t="n">
        <x:f>IF(COUNT($N$1022:$N$1026)=5,SUM($N$1022:$N$1026),"n.a.")</x:f>
        <x:v>0</x:v>
      </x:c>
      <x:c r="G1025" s="22" t="n">
        <x:f>IF(COUNT(E1025:F1025)=2,MAX(0,E1025-F1025),"n.a.")</x:f>
        <x:v>500</x:v>
      </x:c>
      <x:c r="H1025" s="26" t="str">
        <x:f>'Inputs'!C14</x:f>
        <x:v>Unused 4</x:v>
      </x:c>
      <x:c r="I1025" s="26" t="n">
        <x:f>S1020</x:f>
        <x:v>0</x:v>
      </x:c>
      <x:c r="J1025" s="29" t="n">
        <x:f>IF('Inputs'!$D$9="Ready",'Inputs'!E14,"n.a.")</x:f>
        <x:v>0</x:v>
      </x:c>
      <x:c r="K1025" s="26" t="n">
        <x:f>IF('Inputs'!$D$9="Ready",'Inputs'!F14,"n.a.")</x:f>
        <x:v>0</x:v>
      </x:c>
      <x:c r="L1025" s="29" t="n">
        <x:f>IF('Inputs'!$D$9="Ready",'Inputs'!G14,"n.a.")</x:f>
        <x:v>0</x:v>
      </x:c>
      <x:c r="M1025" s="22" t="n">
        <x:f>IF(COUNT(I1025:L1025)=4,ROUND(I1025*J1025/12,2),"n.a.")</x:f>
        <x:v>0</x:v>
      </x:c>
      <x:c r="N1025" s="22" t="n">
        <x:f>IF(COUNT(I1025:M1025)=5,MIN(I1025+M1025,ROUND(MAX(K1025,I1025*L1025+M1025),2)),"n.a.")</x:f>
        <x:v>0</x:v>
      </x:c>
      <x:c r="O1025" s="30" t="n">
        <x:f>IF(COUNT($I$1022:$I$1026)&lt;&gt;5,"n.a.",IF(I1025=0,6,IF('Inputs'!$D$5=1,COUNTIFS($I$1022:$I$1026,"&gt;0",$I$1022:$I$1026,"&lt;"&amp;I1025)+COUNTIFS($I$1022:I1025,I1025),COUNTIFS($I$1022:$I$1026,"&gt;0",$J$1022:$J$1026,"&gt;"&amp;J1025)+COUNTIFS($I$1022:I1025,"&gt;0",$J$1022:J1025,J1025))))</x:f>
        <x:v>6</x:v>
      </x:c>
      <x:c r="P1025" s="22" t="n">
        <x:f>IF(T1025="Ready",MIN(U1025,MAX(0,G1025-SUMIFS($U$1022:$U$1026,$O$1022:$O$1026,"&lt;"&amp;O1025))),"n.a.")</x:f>
        <x:v>0</x:v>
      </x:c>
      <x:c r="Q1025" s="22" t="n">
        <x:f>IF(T1025="Ready",ROUND(N1025+P1025,2),"n.a.")</x:f>
        <x:v>0</x:v>
      </x:c>
      <x:c r="R1025" s="22" t="n">
        <x:f>IF(T1025="Ready",ROUND(Q1025-M1025,2),"n.a.")</x:f>
        <x:v>0</x:v>
      </x:c>
      <x:c r="S1025" s="22" t="n">
        <x:f>IF(T1025="Ready",MAX(0,ROUND(I1025+M1025-Q1025,2)),"n.a.")</x:f>
        <x:v>0</x:v>
      </x:c>
      <x:c r="T1025" s="22" t="str">
        <x:f>IF(AND(COUNT($I$1022:$I$1026)=5,COUNT(E1025:F1025)=2),IF(E1025&gt;=F1025,"Ready","Budget below minima"),"Check inputs")</x:f>
        <x:v>Ready</x:v>
      </x:c>
      <x:c r="U1025" s="22" t="n">
        <x:f>IF(COUNT(I1025,M1025,N1025)=3,MAX(0,ROUND(I1025+M1025-N1025,2)),"n.a.")</x:f>
        <x:v>0</x:v>
      </x:c>
    </x:row>
    <x:row r="1026" ht="22" customHeight="1">
      <x:c r="A1026" s="2"/>
      <x:c r="B1026" s="2"/>
      <x:c r="C1026" s="27" t="n">
        <x:f>204</x:f>
        <x:v>204</x:v>
      </x:c>
      <x:c r="D1026" s="28" t="n">
        <x:f>IF(ISNUMBER('Inputs'!$D$7),EDATE('Inputs'!$D$7,203),"n.a.")</x:f>
        <x:v>52505</x:v>
      </x:c>
      <x:c r="E1026" s="26" t="n">
        <x:f>IF('Inputs'!$D$9&lt;&gt;"Ready","n.a.",IF(ISNUMBER('Inputs'!E222),IF('Inputs'!E222&gt;=0,'Inputs'!E222,"n.a."),IF('Inputs'!E222="",'Inputs'!$D$6,"n.a.")))</x:f>
        <x:v>500</x:v>
      </x:c>
      <x:c r="F1026" s="22" t="n">
        <x:f>IF(COUNT($N$1022:$N$1026)=5,SUM($N$1022:$N$1026),"n.a.")</x:f>
        <x:v>0</x:v>
      </x:c>
      <x:c r="G1026" s="22" t="n">
        <x:f>IF(COUNT(E1026:F1026)=2,MAX(0,E1026-F1026),"n.a.")</x:f>
        <x:v>500</x:v>
      </x:c>
      <x:c r="H1026" s="26" t="str">
        <x:f>'Inputs'!C15</x:f>
        <x:v>Unused 5</x:v>
      </x:c>
      <x:c r="I1026" s="26" t="n">
        <x:f>S1021</x:f>
        <x:v>0</x:v>
      </x:c>
      <x:c r="J1026" s="29" t="n">
        <x:f>IF('Inputs'!$D$9="Ready",'Inputs'!E15,"n.a.")</x:f>
        <x:v>0</x:v>
      </x:c>
      <x:c r="K1026" s="26" t="n">
        <x:f>IF('Inputs'!$D$9="Ready",'Inputs'!F15,"n.a.")</x:f>
        <x:v>0</x:v>
      </x:c>
      <x:c r="L1026" s="29" t="n">
        <x:f>IF('Inputs'!$D$9="Ready",'Inputs'!G15,"n.a.")</x:f>
        <x:v>0</x:v>
      </x:c>
      <x:c r="M1026" s="22" t="n">
        <x:f>IF(COUNT(I1026:L1026)=4,ROUND(I1026*J1026/12,2),"n.a.")</x:f>
        <x:v>0</x:v>
      </x:c>
      <x:c r="N1026" s="22" t="n">
        <x:f>IF(COUNT(I1026:M1026)=5,MIN(I1026+M1026,ROUND(MAX(K1026,I1026*L1026+M1026),2)),"n.a.")</x:f>
        <x:v>0</x:v>
      </x:c>
      <x:c r="O1026" s="30" t="n">
        <x:f>IF(COUNT($I$1022:$I$1026)&lt;&gt;5,"n.a.",IF(I1026=0,6,IF('Inputs'!$D$5=1,COUNTIFS($I$1022:$I$1026,"&gt;0",$I$1022:$I$1026,"&lt;"&amp;I1026)+COUNTIFS($I$1022:I1026,I1026),COUNTIFS($I$1022:$I$1026,"&gt;0",$J$1022:$J$1026,"&gt;"&amp;J1026)+COUNTIFS($I$1022:I1026,"&gt;0",$J$1022:J1026,J1026))))</x:f>
        <x:v>6</x:v>
      </x:c>
      <x:c r="P1026" s="22" t="n">
        <x:f>IF(T1026="Ready",MIN(U1026,MAX(0,G1026-SUMIFS($U$1022:$U$1026,$O$1022:$O$1026,"&lt;"&amp;O1026))),"n.a.")</x:f>
        <x:v>0</x:v>
      </x:c>
      <x:c r="Q1026" s="22" t="n">
        <x:f>IF(T1026="Ready",ROUND(N1026+P1026,2),"n.a.")</x:f>
        <x:v>0</x:v>
      </x:c>
      <x:c r="R1026" s="22" t="n">
        <x:f>IF(T1026="Ready",ROUND(Q1026-M1026,2),"n.a.")</x:f>
        <x:v>0</x:v>
      </x:c>
      <x:c r="S1026" s="22" t="n">
        <x:f>IF(T1026="Ready",MAX(0,ROUND(I1026+M1026-Q1026,2)),"n.a.")</x:f>
        <x:v>0</x:v>
      </x:c>
      <x:c r="T1026" s="22" t="str">
        <x:f>IF(AND(COUNT($I$1022:$I$1026)=5,COUNT(E1026:F1026)=2),IF(E1026&gt;=F1026,"Ready","Budget below minima"),"Check inputs")</x:f>
        <x:v>Ready</x:v>
      </x:c>
      <x:c r="U1026" s="22" t="n">
        <x:f>IF(COUNT(I1026,M1026,N1026)=3,MAX(0,ROUND(I1026+M1026-N1026,2)),"n.a.")</x:f>
        <x:v>0</x:v>
      </x:c>
    </x:row>
    <x:row r="1027" ht="22" customHeight="1">
      <x:c r="A1027" s="2"/>
      <x:c r="B1027" s="2"/>
      <x:c r="C1027" s="27" t="n">
        <x:f>205</x:f>
        <x:v>205</x:v>
      </x:c>
      <x:c r="D1027" s="28" t="n">
        <x:f>IF(ISNUMBER('Inputs'!$D$7),EDATE('Inputs'!$D$7,204),"n.a.")</x:f>
        <x:v>52536</x:v>
      </x:c>
      <x:c r="E1027" s="26" t="n">
        <x:f>IF('Inputs'!$D$9&lt;&gt;"Ready","n.a.",IF(ISNUMBER('Inputs'!E223),IF('Inputs'!E223&gt;=0,'Inputs'!E223,"n.a."),IF('Inputs'!E223="",'Inputs'!$D$6,"n.a.")))</x:f>
        <x:v>500</x:v>
      </x:c>
      <x:c r="F1027" s="22" t="n">
        <x:f>IF(COUNT($N$1027:$N$1031)=5,SUM($N$1027:$N$1031),"n.a.")</x:f>
        <x:v>0</x:v>
      </x:c>
      <x:c r="G1027" s="22" t="n">
        <x:f>IF(COUNT(E1027:F1027)=2,MAX(0,E1027-F1027),"n.a.")</x:f>
        <x:v>500</x:v>
      </x:c>
      <x:c r="H1027" s="26" t="str">
        <x:f>'Inputs'!C11</x:f>
        <x:v>Card A</x:v>
      </x:c>
      <x:c r="I1027" s="26" t="n">
        <x:f>S1022</x:f>
        <x:v>0</x:v>
      </x:c>
      <x:c r="J1027" s="29" t="n">
        <x:f>IF('Inputs'!$D$9="Ready",'Inputs'!E11,"n.a.")</x:f>
        <x:v>0.24</x:v>
      </x:c>
      <x:c r="K1027" s="26" t="n">
        <x:f>IF('Inputs'!$D$9="Ready",'Inputs'!F11,"n.a.")</x:f>
        <x:v>35</x:v>
      </x:c>
      <x:c r="L1027" s="29" t="n">
        <x:f>IF('Inputs'!$D$9="Ready",'Inputs'!G11,"n.a.")</x:f>
        <x:v>0.02</x:v>
      </x:c>
      <x:c r="M1027" s="22" t="n">
        <x:f>IF(COUNT(I1027:L1027)=4,ROUND(I1027*J1027/12,2),"n.a.")</x:f>
        <x:v>0</x:v>
      </x:c>
      <x:c r="N1027" s="22" t="n">
        <x:f>IF(COUNT(I1027:M1027)=5,MIN(I1027+M1027,ROUND(MAX(K1027,I1027*L1027+M1027),2)),"n.a.")</x:f>
        <x:v>0</x:v>
      </x:c>
      <x:c r="O1027" s="30" t="n">
        <x:f>IF(COUNT($I$1027:$I$1031)&lt;&gt;5,"n.a.",IF(I1027=0,6,IF('Inputs'!$D$5=1,COUNTIFS($I$1027:$I$1031,"&gt;0",$I$1027:$I$1031,"&lt;"&amp;I1027)+COUNTIFS($I$1027:I1027,I1027),COUNTIFS($I$1027:$I$1031,"&gt;0",$J$1027:$J$1031,"&gt;"&amp;J1027)+COUNTIFS($I$1027:I1027,"&gt;0",$J$1027:J1027,J1027))))</x:f>
        <x:v>6</x:v>
      </x:c>
      <x:c r="P1027" s="22" t="n">
        <x:f>IF(T1027="Ready",MIN(U1027,MAX(0,G1027-SUMIFS($U$1027:$U$1031,$O$1027:$O$1031,"&lt;"&amp;O1027))),"n.a.")</x:f>
        <x:v>0</x:v>
      </x:c>
      <x:c r="Q1027" s="22" t="n">
        <x:f>IF(T1027="Ready",ROUND(N1027+P1027,2),"n.a.")</x:f>
        <x:v>0</x:v>
      </x:c>
      <x:c r="R1027" s="22" t="n">
        <x:f>IF(T1027="Ready",ROUND(Q1027-M1027,2),"n.a.")</x:f>
        <x:v>0</x:v>
      </x:c>
      <x:c r="S1027" s="22" t="n">
        <x:f>IF(T1027="Ready",MAX(0,ROUND(I1027+M1027-Q1027,2)),"n.a.")</x:f>
        <x:v>0</x:v>
      </x:c>
      <x:c r="T1027" s="22" t="str">
        <x:f>IF(AND(COUNT($I$1027:$I$1031)=5,COUNT(E1027:F1027)=2),IF(E1027&gt;=F1027,"Ready","Budget below minima"),"Check inputs")</x:f>
        <x:v>Ready</x:v>
      </x:c>
      <x:c r="U1027" s="22" t="n">
        <x:f>IF(COUNT(I1027,M1027,N1027)=3,MAX(0,ROUND(I1027+M1027-N1027,2)),"n.a.")</x:f>
        <x:v>0</x:v>
      </x:c>
    </x:row>
    <x:row r="1028" ht="22" customHeight="1">
      <x:c r="A1028" s="2"/>
      <x:c r="B1028" s="2"/>
      <x:c r="C1028" s="27" t="n">
        <x:f>205</x:f>
        <x:v>205</x:v>
      </x:c>
      <x:c r="D1028" s="28" t="n">
        <x:f>IF(ISNUMBER('Inputs'!$D$7),EDATE('Inputs'!$D$7,204),"n.a.")</x:f>
        <x:v>52536</x:v>
      </x:c>
      <x:c r="E1028" s="26" t="n">
        <x:f>IF('Inputs'!$D$9&lt;&gt;"Ready","n.a.",IF(ISNUMBER('Inputs'!E223),IF('Inputs'!E223&gt;=0,'Inputs'!E223,"n.a."),IF('Inputs'!E223="",'Inputs'!$D$6,"n.a.")))</x:f>
        <x:v>500</x:v>
      </x:c>
      <x:c r="F1028" s="22" t="n">
        <x:f>IF(COUNT($N$1027:$N$1031)=5,SUM($N$1027:$N$1031),"n.a.")</x:f>
        <x:v>0</x:v>
      </x:c>
      <x:c r="G1028" s="22" t="n">
        <x:f>IF(COUNT(E1028:F1028)=2,MAX(0,E1028-F1028),"n.a.")</x:f>
        <x:v>500</x:v>
      </x:c>
      <x:c r="H1028" s="26" t="str">
        <x:f>'Inputs'!C12</x:f>
        <x:v>Card B</x:v>
      </x:c>
      <x:c r="I1028" s="26" t="n">
        <x:f>S1023</x:f>
        <x:v>0</x:v>
      </x:c>
      <x:c r="J1028" s="29" t="n">
        <x:f>IF('Inputs'!$D$9="Ready",'Inputs'!E12,"n.a.")</x:f>
        <x:v>0.18</x:v>
      </x:c>
      <x:c r="K1028" s="26" t="n">
        <x:f>IF('Inputs'!$D$9="Ready",'Inputs'!F12,"n.a.")</x:f>
        <x:v>60</x:v>
      </x:c>
      <x:c r="L1028" s="29" t="n">
        <x:f>IF('Inputs'!$D$9="Ready",'Inputs'!G12,"n.a.")</x:f>
        <x:v>0.02</x:v>
      </x:c>
      <x:c r="M1028" s="22" t="n">
        <x:f>IF(COUNT(I1028:L1028)=4,ROUND(I1028*J1028/12,2),"n.a.")</x:f>
        <x:v>0</x:v>
      </x:c>
      <x:c r="N1028" s="22" t="n">
        <x:f>IF(COUNT(I1028:M1028)=5,MIN(I1028+M1028,ROUND(MAX(K1028,I1028*L1028+M1028),2)),"n.a.")</x:f>
        <x:v>0</x:v>
      </x:c>
      <x:c r="O1028" s="30" t="n">
        <x:f>IF(COUNT($I$1027:$I$1031)&lt;&gt;5,"n.a.",IF(I1028=0,6,IF('Inputs'!$D$5=1,COUNTIFS($I$1027:$I$1031,"&gt;0",$I$1027:$I$1031,"&lt;"&amp;I1028)+COUNTIFS($I$1027:I1028,I1028),COUNTIFS($I$1027:$I$1031,"&gt;0",$J$1027:$J$1031,"&gt;"&amp;J1028)+COUNTIFS($I$1027:I1028,"&gt;0",$J$1027:J1028,J1028))))</x:f>
        <x:v>6</x:v>
      </x:c>
      <x:c r="P1028" s="22" t="n">
        <x:f>IF(T1028="Ready",MIN(U1028,MAX(0,G1028-SUMIFS($U$1027:$U$1031,$O$1027:$O$1031,"&lt;"&amp;O1028))),"n.a.")</x:f>
        <x:v>0</x:v>
      </x:c>
      <x:c r="Q1028" s="22" t="n">
        <x:f>IF(T1028="Ready",ROUND(N1028+P1028,2),"n.a.")</x:f>
        <x:v>0</x:v>
      </x:c>
      <x:c r="R1028" s="22" t="n">
        <x:f>IF(T1028="Ready",ROUND(Q1028-M1028,2),"n.a.")</x:f>
        <x:v>0</x:v>
      </x:c>
      <x:c r="S1028" s="22" t="n">
        <x:f>IF(T1028="Ready",MAX(0,ROUND(I1028+M1028-Q1028,2)),"n.a.")</x:f>
        <x:v>0</x:v>
      </x:c>
      <x:c r="T1028" s="22" t="str">
        <x:f>IF(AND(COUNT($I$1027:$I$1031)=5,COUNT(E1028:F1028)=2),IF(E1028&gt;=F1028,"Ready","Budget below minima"),"Check inputs")</x:f>
        <x:v>Ready</x:v>
      </x:c>
      <x:c r="U1028" s="22" t="n">
        <x:f>IF(COUNT(I1028,M1028,N1028)=3,MAX(0,ROUND(I1028+M1028-N1028,2)),"n.a.")</x:f>
        <x:v>0</x:v>
      </x:c>
    </x:row>
    <x:row r="1029" ht="22" customHeight="1">
      <x:c r="A1029" s="2"/>
      <x:c r="B1029" s="2"/>
      <x:c r="C1029" s="27" t="n">
        <x:f>205</x:f>
        <x:v>205</x:v>
      </x:c>
      <x:c r="D1029" s="28" t="n">
        <x:f>IF(ISNUMBER('Inputs'!$D$7),EDATE('Inputs'!$D$7,204),"n.a.")</x:f>
        <x:v>52536</x:v>
      </x:c>
      <x:c r="E1029" s="26" t="n">
        <x:f>IF('Inputs'!$D$9&lt;&gt;"Ready","n.a.",IF(ISNUMBER('Inputs'!E223),IF('Inputs'!E223&gt;=0,'Inputs'!E223,"n.a."),IF('Inputs'!E223="",'Inputs'!$D$6,"n.a.")))</x:f>
        <x:v>500</x:v>
      </x:c>
      <x:c r="F1029" s="22" t="n">
        <x:f>IF(COUNT($N$1027:$N$1031)=5,SUM($N$1027:$N$1031),"n.a.")</x:f>
        <x:v>0</x:v>
      </x:c>
      <x:c r="G1029" s="22" t="n">
        <x:f>IF(COUNT(E1029:F1029)=2,MAX(0,E1029-F1029),"n.a.")</x:f>
        <x:v>500</x:v>
      </x:c>
      <x:c r="H1029" s="26" t="str">
        <x:f>'Inputs'!C13</x:f>
        <x:v>Loan C</x:v>
      </x:c>
      <x:c r="I1029" s="26" t="n">
        <x:f>S1024</x:f>
        <x:v>0</x:v>
      </x:c>
      <x:c r="J1029" s="29" t="n">
        <x:f>IF('Inputs'!$D$9="Ready",'Inputs'!E13,"n.a.")</x:f>
        <x:v>0.08</x:v>
      </x:c>
      <x:c r="K1029" s="26" t="n">
        <x:f>IF('Inputs'!$D$9="Ready",'Inputs'!F13,"n.a.")</x:f>
        <x:v>150</x:v>
      </x:c>
      <x:c r="L1029" s="29" t="n">
        <x:f>IF('Inputs'!$D$9="Ready",'Inputs'!G13,"n.a.")</x:f>
        <x:v>0</x:v>
      </x:c>
      <x:c r="M1029" s="22" t="n">
        <x:f>IF(COUNT(I1029:L1029)=4,ROUND(I1029*J1029/12,2),"n.a.")</x:f>
        <x:v>0</x:v>
      </x:c>
      <x:c r="N1029" s="22" t="n">
        <x:f>IF(COUNT(I1029:M1029)=5,MIN(I1029+M1029,ROUND(MAX(K1029,I1029*L1029+M1029),2)),"n.a.")</x:f>
        <x:v>0</x:v>
      </x:c>
      <x:c r="O1029" s="30" t="n">
        <x:f>IF(COUNT($I$1027:$I$1031)&lt;&gt;5,"n.a.",IF(I1029=0,6,IF('Inputs'!$D$5=1,COUNTIFS($I$1027:$I$1031,"&gt;0",$I$1027:$I$1031,"&lt;"&amp;I1029)+COUNTIFS($I$1027:I1029,I1029),COUNTIFS($I$1027:$I$1031,"&gt;0",$J$1027:$J$1031,"&gt;"&amp;J1029)+COUNTIFS($I$1027:I1029,"&gt;0",$J$1027:J1029,J1029))))</x:f>
        <x:v>6</x:v>
      </x:c>
      <x:c r="P1029" s="22" t="n">
        <x:f>IF(T1029="Ready",MIN(U1029,MAX(0,G1029-SUMIFS($U$1027:$U$1031,$O$1027:$O$1031,"&lt;"&amp;O1029))),"n.a.")</x:f>
        <x:v>0</x:v>
      </x:c>
      <x:c r="Q1029" s="22" t="n">
        <x:f>IF(T1029="Ready",ROUND(N1029+P1029,2),"n.a.")</x:f>
        <x:v>0</x:v>
      </x:c>
      <x:c r="R1029" s="22" t="n">
        <x:f>IF(T1029="Ready",ROUND(Q1029-M1029,2),"n.a.")</x:f>
        <x:v>0</x:v>
      </x:c>
      <x:c r="S1029" s="22" t="n">
        <x:f>IF(T1029="Ready",MAX(0,ROUND(I1029+M1029-Q1029,2)),"n.a.")</x:f>
        <x:v>0</x:v>
      </x:c>
      <x:c r="T1029" s="22" t="str">
        <x:f>IF(AND(COUNT($I$1027:$I$1031)=5,COUNT(E1029:F1029)=2),IF(E1029&gt;=F1029,"Ready","Budget below minima"),"Check inputs")</x:f>
        <x:v>Ready</x:v>
      </x:c>
      <x:c r="U1029" s="22" t="n">
        <x:f>IF(COUNT(I1029,M1029,N1029)=3,MAX(0,ROUND(I1029+M1029-N1029,2)),"n.a.")</x:f>
        <x:v>0</x:v>
      </x:c>
    </x:row>
    <x:row r="1030" ht="22" customHeight="1">
      <x:c r="A1030" s="2"/>
      <x:c r="B1030" s="2"/>
      <x:c r="C1030" s="27" t="n">
        <x:f>205</x:f>
        <x:v>205</x:v>
      </x:c>
      <x:c r="D1030" s="28" t="n">
        <x:f>IF(ISNUMBER('Inputs'!$D$7),EDATE('Inputs'!$D$7,204),"n.a.")</x:f>
        <x:v>52536</x:v>
      </x:c>
      <x:c r="E1030" s="26" t="n">
        <x:f>IF('Inputs'!$D$9&lt;&gt;"Ready","n.a.",IF(ISNUMBER('Inputs'!E223),IF('Inputs'!E223&gt;=0,'Inputs'!E223,"n.a."),IF('Inputs'!E223="",'Inputs'!$D$6,"n.a.")))</x:f>
        <x:v>500</x:v>
      </x:c>
      <x:c r="F1030" s="22" t="n">
        <x:f>IF(COUNT($N$1027:$N$1031)=5,SUM($N$1027:$N$1031),"n.a.")</x:f>
        <x:v>0</x:v>
      </x:c>
      <x:c r="G1030" s="22" t="n">
        <x:f>IF(COUNT(E1030:F1030)=2,MAX(0,E1030-F1030),"n.a.")</x:f>
        <x:v>500</x:v>
      </x:c>
      <x:c r="H1030" s="26" t="str">
        <x:f>'Inputs'!C14</x:f>
        <x:v>Unused 4</x:v>
      </x:c>
      <x:c r="I1030" s="26" t="n">
        <x:f>S1025</x:f>
        <x:v>0</x:v>
      </x:c>
      <x:c r="J1030" s="29" t="n">
        <x:f>IF('Inputs'!$D$9="Ready",'Inputs'!E14,"n.a.")</x:f>
        <x:v>0</x:v>
      </x:c>
      <x:c r="K1030" s="26" t="n">
        <x:f>IF('Inputs'!$D$9="Ready",'Inputs'!F14,"n.a.")</x:f>
        <x:v>0</x:v>
      </x:c>
      <x:c r="L1030" s="29" t="n">
        <x:f>IF('Inputs'!$D$9="Ready",'Inputs'!G14,"n.a.")</x:f>
        <x:v>0</x:v>
      </x:c>
      <x:c r="M1030" s="22" t="n">
        <x:f>IF(COUNT(I1030:L1030)=4,ROUND(I1030*J1030/12,2),"n.a.")</x:f>
        <x:v>0</x:v>
      </x:c>
      <x:c r="N1030" s="22" t="n">
        <x:f>IF(COUNT(I1030:M1030)=5,MIN(I1030+M1030,ROUND(MAX(K1030,I1030*L1030+M1030),2)),"n.a.")</x:f>
        <x:v>0</x:v>
      </x:c>
      <x:c r="O1030" s="30" t="n">
        <x:f>IF(COUNT($I$1027:$I$1031)&lt;&gt;5,"n.a.",IF(I1030=0,6,IF('Inputs'!$D$5=1,COUNTIFS($I$1027:$I$1031,"&gt;0",$I$1027:$I$1031,"&lt;"&amp;I1030)+COUNTIFS($I$1027:I1030,I1030),COUNTIFS($I$1027:$I$1031,"&gt;0",$J$1027:$J$1031,"&gt;"&amp;J1030)+COUNTIFS($I$1027:I1030,"&gt;0",$J$1027:J1030,J1030))))</x:f>
        <x:v>6</x:v>
      </x:c>
      <x:c r="P1030" s="22" t="n">
        <x:f>IF(T1030="Ready",MIN(U1030,MAX(0,G1030-SUMIFS($U$1027:$U$1031,$O$1027:$O$1031,"&lt;"&amp;O1030))),"n.a.")</x:f>
        <x:v>0</x:v>
      </x:c>
      <x:c r="Q1030" s="22" t="n">
        <x:f>IF(T1030="Ready",ROUND(N1030+P1030,2),"n.a.")</x:f>
        <x:v>0</x:v>
      </x:c>
      <x:c r="R1030" s="22" t="n">
        <x:f>IF(T1030="Ready",ROUND(Q1030-M1030,2),"n.a.")</x:f>
        <x:v>0</x:v>
      </x:c>
      <x:c r="S1030" s="22" t="n">
        <x:f>IF(T1030="Ready",MAX(0,ROUND(I1030+M1030-Q1030,2)),"n.a.")</x:f>
        <x:v>0</x:v>
      </x:c>
      <x:c r="T1030" s="22" t="str">
        <x:f>IF(AND(COUNT($I$1027:$I$1031)=5,COUNT(E1030:F1030)=2),IF(E1030&gt;=F1030,"Ready","Budget below minima"),"Check inputs")</x:f>
        <x:v>Ready</x:v>
      </x:c>
      <x:c r="U1030" s="22" t="n">
        <x:f>IF(COUNT(I1030,M1030,N1030)=3,MAX(0,ROUND(I1030+M1030-N1030,2)),"n.a.")</x:f>
        <x:v>0</x:v>
      </x:c>
    </x:row>
    <x:row r="1031" ht="22" customHeight="1">
      <x:c r="A1031" s="2"/>
      <x:c r="B1031" s="2"/>
      <x:c r="C1031" s="27" t="n">
        <x:f>205</x:f>
        <x:v>205</x:v>
      </x:c>
      <x:c r="D1031" s="28" t="n">
        <x:f>IF(ISNUMBER('Inputs'!$D$7),EDATE('Inputs'!$D$7,204),"n.a.")</x:f>
        <x:v>52536</x:v>
      </x:c>
      <x:c r="E1031" s="26" t="n">
        <x:f>IF('Inputs'!$D$9&lt;&gt;"Ready","n.a.",IF(ISNUMBER('Inputs'!E223),IF('Inputs'!E223&gt;=0,'Inputs'!E223,"n.a."),IF('Inputs'!E223="",'Inputs'!$D$6,"n.a.")))</x:f>
        <x:v>500</x:v>
      </x:c>
      <x:c r="F1031" s="22" t="n">
        <x:f>IF(COUNT($N$1027:$N$1031)=5,SUM($N$1027:$N$1031),"n.a.")</x:f>
        <x:v>0</x:v>
      </x:c>
      <x:c r="G1031" s="22" t="n">
        <x:f>IF(COUNT(E1031:F1031)=2,MAX(0,E1031-F1031),"n.a.")</x:f>
        <x:v>500</x:v>
      </x:c>
      <x:c r="H1031" s="26" t="str">
        <x:f>'Inputs'!C15</x:f>
        <x:v>Unused 5</x:v>
      </x:c>
      <x:c r="I1031" s="26" t="n">
        <x:f>S1026</x:f>
        <x:v>0</x:v>
      </x:c>
      <x:c r="J1031" s="29" t="n">
        <x:f>IF('Inputs'!$D$9="Ready",'Inputs'!E15,"n.a.")</x:f>
        <x:v>0</x:v>
      </x:c>
      <x:c r="K1031" s="26" t="n">
        <x:f>IF('Inputs'!$D$9="Ready",'Inputs'!F15,"n.a.")</x:f>
        <x:v>0</x:v>
      </x:c>
      <x:c r="L1031" s="29" t="n">
        <x:f>IF('Inputs'!$D$9="Ready",'Inputs'!G15,"n.a.")</x:f>
        <x:v>0</x:v>
      </x:c>
      <x:c r="M1031" s="22" t="n">
        <x:f>IF(COUNT(I1031:L1031)=4,ROUND(I1031*J1031/12,2),"n.a.")</x:f>
        <x:v>0</x:v>
      </x:c>
      <x:c r="N1031" s="22" t="n">
        <x:f>IF(COUNT(I1031:M1031)=5,MIN(I1031+M1031,ROUND(MAX(K1031,I1031*L1031+M1031),2)),"n.a.")</x:f>
        <x:v>0</x:v>
      </x:c>
      <x:c r="O1031" s="30" t="n">
        <x:f>IF(COUNT($I$1027:$I$1031)&lt;&gt;5,"n.a.",IF(I1031=0,6,IF('Inputs'!$D$5=1,COUNTIFS($I$1027:$I$1031,"&gt;0",$I$1027:$I$1031,"&lt;"&amp;I1031)+COUNTIFS($I$1027:I1031,I1031),COUNTIFS($I$1027:$I$1031,"&gt;0",$J$1027:$J$1031,"&gt;"&amp;J1031)+COUNTIFS($I$1027:I1031,"&gt;0",$J$1027:J1031,J1031))))</x:f>
        <x:v>6</x:v>
      </x:c>
      <x:c r="P1031" s="22" t="n">
        <x:f>IF(T1031="Ready",MIN(U1031,MAX(0,G1031-SUMIFS($U$1027:$U$1031,$O$1027:$O$1031,"&lt;"&amp;O1031))),"n.a.")</x:f>
        <x:v>0</x:v>
      </x:c>
      <x:c r="Q1031" s="22" t="n">
        <x:f>IF(T1031="Ready",ROUND(N1031+P1031,2),"n.a.")</x:f>
        <x:v>0</x:v>
      </x:c>
      <x:c r="R1031" s="22" t="n">
        <x:f>IF(T1031="Ready",ROUND(Q1031-M1031,2),"n.a.")</x:f>
        <x:v>0</x:v>
      </x:c>
      <x:c r="S1031" s="22" t="n">
        <x:f>IF(T1031="Ready",MAX(0,ROUND(I1031+M1031-Q1031,2)),"n.a.")</x:f>
        <x:v>0</x:v>
      </x:c>
      <x:c r="T1031" s="22" t="str">
        <x:f>IF(AND(COUNT($I$1027:$I$1031)=5,COUNT(E1031:F1031)=2),IF(E1031&gt;=F1031,"Ready","Budget below minima"),"Check inputs")</x:f>
        <x:v>Ready</x:v>
      </x:c>
      <x:c r="U1031" s="22" t="n">
        <x:f>IF(COUNT(I1031,M1031,N1031)=3,MAX(0,ROUND(I1031+M1031-N1031,2)),"n.a.")</x:f>
        <x:v>0</x:v>
      </x:c>
    </x:row>
    <x:row r="1032" ht="22" customHeight="1">
      <x:c r="A1032" s="2"/>
      <x:c r="B1032" s="2"/>
      <x:c r="C1032" s="27" t="n">
        <x:f>206</x:f>
        <x:v>206</x:v>
      </x:c>
      <x:c r="D1032" s="28" t="n">
        <x:f>IF(ISNUMBER('Inputs'!$D$7),EDATE('Inputs'!$D$7,205),"n.a.")</x:f>
        <x:v>52566</x:v>
      </x:c>
      <x:c r="E1032" s="26" t="n">
        <x:f>IF('Inputs'!$D$9&lt;&gt;"Ready","n.a.",IF(ISNUMBER('Inputs'!E224),IF('Inputs'!E224&gt;=0,'Inputs'!E224,"n.a."),IF('Inputs'!E224="",'Inputs'!$D$6,"n.a.")))</x:f>
        <x:v>500</x:v>
      </x:c>
      <x:c r="F1032" s="22" t="n">
        <x:f>IF(COUNT($N$1032:$N$1036)=5,SUM($N$1032:$N$1036),"n.a.")</x:f>
        <x:v>0</x:v>
      </x:c>
      <x:c r="G1032" s="22" t="n">
        <x:f>IF(COUNT(E1032:F1032)=2,MAX(0,E1032-F1032),"n.a.")</x:f>
        <x:v>500</x:v>
      </x:c>
      <x:c r="H1032" s="26" t="str">
        <x:f>'Inputs'!C11</x:f>
        <x:v>Card A</x:v>
      </x:c>
      <x:c r="I1032" s="26" t="n">
        <x:f>S1027</x:f>
        <x:v>0</x:v>
      </x:c>
      <x:c r="J1032" s="29" t="n">
        <x:f>IF('Inputs'!$D$9="Ready",'Inputs'!E11,"n.a.")</x:f>
        <x:v>0.24</x:v>
      </x:c>
      <x:c r="K1032" s="26" t="n">
        <x:f>IF('Inputs'!$D$9="Ready",'Inputs'!F11,"n.a.")</x:f>
        <x:v>35</x:v>
      </x:c>
      <x:c r="L1032" s="29" t="n">
        <x:f>IF('Inputs'!$D$9="Ready",'Inputs'!G11,"n.a.")</x:f>
        <x:v>0.02</x:v>
      </x:c>
      <x:c r="M1032" s="22" t="n">
        <x:f>IF(COUNT(I1032:L1032)=4,ROUND(I1032*J1032/12,2),"n.a.")</x:f>
        <x:v>0</x:v>
      </x:c>
      <x:c r="N1032" s="22" t="n">
        <x:f>IF(COUNT(I1032:M1032)=5,MIN(I1032+M1032,ROUND(MAX(K1032,I1032*L1032+M1032),2)),"n.a.")</x:f>
        <x:v>0</x:v>
      </x:c>
      <x:c r="O1032" s="30" t="n">
        <x:f>IF(COUNT($I$1032:$I$1036)&lt;&gt;5,"n.a.",IF(I1032=0,6,IF('Inputs'!$D$5=1,COUNTIFS($I$1032:$I$1036,"&gt;0",$I$1032:$I$1036,"&lt;"&amp;I1032)+COUNTIFS($I$1032:I1032,I1032),COUNTIFS($I$1032:$I$1036,"&gt;0",$J$1032:$J$1036,"&gt;"&amp;J1032)+COUNTIFS($I$1032:I1032,"&gt;0",$J$1032:J1032,J1032))))</x:f>
        <x:v>6</x:v>
      </x:c>
      <x:c r="P1032" s="22" t="n">
        <x:f>IF(T1032="Ready",MIN(U1032,MAX(0,G1032-SUMIFS($U$1032:$U$1036,$O$1032:$O$1036,"&lt;"&amp;O1032))),"n.a.")</x:f>
        <x:v>0</x:v>
      </x:c>
      <x:c r="Q1032" s="22" t="n">
        <x:f>IF(T1032="Ready",ROUND(N1032+P1032,2),"n.a.")</x:f>
        <x:v>0</x:v>
      </x:c>
      <x:c r="R1032" s="22" t="n">
        <x:f>IF(T1032="Ready",ROUND(Q1032-M1032,2),"n.a.")</x:f>
        <x:v>0</x:v>
      </x:c>
      <x:c r="S1032" s="22" t="n">
        <x:f>IF(T1032="Ready",MAX(0,ROUND(I1032+M1032-Q1032,2)),"n.a.")</x:f>
        <x:v>0</x:v>
      </x:c>
      <x:c r="T1032" s="22" t="str">
        <x:f>IF(AND(COUNT($I$1032:$I$1036)=5,COUNT(E1032:F1032)=2),IF(E1032&gt;=F1032,"Ready","Budget below minima"),"Check inputs")</x:f>
        <x:v>Ready</x:v>
      </x:c>
      <x:c r="U1032" s="22" t="n">
        <x:f>IF(COUNT(I1032,M1032,N1032)=3,MAX(0,ROUND(I1032+M1032-N1032,2)),"n.a.")</x:f>
        <x:v>0</x:v>
      </x:c>
    </x:row>
    <x:row r="1033" ht="22" customHeight="1">
      <x:c r="A1033" s="2"/>
      <x:c r="B1033" s="2"/>
      <x:c r="C1033" s="27" t="n">
        <x:f>206</x:f>
        <x:v>206</x:v>
      </x:c>
      <x:c r="D1033" s="28" t="n">
        <x:f>IF(ISNUMBER('Inputs'!$D$7),EDATE('Inputs'!$D$7,205),"n.a.")</x:f>
        <x:v>52566</x:v>
      </x:c>
      <x:c r="E1033" s="26" t="n">
        <x:f>IF('Inputs'!$D$9&lt;&gt;"Ready","n.a.",IF(ISNUMBER('Inputs'!E224),IF('Inputs'!E224&gt;=0,'Inputs'!E224,"n.a."),IF('Inputs'!E224="",'Inputs'!$D$6,"n.a.")))</x:f>
        <x:v>500</x:v>
      </x:c>
      <x:c r="F1033" s="22" t="n">
        <x:f>IF(COUNT($N$1032:$N$1036)=5,SUM($N$1032:$N$1036),"n.a.")</x:f>
        <x:v>0</x:v>
      </x:c>
      <x:c r="G1033" s="22" t="n">
        <x:f>IF(COUNT(E1033:F1033)=2,MAX(0,E1033-F1033),"n.a.")</x:f>
        <x:v>500</x:v>
      </x:c>
      <x:c r="H1033" s="26" t="str">
        <x:f>'Inputs'!C12</x:f>
        <x:v>Card B</x:v>
      </x:c>
      <x:c r="I1033" s="26" t="n">
        <x:f>S1028</x:f>
        <x:v>0</x:v>
      </x:c>
      <x:c r="J1033" s="29" t="n">
        <x:f>IF('Inputs'!$D$9="Ready",'Inputs'!E12,"n.a.")</x:f>
        <x:v>0.18</x:v>
      </x:c>
      <x:c r="K1033" s="26" t="n">
        <x:f>IF('Inputs'!$D$9="Ready",'Inputs'!F12,"n.a.")</x:f>
        <x:v>60</x:v>
      </x:c>
      <x:c r="L1033" s="29" t="n">
        <x:f>IF('Inputs'!$D$9="Ready",'Inputs'!G12,"n.a.")</x:f>
        <x:v>0.02</x:v>
      </x:c>
      <x:c r="M1033" s="22" t="n">
        <x:f>IF(COUNT(I1033:L1033)=4,ROUND(I1033*J1033/12,2),"n.a.")</x:f>
        <x:v>0</x:v>
      </x:c>
      <x:c r="N1033" s="22" t="n">
        <x:f>IF(COUNT(I1033:M1033)=5,MIN(I1033+M1033,ROUND(MAX(K1033,I1033*L1033+M1033),2)),"n.a.")</x:f>
        <x:v>0</x:v>
      </x:c>
      <x:c r="O1033" s="30" t="n">
        <x:f>IF(COUNT($I$1032:$I$1036)&lt;&gt;5,"n.a.",IF(I1033=0,6,IF('Inputs'!$D$5=1,COUNTIFS($I$1032:$I$1036,"&gt;0",$I$1032:$I$1036,"&lt;"&amp;I1033)+COUNTIFS($I$1032:I1033,I1033),COUNTIFS($I$1032:$I$1036,"&gt;0",$J$1032:$J$1036,"&gt;"&amp;J1033)+COUNTIFS($I$1032:I1033,"&gt;0",$J$1032:J1033,J1033))))</x:f>
        <x:v>6</x:v>
      </x:c>
      <x:c r="P1033" s="22" t="n">
        <x:f>IF(T1033="Ready",MIN(U1033,MAX(0,G1033-SUMIFS($U$1032:$U$1036,$O$1032:$O$1036,"&lt;"&amp;O1033))),"n.a.")</x:f>
        <x:v>0</x:v>
      </x:c>
      <x:c r="Q1033" s="22" t="n">
        <x:f>IF(T1033="Ready",ROUND(N1033+P1033,2),"n.a.")</x:f>
        <x:v>0</x:v>
      </x:c>
      <x:c r="R1033" s="22" t="n">
        <x:f>IF(T1033="Ready",ROUND(Q1033-M1033,2),"n.a.")</x:f>
        <x:v>0</x:v>
      </x:c>
      <x:c r="S1033" s="22" t="n">
        <x:f>IF(T1033="Ready",MAX(0,ROUND(I1033+M1033-Q1033,2)),"n.a.")</x:f>
        <x:v>0</x:v>
      </x:c>
      <x:c r="T1033" s="22" t="str">
        <x:f>IF(AND(COUNT($I$1032:$I$1036)=5,COUNT(E1033:F1033)=2),IF(E1033&gt;=F1033,"Ready","Budget below minima"),"Check inputs")</x:f>
        <x:v>Ready</x:v>
      </x:c>
      <x:c r="U1033" s="22" t="n">
        <x:f>IF(COUNT(I1033,M1033,N1033)=3,MAX(0,ROUND(I1033+M1033-N1033,2)),"n.a.")</x:f>
        <x:v>0</x:v>
      </x:c>
    </x:row>
    <x:row r="1034" ht="22" customHeight="1">
      <x:c r="A1034" s="2"/>
      <x:c r="B1034" s="2"/>
      <x:c r="C1034" s="27" t="n">
        <x:f>206</x:f>
        <x:v>206</x:v>
      </x:c>
      <x:c r="D1034" s="28" t="n">
        <x:f>IF(ISNUMBER('Inputs'!$D$7),EDATE('Inputs'!$D$7,205),"n.a.")</x:f>
        <x:v>52566</x:v>
      </x:c>
      <x:c r="E1034" s="26" t="n">
        <x:f>IF('Inputs'!$D$9&lt;&gt;"Ready","n.a.",IF(ISNUMBER('Inputs'!E224),IF('Inputs'!E224&gt;=0,'Inputs'!E224,"n.a."),IF('Inputs'!E224="",'Inputs'!$D$6,"n.a.")))</x:f>
        <x:v>500</x:v>
      </x:c>
      <x:c r="F1034" s="22" t="n">
        <x:f>IF(COUNT($N$1032:$N$1036)=5,SUM($N$1032:$N$1036),"n.a.")</x:f>
        <x:v>0</x:v>
      </x:c>
      <x:c r="G1034" s="22" t="n">
        <x:f>IF(COUNT(E1034:F1034)=2,MAX(0,E1034-F1034),"n.a.")</x:f>
        <x:v>500</x:v>
      </x:c>
      <x:c r="H1034" s="26" t="str">
        <x:f>'Inputs'!C13</x:f>
        <x:v>Loan C</x:v>
      </x:c>
      <x:c r="I1034" s="26" t="n">
        <x:f>S1029</x:f>
        <x:v>0</x:v>
      </x:c>
      <x:c r="J1034" s="29" t="n">
        <x:f>IF('Inputs'!$D$9="Ready",'Inputs'!E13,"n.a.")</x:f>
        <x:v>0.08</x:v>
      </x:c>
      <x:c r="K1034" s="26" t="n">
        <x:f>IF('Inputs'!$D$9="Ready",'Inputs'!F13,"n.a.")</x:f>
        <x:v>150</x:v>
      </x:c>
      <x:c r="L1034" s="29" t="n">
        <x:f>IF('Inputs'!$D$9="Ready",'Inputs'!G13,"n.a.")</x:f>
        <x:v>0</x:v>
      </x:c>
      <x:c r="M1034" s="22" t="n">
        <x:f>IF(COUNT(I1034:L1034)=4,ROUND(I1034*J1034/12,2),"n.a.")</x:f>
        <x:v>0</x:v>
      </x:c>
      <x:c r="N1034" s="22" t="n">
        <x:f>IF(COUNT(I1034:M1034)=5,MIN(I1034+M1034,ROUND(MAX(K1034,I1034*L1034+M1034),2)),"n.a.")</x:f>
        <x:v>0</x:v>
      </x:c>
      <x:c r="O1034" s="30" t="n">
        <x:f>IF(COUNT($I$1032:$I$1036)&lt;&gt;5,"n.a.",IF(I1034=0,6,IF('Inputs'!$D$5=1,COUNTIFS($I$1032:$I$1036,"&gt;0",$I$1032:$I$1036,"&lt;"&amp;I1034)+COUNTIFS($I$1032:I1034,I1034),COUNTIFS($I$1032:$I$1036,"&gt;0",$J$1032:$J$1036,"&gt;"&amp;J1034)+COUNTIFS($I$1032:I1034,"&gt;0",$J$1032:J1034,J1034))))</x:f>
        <x:v>6</x:v>
      </x:c>
      <x:c r="P1034" s="22" t="n">
        <x:f>IF(T1034="Ready",MIN(U1034,MAX(0,G1034-SUMIFS($U$1032:$U$1036,$O$1032:$O$1036,"&lt;"&amp;O1034))),"n.a.")</x:f>
        <x:v>0</x:v>
      </x:c>
      <x:c r="Q1034" s="22" t="n">
        <x:f>IF(T1034="Ready",ROUND(N1034+P1034,2),"n.a.")</x:f>
        <x:v>0</x:v>
      </x:c>
      <x:c r="R1034" s="22" t="n">
        <x:f>IF(T1034="Ready",ROUND(Q1034-M1034,2),"n.a.")</x:f>
        <x:v>0</x:v>
      </x:c>
      <x:c r="S1034" s="22" t="n">
        <x:f>IF(T1034="Ready",MAX(0,ROUND(I1034+M1034-Q1034,2)),"n.a.")</x:f>
        <x:v>0</x:v>
      </x:c>
      <x:c r="T1034" s="22" t="str">
        <x:f>IF(AND(COUNT($I$1032:$I$1036)=5,COUNT(E1034:F1034)=2),IF(E1034&gt;=F1034,"Ready","Budget below minima"),"Check inputs")</x:f>
        <x:v>Ready</x:v>
      </x:c>
      <x:c r="U1034" s="22" t="n">
        <x:f>IF(COUNT(I1034,M1034,N1034)=3,MAX(0,ROUND(I1034+M1034-N1034,2)),"n.a.")</x:f>
        <x:v>0</x:v>
      </x:c>
    </x:row>
    <x:row r="1035" ht="22" customHeight="1">
      <x:c r="A1035" s="2"/>
      <x:c r="B1035" s="2"/>
      <x:c r="C1035" s="27" t="n">
        <x:f>206</x:f>
        <x:v>206</x:v>
      </x:c>
      <x:c r="D1035" s="28" t="n">
        <x:f>IF(ISNUMBER('Inputs'!$D$7),EDATE('Inputs'!$D$7,205),"n.a.")</x:f>
        <x:v>52566</x:v>
      </x:c>
      <x:c r="E1035" s="26" t="n">
        <x:f>IF('Inputs'!$D$9&lt;&gt;"Ready","n.a.",IF(ISNUMBER('Inputs'!E224),IF('Inputs'!E224&gt;=0,'Inputs'!E224,"n.a."),IF('Inputs'!E224="",'Inputs'!$D$6,"n.a.")))</x:f>
        <x:v>500</x:v>
      </x:c>
      <x:c r="F1035" s="22" t="n">
        <x:f>IF(COUNT($N$1032:$N$1036)=5,SUM($N$1032:$N$1036),"n.a.")</x:f>
        <x:v>0</x:v>
      </x:c>
      <x:c r="G1035" s="22" t="n">
        <x:f>IF(COUNT(E1035:F1035)=2,MAX(0,E1035-F1035),"n.a.")</x:f>
        <x:v>500</x:v>
      </x:c>
      <x:c r="H1035" s="26" t="str">
        <x:f>'Inputs'!C14</x:f>
        <x:v>Unused 4</x:v>
      </x:c>
      <x:c r="I1035" s="26" t="n">
        <x:f>S1030</x:f>
        <x:v>0</x:v>
      </x:c>
      <x:c r="J1035" s="29" t="n">
        <x:f>IF('Inputs'!$D$9="Ready",'Inputs'!E14,"n.a.")</x:f>
        <x:v>0</x:v>
      </x:c>
      <x:c r="K1035" s="26" t="n">
        <x:f>IF('Inputs'!$D$9="Ready",'Inputs'!F14,"n.a.")</x:f>
        <x:v>0</x:v>
      </x:c>
      <x:c r="L1035" s="29" t="n">
        <x:f>IF('Inputs'!$D$9="Ready",'Inputs'!G14,"n.a.")</x:f>
        <x:v>0</x:v>
      </x:c>
      <x:c r="M1035" s="22" t="n">
        <x:f>IF(COUNT(I1035:L1035)=4,ROUND(I1035*J1035/12,2),"n.a.")</x:f>
        <x:v>0</x:v>
      </x:c>
      <x:c r="N1035" s="22" t="n">
        <x:f>IF(COUNT(I1035:M1035)=5,MIN(I1035+M1035,ROUND(MAX(K1035,I1035*L1035+M1035),2)),"n.a.")</x:f>
        <x:v>0</x:v>
      </x:c>
      <x:c r="O1035" s="30" t="n">
        <x:f>IF(COUNT($I$1032:$I$1036)&lt;&gt;5,"n.a.",IF(I1035=0,6,IF('Inputs'!$D$5=1,COUNTIFS($I$1032:$I$1036,"&gt;0",$I$1032:$I$1036,"&lt;"&amp;I1035)+COUNTIFS($I$1032:I1035,I1035),COUNTIFS($I$1032:$I$1036,"&gt;0",$J$1032:$J$1036,"&gt;"&amp;J1035)+COUNTIFS($I$1032:I1035,"&gt;0",$J$1032:J1035,J1035))))</x:f>
        <x:v>6</x:v>
      </x:c>
      <x:c r="P1035" s="22" t="n">
        <x:f>IF(T1035="Ready",MIN(U1035,MAX(0,G1035-SUMIFS($U$1032:$U$1036,$O$1032:$O$1036,"&lt;"&amp;O1035))),"n.a.")</x:f>
        <x:v>0</x:v>
      </x:c>
      <x:c r="Q1035" s="22" t="n">
        <x:f>IF(T1035="Ready",ROUND(N1035+P1035,2),"n.a.")</x:f>
        <x:v>0</x:v>
      </x:c>
      <x:c r="R1035" s="22" t="n">
        <x:f>IF(T1035="Ready",ROUND(Q1035-M1035,2),"n.a.")</x:f>
        <x:v>0</x:v>
      </x:c>
      <x:c r="S1035" s="22" t="n">
        <x:f>IF(T1035="Ready",MAX(0,ROUND(I1035+M1035-Q1035,2)),"n.a.")</x:f>
        <x:v>0</x:v>
      </x:c>
      <x:c r="T1035" s="22" t="str">
        <x:f>IF(AND(COUNT($I$1032:$I$1036)=5,COUNT(E1035:F1035)=2),IF(E1035&gt;=F1035,"Ready","Budget below minima"),"Check inputs")</x:f>
        <x:v>Ready</x:v>
      </x:c>
      <x:c r="U1035" s="22" t="n">
        <x:f>IF(COUNT(I1035,M1035,N1035)=3,MAX(0,ROUND(I1035+M1035-N1035,2)),"n.a.")</x:f>
        <x:v>0</x:v>
      </x:c>
    </x:row>
    <x:row r="1036" ht="22" customHeight="1">
      <x:c r="A1036" s="2"/>
      <x:c r="B1036" s="2"/>
      <x:c r="C1036" s="27" t="n">
        <x:f>206</x:f>
        <x:v>206</x:v>
      </x:c>
      <x:c r="D1036" s="28" t="n">
        <x:f>IF(ISNUMBER('Inputs'!$D$7),EDATE('Inputs'!$D$7,205),"n.a.")</x:f>
        <x:v>52566</x:v>
      </x:c>
      <x:c r="E1036" s="26" t="n">
        <x:f>IF('Inputs'!$D$9&lt;&gt;"Ready","n.a.",IF(ISNUMBER('Inputs'!E224),IF('Inputs'!E224&gt;=0,'Inputs'!E224,"n.a."),IF('Inputs'!E224="",'Inputs'!$D$6,"n.a.")))</x:f>
        <x:v>500</x:v>
      </x:c>
      <x:c r="F1036" s="22" t="n">
        <x:f>IF(COUNT($N$1032:$N$1036)=5,SUM($N$1032:$N$1036),"n.a.")</x:f>
        <x:v>0</x:v>
      </x:c>
      <x:c r="G1036" s="22" t="n">
        <x:f>IF(COUNT(E1036:F1036)=2,MAX(0,E1036-F1036),"n.a.")</x:f>
        <x:v>500</x:v>
      </x:c>
      <x:c r="H1036" s="26" t="str">
        <x:f>'Inputs'!C15</x:f>
        <x:v>Unused 5</x:v>
      </x:c>
      <x:c r="I1036" s="26" t="n">
        <x:f>S1031</x:f>
        <x:v>0</x:v>
      </x:c>
      <x:c r="J1036" s="29" t="n">
        <x:f>IF('Inputs'!$D$9="Ready",'Inputs'!E15,"n.a.")</x:f>
        <x:v>0</x:v>
      </x:c>
      <x:c r="K1036" s="26" t="n">
        <x:f>IF('Inputs'!$D$9="Ready",'Inputs'!F15,"n.a.")</x:f>
        <x:v>0</x:v>
      </x:c>
      <x:c r="L1036" s="29" t="n">
        <x:f>IF('Inputs'!$D$9="Ready",'Inputs'!G15,"n.a.")</x:f>
        <x:v>0</x:v>
      </x:c>
      <x:c r="M1036" s="22" t="n">
        <x:f>IF(COUNT(I1036:L1036)=4,ROUND(I1036*J1036/12,2),"n.a.")</x:f>
        <x:v>0</x:v>
      </x:c>
      <x:c r="N1036" s="22" t="n">
        <x:f>IF(COUNT(I1036:M1036)=5,MIN(I1036+M1036,ROUND(MAX(K1036,I1036*L1036+M1036),2)),"n.a.")</x:f>
        <x:v>0</x:v>
      </x:c>
      <x:c r="O1036" s="30" t="n">
        <x:f>IF(COUNT($I$1032:$I$1036)&lt;&gt;5,"n.a.",IF(I1036=0,6,IF('Inputs'!$D$5=1,COUNTIFS($I$1032:$I$1036,"&gt;0",$I$1032:$I$1036,"&lt;"&amp;I1036)+COUNTIFS($I$1032:I1036,I1036),COUNTIFS($I$1032:$I$1036,"&gt;0",$J$1032:$J$1036,"&gt;"&amp;J1036)+COUNTIFS($I$1032:I1036,"&gt;0",$J$1032:J1036,J1036))))</x:f>
        <x:v>6</x:v>
      </x:c>
      <x:c r="P1036" s="22" t="n">
        <x:f>IF(T1036="Ready",MIN(U1036,MAX(0,G1036-SUMIFS($U$1032:$U$1036,$O$1032:$O$1036,"&lt;"&amp;O1036))),"n.a.")</x:f>
        <x:v>0</x:v>
      </x:c>
      <x:c r="Q1036" s="22" t="n">
        <x:f>IF(T1036="Ready",ROUND(N1036+P1036,2),"n.a.")</x:f>
        <x:v>0</x:v>
      </x:c>
      <x:c r="R1036" s="22" t="n">
        <x:f>IF(T1036="Ready",ROUND(Q1036-M1036,2),"n.a.")</x:f>
        <x:v>0</x:v>
      </x:c>
      <x:c r="S1036" s="22" t="n">
        <x:f>IF(T1036="Ready",MAX(0,ROUND(I1036+M1036-Q1036,2)),"n.a.")</x:f>
        <x:v>0</x:v>
      </x:c>
      <x:c r="T1036" s="22" t="str">
        <x:f>IF(AND(COUNT($I$1032:$I$1036)=5,COUNT(E1036:F1036)=2),IF(E1036&gt;=F1036,"Ready","Budget below minima"),"Check inputs")</x:f>
        <x:v>Ready</x:v>
      </x:c>
      <x:c r="U1036" s="22" t="n">
        <x:f>IF(COUNT(I1036,M1036,N1036)=3,MAX(0,ROUND(I1036+M1036-N1036,2)),"n.a.")</x:f>
        <x:v>0</x:v>
      </x:c>
    </x:row>
    <x:row r="1037" ht="22" customHeight="1">
      <x:c r="A1037" s="2"/>
      <x:c r="B1037" s="2"/>
      <x:c r="C1037" s="27" t="n">
        <x:f>207</x:f>
        <x:v>207</x:v>
      </x:c>
      <x:c r="D1037" s="28" t="n">
        <x:f>IF(ISNUMBER('Inputs'!$D$7),EDATE('Inputs'!$D$7,206),"n.a.")</x:f>
        <x:v>52597</x:v>
      </x:c>
      <x:c r="E1037" s="26" t="n">
        <x:f>IF('Inputs'!$D$9&lt;&gt;"Ready","n.a.",IF(ISNUMBER('Inputs'!E225),IF('Inputs'!E225&gt;=0,'Inputs'!E225,"n.a."),IF('Inputs'!E225="",'Inputs'!$D$6,"n.a.")))</x:f>
        <x:v>500</x:v>
      </x:c>
      <x:c r="F1037" s="22" t="n">
        <x:f>IF(COUNT($N$1037:$N$1041)=5,SUM($N$1037:$N$1041),"n.a.")</x:f>
        <x:v>0</x:v>
      </x:c>
      <x:c r="G1037" s="22" t="n">
        <x:f>IF(COUNT(E1037:F1037)=2,MAX(0,E1037-F1037),"n.a.")</x:f>
        <x:v>500</x:v>
      </x:c>
      <x:c r="H1037" s="26" t="str">
        <x:f>'Inputs'!C11</x:f>
        <x:v>Card A</x:v>
      </x:c>
      <x:c r="I1037" s="26" t="n">
        <x:f>S1032</x:f>
        <x:v>0</x:v>
      </x:c>
      <x:c r="J1037" s="29" t="n">
        <x:f>IF('Inputs'!$D$9="Ready",'Inputs'!E11,"n.a.")</x:f>
        <x:v>0.24</x:v>
      </x:c>
      <x:c r="K1037" s="26" t="n">
        <x:f>IF('Inputs'!$D$9="Ready",'Inputs'!F11,"n.a.")</x:f>
        <x:v>35</x:v>
      </x:c>
      <x:c r="L1037" s="29" t="n">
        <x:f>IF('Inputs'!$D$9="Ready",'Inputs'!G11,"n.a.")</x:f>
        <x:v>0.02</x:v>
      </x:c>
      <x:c r="M1037" s="22" t="n">
        <x:f>IF(COUNT(I1037:L1037)=4,ROUND(I1037*J1037/12,2),"n.a.")</x:f>
        <x:v>0</x:v>
      </x:c>
      <x:c r="N1037" s="22" t="n">
        <x:f>IF(COUNT(I1037:M1037)=5,MIN(I1037+M1037,ROUND(MAX(K1037,I1037*L1037+M1037),2)),"n.a.")</x:f>
        <x:v>0</x:v>
      </x:c>
      <x:c r="O1037" s="30" t="n">
        <x:f>IF(COUNT($I$1037:$I$1041)&lt;&gt;5,"n.a.",IF(I1037=0,6,IF('Inputs'!$D$5=1,COUNTIFS($I$1037:$I$1041,"&gt;0",$I$1037:$I$1041,"&lt;"&amp;I1037)+COUNTIFS($I$1037:I1037,I1037),COUNTIFS($I$1037:$I$1041,"&gt;0",$J$1037:$J$1041,"&gt;"&amp;J1037)+COUNTIFS($I$1037:I1037,"&gt;0",$J$1037:J1037,J1037))))</x:f>
        <x:v>6</x:v>
      </x:c>
      <x:c r="P1037" s="22" t="n">
        <x:f>IF(T1037="Ready",MIN(U1037,MAX(0,G1037-SUMIFS($U$1037:$U$1041,$O$1037:$O$1041,"&lt;"&amp;O1037))),"n.a.")</x:f>
        <x:v>0</x:v>
      </x:c>
      <x:c r="Q1037" s="22" t="n">
        <x:f>IF(T1037="Ready",ROUND(N1037+P1037,2),"n.a.")</x:f>
        <x:v>0</x:v>
      </x:c>
      <x:c r="R1037" s="22" t="n">
        <x:f>IF(T1037="Ready",ROUND(Q1037-M1037,2),"n.a.")</x:f>
        <x:v>0</x:v>
      </x:c>
      <x:c r="S1037" s="22" t="n">
        <x:f>IF(T1037="Ready",MAX(0,ROUND(I1037+M1037-Q1037,2)),"n.a.")</x:f>
        <x:v>0</x:v>
      </x:c>
      <x:c r="T1037" s="22" t="str">
        <x:f>IF(AND(COUNT($I$1037:$I$1041)=5,COUNT(E1037:F1037)=2),IF(E1037&gt;=F1037,"Ready","Budget below minima"),"Check inputs")</x:f>
        <x:v>Ready</x:v>
      </x:c>
      <x:c r="U1037" s="22" t="n">
        <x:f>IF(COUNT(I1037,M1037,N1037)=3,MAX(0,ROUND(I1037+M1037-N1037,2)),"n.a.")</x:f>
        <x:v>0</x:v>
      </x:c>
    </x:row>
    <x:row r="1038" ht="22" customHeight="1">
      <x:c r="A1038" s="2"/>
      <x:c r="B1038" s="2"/>
      <x:c r="C1038" s="27" t="n">
        <x:f>207</x:f>
        <x:v>207</x:v>
      </x:c>
      <x:c r="D1038" s="28" t="n">
        <x:f>IF(ISNUMBER('Inputs'!$D$7),EDATE('Inputs'!$D$7,206),"n.a.")</x:f>
        <x:v>52597</x:v>
      </x:c>
      <x:c r="E1038" s="26" t="n">
        <x:f>IF('Inputs'!$D$9&lt;&gt;"Ready","n.a.",IF(ISNUMBER('Inputs'!E225),IF('Inputs'!E225&gt;=0,'Inputs'!E225,"n.a."),IF('Inputs'!E225="",'Inputs'!$D$6,"n.a.")))</x:f>
        <x:v>500</x:v>
      </x:c>
      <x:c r="F1038" s="22" t="n">
        <x:f>IF(COUNT($N$1037:$N$1041)=5,SUM($N$1037:$N$1041),"n.a.")</x:f>
        <x:v>0</x:v>
      </x:c>
      <x:c r="G1038" s="22" t="n">
        <x:f>IF(COUNT(E1038:F1038)=2,MAX(0,E1038-F1038),"n.a.")</x:f>
        <x:v>500</x:v>
      </x:c>
      <x:c r="H1038" s="26" t="str">
        <x:f>'Inputs'!C12</x:f>
        <x:v>Card B</x:v>
      </x:c>
      <x:c r="I1038" s="26" t="n">
        <x:f>S1033</x:f>
        <x:v>0</x:v>
      </x:c>
      <x:c r="J1038" s="29" t="n">
        <x:f>IF('Inputs'!$D$9="Ready",'Inputs'!E12,"n.a.")</x:f>
        <x:v>0.18</x:v>
      </x:c>
      <x:c r="K1038" s="26" t="n">
        <x:f>IF('Inputs'!$D$9="Ready",'Inputs'!F12,"n.a.")</x:f>
        <x:v>60</x:v>
      </x:c>
      <x:c r="L1038" s="29" t="n">
        <x:f>IF('Inputs'!$D$9="Ready",'Inputs'!G12,"n.a.")</x:f>
        <x:v>0.02</x:v>
      </x:c>
      <x:c r="M1038" s="22" t="n">
        <x:f>IF(COUNT(I1038:L1038)=4,ROUND(I1038*J1038/12,2),"n.a.")</x:f>
        <x:v>0</x:v>
      </x:c>
      <x:c r="N1038" s="22" t="n">
        <x:f>IF(COUNT(I1038:M1038)=5,MIN(I1038+M1038,ROUND(MAX(K1038,I1038*L1038+M1038),2)),"n.a.")</x:f>
        <x:v>0</x:v>
      </x:c>
      <x:c r="O1038" s="30" t="n">
        <x:f>IF(COUNT($I$1037:$I$1041)&lt;&gt;5,"n.a.",IF(I1038=0,6,IF('Inputs'!$D$5=1,COUNTIFS($I$1037:$I$1041,"&gt;0",$I$1037:$I$1041,"&lt;"&amp;I1038)+COUNTIFS($I$1037:I1038,I1038),COUNTIFS($I$1037:$I$1041,"&gt;0",$J$1037:$J$1041,"&gt;"&amp;J1038)+COUNTIFS($I$1037:I1038,"&gt;0",$J$1037:J1038,J1038))))</x:f>
        <x:v>6</x:v>
      </x:c>
      <x:c r="P1038" s="22" t="n">
        <x:f>IF(T1038="Ready",MIN(U1038,MAX(0,G1038-SUMIFS($U$1037:$U$1041,$O$1037:$O$1041,"&lt;"&amp;O1038))),"n.a.")</x:f>
        <x:v>0</x:v>
      </x:c>
      <x:c r="Q1038" s="22" t="n">
        <x:f>IF(T1038="Ready",ROUND(N1038+P1038,2),"n.a.")</x:f>
        <x:v>0</x:v>
      </x:c>
      <x:c r="R1038" s="22" t="n">
        <x:f>IF(T1038="Ready",ROUND(Q1038-M1038,2),"n.a.")</x:f>
        <x:v>0</x:v>
      </x:c>
      <x:c r="S1038" s="22" t="n">
        <x:f>IF(T1038="Ready",MAX(0,ROUND(I1038+M1038-Q1038,2)),"n.a.")</x:f>
        <x:v>0</x:v>
      </x:c>
      <x:c r="T1038" s="22" t="str">
        <x:f>IF(AND(COUNT($I$1037:$I$1041)=5,COUNT(E1038:F1038)=2),IF(E1038&gt;=F1038,"Ready","Budget below minima"),"Check inputs")</x:f>
        <x:v>Ready</x:v>
      </x:c>
      <x:c r="U1038" s="22" t="n">
        <x:f>IF(COUNT(I1038,M1038,N1038)=3,MAX(0,ROUND(I1038+M1038-N1038,2)),"n.a.")</x:f>
        <x:v>0</x:v>
      </x:c>
    </x:row>
    <x:row r="1039" ht="22" customHeight="1">
      <x:c r="A1039" s="2"/>
      <x:c r="B1039" s="2"/>
      <x:c r="C1039" s="27" t="n">
        <x:f>207</x:f>
        <x:v>207</x:v>
      </x:c>
      <x:c r="D1039" s="28" t="n">
        <x:f>IF(ISNUMBER('Inputs'!$D$7),EDATE('Inputs'!$D$7,206),"n.a.")</x:f>
        <x:v>52597</x:v>
      </x:c>
      <x:c r="E1039" s="26" t="n">
        <x:f>IF('Inputs'!$D$9&lt;&gt;"Ready","n.a.",IF(ISNUMBER('Inputs'!E225),IF('Inputs'!E225&gt;=0,'Inputs'!E225,"n.a."),IF('Inputs'!E225="",'Inputs'!$D$6,"n.a.")))</x:f>
        <x:v>500</x:v>
      </x:c>
      <x:c r="F1039" s="22" t="n">
        <x:f>IF(COUNT($N$1037:$N$1041)=5,SUM($N$1037:$N$1041),"n.a.")</x:f>
        <x:v>0</x:v>
      </x:c>
      <x:c r="G1039" s="22" t="n">
        <x:f>IF(COUNT(E1039:F1039)=2,MAX(0,E1039-F1039),"n.a.")</x:f>
        <x:v>500</x:v>
      </x:c>
      <x:c r="H1039" s="26" t="str">
        <x:f>'Inputs'!C13</x:f>
        <x:v>Loan C</x:v>
      </x:c>
      <x:c r="I1039" s="26" t="n">
        <x:f>S1034</x:f>
        <x:v>0</x:v>
      </x:c>
      <x:c r="J1039" s="29" t="n">
        <x:f>IF('Inputs'!$D$9="Ready",'Inputs'!E13,"n.a.")</x:f>
        <x:v>0.08</x:v>
      </x:c>
      <x:c r="K1039" s="26" t="n">
        <x:f>IF('Inputs'!$D$9="Ready",'Inputs'!F13,"n.a.")</x:f>
        <x:v>150</x:v>
      </x:c>
      <x:c r="L1039" s="29" t="n">
        <x:f>IF('Inputs'!$D$9="Ready",'Inputs'!G13,"n.a.")</x:f>
        <x:v>0</x:v>
      </x:c>
      <x:c r="M1039" s="22" t="n">
        <x:f>IF(COUNT(I1039:L1039)=4,ROUND(I1039*J1039/12,2),"n.a.")</x:f>
        <x:v>0</x:v>
      </x:c>
      <x:c r="N1039" s="22" t="n">
        <x:f>IF(COUNT(I1039:M1039)=5,MIN(I1039+M1039,ROUND(MAX(K1039,I1039*L1039+M1039),2)),"n.a.")</x:f>
        <x:v>0</x:v>
      </x:c>
      <x:c r="O1039" s="30" t="n">
        <x:f>IF(COUNT($I$1037:$I$1041)&lt;&gt;5,"n.a.",IF(I1039=0,6,IF('Inputs'!$D$5=1,COUNTIFS($I$1037:$I$1041,"&gt;0",$I$1037:$I$1041,"&lt;"&amp;I1039)+COUNTIFS($I$1037:I1039,I1039),COUNTIFS($I$1037:$I$1041,"&gt;0",$J$1037:$J$1041,"&gt;"&amp;J1039)+COUNTIFS($I$1037:I1039,"&gt;0",$J$1037:J1039,J1039))))</x:f>
        <x:v>6</x:v>
      </x:c>
      <x:c r="P1039" s="22" t="n">
        <x:f>IF(T1039="Ready",MIN(U1039,MAX(0,G1039-SUMIFS($U$1037:$U$1041,$O$1037:$O$1041,"&lt;"&amp;O1039))),"n.a.")</x:f>
        <x:v>0</x:v>
      </x:c>
      <x:c r="Q1039" s="22" t="n">
        <x:f>IF(T1039="Ready",ROUND(N1039+P1039,2),"n.a.")</x:f>
        <x:v>0</x:v>
      </x:c>
      <x:c r="R1039" s="22" t="n">
        <x:f>IF(T1039="Ready",ROUND(Q1039-M1039,2),"n.a.")</x:f>
        <x:v>0</x:v>
      </x:c>
      <x:c r="S1039" s="22" t="n">
        <x:f>IF(T1039="Ready",MAX(0,ROUND(I1039+M1039-Q1039,2)),"n.a.")</x:f>
        <x:v>0</x:v>
      </x:c>
      <x:c r="T1039" s="22" t="str">
        <x:f>IF(AND(COUNT($I$1037:$I$1041)=5,COUNT(E1039:F1039)=2),IF(E1039&gt;=F1039,"Ready","Budget below minima"),"Check inputs")</x:f>
        <x:v>Ready</x:v>
      </x:c>
      <x:c r="U1039" s="22" t="n">
        <x:f>IF(COUNT(I1039,M1039,N1039)=3,MAX(0,ROUND(I1039+M1039-N1039,2)),"n.a.")</x:f>
        <x:v>0</x:v>
      </x:c>
    </x:row>
    <x:row r="1040" ht="22" customHeight="1">
      <x:c r="A1040" s="2"/>
      <x:c r="B1040" s="2"/>
      <x:c r="C1040" s="27" t="n">
        <x:f>207</x:f>
        <x:v>207</x:v>
      </x:c>
      <x:c r="D1040" s="28" t="n">
        <x:f>IF(ISNUMBER('Inputs'!$D$7),EDATE('Inputs'!$D$7,206),"n.a.")</x:f>
        <x:v>52597</x:v>
      </x:c>
      <x:c r="E1040" s="26" t="n">
        <x:f>IF('Inputs'!$D$9&lt;&gt;"Ready","n.a.",IF(ISNUMBER('Inputs'!E225),IF('Inputs'!E225&gt;=0,'Inputs'!E225,"n.a."),IF('Inputs'!E225="",'Inputs'!$D$6,"n.a.")))</x:f>
        <x:v>500</x:v>
      </x:c>
      <x:c r="F1040" s="22" t="n">
        <x:f>IF(COUNT($N$1037:$N$1041)=5,SUM($N$1037:$N$1041),"n.a.")</x:f>
        <x:v>0</x:v>
      </x:c>
      <x:c r="G1040" s="22" t="n">
        <x:f>IF(COUNT(E1040:F1040)=2,MAX(0,E1040-F1040),"n.a.")</x:f>
        <x:v>500</x:v>
      </x:c>
      <x:c r="H1040" s="26" t="str">
        <x:f>'Inputs'!C14</x:f>
        <x:v>Unused 4</x:v>
      </x:c>
      <x:c r="I1040" s="26" t="n">
        <x:f>S1035</x:f>
        <x:v>0</x:v>
      </x:c>
      <x:c r="J1040" s="29" t="n">
        <x:f>IF('Inputs'!$D$9="Ready",'Inputs'!E14,"n.a.")</x:f>
        <x:v>0</x:v>
      </x:c>
      <x:c r="K1040" s="26" t="n">
        <x:f>IF('Inputs'!$D$9="Ready",'Inputs'!F14,"n.a.")</x:f>
        <x:v>0</x:v>
      </x:c>
      <x:c r="L1040" s="29" t="n">
        <x:f>IF('Inputs'!$D$9="Ready",'Inputs'!G14,"n.a.")</x:f>
        <x:v>0</x:v>
      </x:c>
      <x:c r="M1040" s="22" t="n">
        <x:f>IF(COUNT(I1040:L1040)=4,ROUND(I1040*J1040/12,2),"n.a.")</x:f>
        <x:v>0</x:v>
      </x:c>
      <x:c r="N1040" s="22" t="n">
        <x:f>IF(COUNT(I1040:M1040)=5,MIN(I1040+M1040,ROUND(MAX(K1040,I1040*L1040+M1040),2)),"n.a.")</x:f>
        <x:v>0</x:v>
      </x:c>
      <x:c r="O1040" s="30" t="n">
        <x:f>IF(COUNT($I$1037:$I$1041)&lt;&gt;5,"n.a.",IF(I1040=0,6,IF('Inputs'!$D$5=1,COUNTIFS($I$1037:$I$1041,"&gt;0",$I$1037:$I$1041,"&lt;"&amp;I1040)+COUNTIFS($I$1037:I1040,I1040),COUNTIFS($I$1037:$I$1041,"&gt;0",$J$1037:$J$1041,"&gt;"&amp;J1040)+COUNTIFS($I$1037:I1040,"&gt;0",$J$1037:J1040,J1040))))</x:f>
        <x:v>6</x:v>
      </x:c>
      <x:c r="P1040" s="22" t="n">
        <x:f>IF(T1040="Ready",MIN(U1040,MAX(0,G1040-SUMIFS($U$1037:$U$1041,$O$1037:$O$1041,"&lt;"&amp;O1040))),"n.a.")</x:f>
        <x:v>0</x:v>
      </x:c>
      <x:c r="Q1040" s="22" t="n">
        <x:f>IF(T1040="Ready",ROUND(N1040+P1040,2),"n.a.")</x:f>
        <x:v>0</x:v>
      </x:c>
      <x:c r="R1040" s="22" t="n">
        <x:f>IF(T1040="Ready",ROUND(Q1040-M1040,2),"n.a.")</x:f>
        <x:v>0</x:v>
      </x:c>
      <x:c r="S1040" s="22" t="n">
        <x:f>IF(T1040="Ready",MAX(0,ROUND(I1040+M1040-Q1040,2)),"n.a.")</x:f>
        <x:v>0</x:v>
      </x:c>
      <x:c r="T1040" s="22" t="str">
        <x:f>IF(AND(COUNT($I$1037:$I$1041)=5,COUNT(E1040:F1040)=2),IF(E1040&gt;=F1040,"Ready","Budget below minima"),"Check inputs")</x:f>
        <x:v>Ready</x:v>
      </x:c>
      <x:c r="U1040" s="22" t="n">
        <x:f>IF(COUNT(I1040,M1040,N1040)=3,MAX(0,ROUND(I1040+M1040-N1040,2)),"n.a.")</x:f>
        <x:v>0</x:v>
      </x:c>
    </x:row>
    <x:row r="1041" ht="22" customHeight="1">
      <x:c r="A1041" s="2"/>
      <x:c r="B1041" s="2"/>
      <x:c r="C1041" s="27" t="n">
        <x:f>207</x:f>
        <x:v>207</x:v>
      </x:c>
      <x:c r="D1041" s="28" t="n">
        <x:f>IF(ISNUMBER('Inputs'!$D$7),EDATE('Inputs'!$D$7,206),"n.a.")</x:f>
        <x:v>52597</x:v>
      </x:c>
      <x:c r="E1041" s="26" t="n">
        <x:f>IF('Inputs'!$D$9&lt;&gt;"Ready","n.a.",IF(ISNUMBER('Inputs'!E225),IF('Inputs'!E225&gt;=0,'Inputs'!E225,"n.a."),IF('Inputs'!E225="",'Inputs'!$D$6,"n.a.")))</x:f>
        <x:v>500</x:v>
      </x:c>
      <x:c r="F1041" s="22" t="n">
        <x:f>IF(COUNT($N$1037:$N$1041)=5,SUM($N$1037:$N$1041),"n.a.")</x:f>
        <x:v>0</x:v>
      </x:c>
      <x:c r="G1041" s="22" t="n">
        <x:f>IF(COUNT(E1041:F1041)=2,MAX(0,E1041-F1041),"n.a.")</x:f>
        <x:v>500</x:v>
      </x:c>
      <x:c r="H1041" s="26" t="str">
        <x:f>'Inputs'!C15</x:f>
        <x:v>Unused 5</x:v>
      </x:c>
      <x:c r="I1041" s="26" t="n">
        <x:f>S1036</x:f>
        <x:v>0</x:v>
      </x:c>
      <x:c r="J1041" s="29" t="n">
        <x:f>IF('Inputs'!$D$9="Ready",'Inputs'!E15,"n.a.")</x:f>
        <x:v>0</x:v>
      </x:c>
      <x:c r="K1041" s="26" t="n">
        <x:f>IF('Inputs'!$D$9="Ready",'Inputs'!F15,"n.a.")</x:f>
        <x:v>0</x:v>
      </x:c>
      <x:c r="L1041" s="29" t="n">
        <x:f>IF('Inputs'!$D$9="Ready",'Inputs'!G15,"n.a.")</x:f>
        <x:v>0</x:v>
      </x:c>
      <x:c r="M1041" s="22" t="n">
        <x:f>IF(COUNT(I1041:L1041)=4,ROUND(I1041*J1041/12,2),"n.a.")</x:f>
        <x:v>0</x:v>
      </x:c>
      <x:c r="N1041" s="22" t="n">
        <x:f>IF(COUNT(I1041:M1041)=5,MIN(I1041+M1041,ROUND(MAX(K1041,I1041*L1041+M1041),2)),"n.a.")</x:f>
        <x:v>0</x:v>
      </x:c>
      <x:c r="O1041" s="30" t="n">
        <x:f>IF(COUNT($I$1037:$I$1041)&lt;&gt;5,"n.a.",IF(I1041=0,6,IF('Inputs'!$D$5=1,COUNTIFS($I$1037:$I$1041,"&gt;0",$I$1037:$I$1041,"&lt;"&amp;I1041)+COUNTIFS($I$1037:I1041,I1041),COUNTIFS($I$1037:$I$1041,"&gt;0",$J$1037:$J$1041,"&gt;"&amp;J1041)+COUNTIFS($I$1037:I1041,"&gt;0",$J$1037:J1041,J1041))))</x:f>
        <x:v>6</x:v>
      </x:c>
      <x:c r="P1041" s="22" t="n">
        <x:f>IF(T1041="Ready",MIN(U1041,MAX(0,G1041-SUMIFS($U$1037:$U$1041,$O$1037:$O$1041,"&lt;"&amp;O1041))),"n.a.")</x:f>
        <x:v>0</x:v>
      </x:c>
      <x:c r="Q1041" s="22" t="n">
        <x:f>IF(T1041="Ready",ROUND(N1041+P1041,2),"n.a.")</x:f>
        <x:v>0</x:v>
      </x:c>
      <x:c r="R1041" s="22" t="n">
        <x:f>IF(T1041="Ready",ROUND(Q1041-M1041,2),"n.a.")</x:f>
        <x:v>0</x:v>
      </x:c>
      <x:c r="S1041" s="22" t="n">
        <x:f>IF(T1041="Ready",MAX(0,ROUND(I1041+M1041-Q1041,2)),"n.a.")</x:f>
        <x:v>0</x:v>
      </x:c>
      <x:c r="T1041" s="22" t="str">
        <x:f>IF(AND(COUNT($I$1037:$I$1041)=5,COUNT(E1041:F1041)=2),IF(E1041&gt;=F1041,"Ready","Budget below minima"),"Check inputs")</x:f>
        <x:v>Ready</x:v>
      </x:c>
      <x:c r="U1041" s="22" t="n">
        <x:f>IF(COUNT(I1041,M1041,N1041)=3,MAX(0,ROUND(I1041+M1041-N1041,2)),"n.a.")</x:f>
        <x:v>0</x:v>
      </x:c>
    </x:row>
    <x:row r="1042" ht="22" customHeight="1">
      <x:c r="A1042" s="2"/>
      <x:c r="B1042" s="2"/>
      <x:c r="C1042" s="27" t="n">
        <x:f>208</x:f>
        <x:v>208</x:v>
      </x:c>
      <x:c r="D1042" s="28" t="n">
        <x:f>IF(ISNUMBER('Inputs'!$D$7),EDATE('Inputs'!$D$7,207),"n.a.")</x:f>
        <x:v>52628</x:v>
      </x:c>
      <x:c r="E1042" s="26" t="n">
        <x:f>IF('Inputs'!$D$9&lt;&gt;"Ready","n.a.",IF(ISNUMBER('Inputs'!E226),IF('Inputs'!E226&gt;=0,'Inputs'!E226,"n.a."),IF('Inputs'!E226="",'Inputs'!$D$6,"n.a.")))</x:f>
        <x:v>500</x:v>
      </x:c>
      <x:c r="F1042" s="22" t="n">
        <x:f>IF(COUNT($N$1042:$N$1046)=5,SUM($N$1042:$N$1046),"n.a.")</x:f>
        <x:v>0</x:v>
      </x:c>
      <x:c r="G1042" s="22" t="n">
        <x:f>IF(COUNT(E1042:F1042)=2,MAX(0,E1042-F1042),"n.a.")</x:f>
        <x:v>500</x:v>
      </x:c>
      <x:c r="H1042" s="26" t="str">
        <x:f>'Inputs'!C11</x:f>
        <x:v>Card A</x:v>
      </x:c>
      <x:c r="I1042" s="26" t="n">
        <x:f>S1037</x:f>
        <x:v>0</x:v>
      </x:c>
      <x:c r="J1042" s="29" t="n">
        <x:f>IF('Inputs'!$D$9="Ready",'Inputs'!E11,"n.a.")</x:f>
        <x:v>0.24</x:v>
      </x:c>
      <x:c r="K1042" s="26" t="n">
        <x:f>IF('Inputs'!$D$9="Ready",'Inputs'!F11,"n.a.")</x:f>
        <x:v>35</x:v>
      </x:c>
      <x:c r="L1042" s="29" t="n">
        <x:f>IF('Inputs'!$D$9="Ready",'Inputs'!G11,"n.a.")</x:f>
        <x:v>0.02</x:v>
      </x:c>
      <x:c r="M1042" s="22" t="n">
        <x:f>IF(COUNT(I1042:L1042)=4,ROUND(I1042*J1042/12,2),"n.a.")</x:f>
        <x:v>0</x:v>
      </x:c>
      <x:c r="N1042" s="22" t="n">
        <x:f>IF(COUNT(I1042:M1042)=5,MIN(I1042+M1042,ROUND(MAX(K1042,I1042*L1042+M1042),2)),"n.a.")</x:f>
        <x:v>0</x:v>
      </x:c>
      <x:c r="O1042" s="30" t="n">
        <x:f>IF(COUNT($I$1042:$I$1046)&lt;&gt;5,"n.a.",IF(I1042=0,6,IF('Inputs'!$D$5=1,COUNTIFS($I$1042:$I$1046,"&gt;0",$I$1042:$I$1046,"&lt;"&amp;I1042)+COUNTIFS($I$1042:I1042,I1042),COUNTIFS($I$1042:$I$1046,"&gt;0",$J$1042:$J$1046,"&gt;"&amp;J1042)+COUNTIFS($I$1042:I1042,"&gt;0",$J$1042:J1042,J1042))))</x:f>
        <x:v>6</x:v>
      </x:c>
      <x:c r="P1042" s="22" t="n">
        <x:f>IF(T1042="Ready",MIN(U1042,MAX(0,G1042-SUMIFS($U$1042:$U$1046,$O$1042:$O$1046,"&lt;"&amp;O1042))),"n.a.")</x:f>
        <x:v>0</x:v>
      </x:c>
      <x:c r="Q1042" s="22" t="n">
        <x:f>IF(T1042="Ready",ROUND(N1042+P1042,2),"n.a.")</x:f>
        <x:v>0</x:v>
      </x:c>
      <x:c r="R1042" s="22" t="n">
        <x:f>IF(T1042="Ready",ROUND(Q1042-M1042,2),"n.a.")</x:f>
        <x:v>0</x:v>
      </x:c>
      <x:c r="S1042" s="22" t="n">
        <x:f>IF(T1042="Ready",MAX(0,ROUND(I1042+M1042-Q1042,2)),"n.a.")</x:f>
        <x:v>0</x:v>
      </x:c>
      <x:c r="T1042" s="22" t="str">
        <x:f>IF(AND(COUNT($I$1042:$I$1046)=5,COUNT(E1042:F1042)=2),IF(E1042&gt;=F1042,"Ready","Budget below minima"),"Check inputs")</x:f>
        <x:v>Ready</x:v>
      </x:c>
      <x:c r="U1042" s="22" t="n">
        <x:f>IF(COUNT(I1042,M1042,N1042)=3,MAX(0,ROUND(I1042+M1042-N1042,2)),"n.a.")</x:f>
        <x:v>0</x:v>
      </x:c>
    </x:row>
    <x:row r="1043" ht="22" customHeight="1">
      <x:c r="A1043" s="2"/>
      <x:c r="B1043" s="2"/>
      <x:c r="C1043" s="27" t="n">
        <x:f>208</x:f>
        <x:v>208</x:v>
      </x:c>
      <x:c r="D1043" s="28" t="n">
        <x:f>IF(ISNUMBER('Inputs'!$D$7),EDATE('Inputs'!$D$7,207),"n.a.")</x:f>
        <x:v>52628</x:v>
      </x:c>
      <x:c r="E1043" s="26" t="n">
        <x:f>IF('Inputs'!$D$9&lt;&gt;"Ready","n.a.",IF(ISNUMBER('Inputs'!E226),IF('Inputs'!E226&gt;=0,'Inputs'!E226,"n.a."),IF('Inputs'!E226="",'Inputs'!$D$6,"n.a.")))</x:f>
        <x:v>500</x:v>
      </x:c>
      <x:c r="F1043" s="22" t="n">
        <x:f>IF(COUNT($N$1042:$N$1046)=5,SUM($N$1042:$N$1046),"n.a.")</x:f>
        <x:v>0</x:v>
      </x:c>
      <x:c r="G1043" s="22" t="n">
        <x:f>IF(COUNT(E1043:F1043)=2,MAX(0,E1043-F1043),"n.a.")</x:f>
        <x:v>500</x:v>
      </x:c>
      <x:c r="H1043" s="26" t="str">
        <x:f>'Inputs'!C12</x:f>
        <x:v>Card B</x:v>
      </x:c>
      <x:c r="I1043" s="26" t="n">
        <x:f>S1038</x:f>
        <x:v>0</x:v>
      </x:c>
      <x:c r="J1043" s="29" t="n">
        <x:f>IF('Inputs'!$D$9="Ready",'Inputs'!E12,"n.a.")</x:f>
        <x:v>0.18</x:v>
      </x:c>
      <x:c r="K1043" s="26" t="n">
        <x:f>IF('Inputs'!$D$9="Ready",'Inputs'!F12,"n.a.")</x:f>
        <x:v>60</x:v>
      </x:c>
      <x:c r="L1043" s="29" t="n">
        <x:f>IF('Inputs'!$D$9="Ready",'Inputs'!G12,"n.a.")</x:f>
        <x:v>0.02</x:v>
      </x:c>
      <x:c r="M1043" s="22" t="n">
        <x:f>IF(COUNT(I1043:L1043)=4,ROUND(I1043*J1043/12,2),"n.a.")</x:f>
        <x:v>0</x:v>
      </x:c>
      <x:c r="N1043" s="22" t="n">
        <x:f>IF(COUNT(I1043:M1043)=5,MIN(I1043+M1043,ROUND(MAX(K1043,I1043*L1043+M1043),2)),"n.a.")</x:f>
        <x:v>0</x:v>
      </x:c>
      <x:c r="O1043" s="30" t="n">
        <x:f>IF(COUNT($I$1042:$I$1046)&lt;&gt;5,"n.a.",IF(I1043=0,6,IF('Inputs'!$D$5=1,COUNTIFS($I$1042:$I$1046,"&gt;0",$I$1042:$I$1046,"&lt;"&amp;I1043)+COUNTIFS($I$1042:I1043,I1043),COUNTIFS($I$1042:$I$1046,"&gt;0",$J$1042:$J$1046,"&gt;"&amp;J1043)+COUNTIFS($I$1042:I1043,"&gt;0",$J$1042:J1043,J1043))))</x:f>
        <x:v>6</x:v>
      </x:c>
      <x:c r="P1043" s="22" t="n">
        <x:f>IF(T1043="Ready",MIN(U1043,MAX(0,G1043-SUMIFS($U$1042:$U$1046,$O$1042:$O$1046,"&lt;"&amp;O1043))),"n.a.")</x:f>
        <x:v>0</x:v>
      </x:c>
      <x:c r="Q1043" s="22" t="n">
        <x:f>IF(T1043="Ready",ROUND(N1043+P1043,2),"n.a.")</x:f>
        <x:v>0</x:v>
      </x:c>
      <x:c r="R1043" s="22" t="n">
        <x:f>IF(T1043="Ready",ROUND(Q1043-M1043,2),"n.a.")</x:f>
        <x:v>0</x:v>
      </x:c>
      <x:c r="S1043" s="22" t="n">
        <x:f>IF(T1043="Ready",MAX(0,ROUND(I1043+M1043-Q1043,2)),"n.a.")</x:f>
        <x:v>0</x:v>
      </x:c>
      <x:c r="T1043" s="22" t="str">
        <x:f>IF(AND(COUNT($I$1042:$I$1046)=5,COUNT(E1043:F1043)=2),IF(E1043&gt;=F1043,"Ready","Budget below minima"),"Check inputs")</x:f>
        <x:v>Ready</x:v>
      </x:c>
      <x:c r="U1043" s="22" t="n">
        <x:f>IF(COUNT(I1043,M1043,N1043)=3,MAX(0,ROUND(I1043+M1043-N1043,2)),"n.a.")</x:f>
        <x:v>0</x:v>
      </x:c>
    </x:row>
    <x:row r="1044" ht="22" customHeight="1">
      <x:c r="A1044" s="2"/>
      <x:c r="B1044" s="2"/>
      <x:c r="C1044" s="27" t="n">
        <x:f>208</x:f>
        <x:v>208</x:v>
      </x:c>
      <x:c r="D1044" s="28" t="n">
        <x:f>IF(ISNUMBER('Inputs'!$D$7),EDATE('Inputs'!$D$7,207),"n.a.")</x:f>
        <x:v>52628</x:v>
      </x:c>
      <x:c r="E1044" s="26" t="n">
        <x:f>IF('Inputs'!$D$9&lt;&gt;"Ready","n.a.",IF(ISNUMBER('Inputs'!E226),IF('Inputs'!E226&gt;=0,'Inputs'!E226,"n.a."),IF('Inputs'!E226="",'Inputs'!$D$6,"n.a.")))</x:f>
        <x:v>500</x:v>
      </x:c>
      <x:c r="F1044" s="22" t="n">
        <x:f>IF(COUNT($N$1042:$N$1046)=5,SUM($N$1042:$N$1046),"n.a.")</x:f>
        <x:v>0</x:v>
      </x:c>
      <x:c r="G1044" s="22" t="n">
        <x:f>IF(COUNT(E1044:F1044)=2,MAX(0,E1044-F1044),"n.a.")</x:f>
        <x:v>500</x:v>
      </x:c>
      <x:c r="H1044" s="26" t="str">
        <x:f>'Inputs'!C13</x:f>
        <x:v>Loan C</x:v>
      </x:c>
      <x:c r="I1044" s="26" t="n">
        <x:f>S1039</x:f>
        <x:v>0</x:v>
      </x:c>
      <x:c r="J1044" s="29" t="n">
        <x:f>IF('Inputs'!$D$9="Ready",'Inputs'!E13,"n.a.")</x:f>
        <x:v>0.08</x:v>
      </x:c>
      <x:c r="K1044" s="26" t="n">
        <x:f>IF('Inputs'!$D$9="Ready",'Inputs'!F13,"n.a.")</x:f>
        <x:v>150</x:v>
      </x:c>
      <x:c r="L1044" s="29" t="n">
        <x:f>IF('Inputs'!$D$9="Ready",'Inputs'!G13,"n.a.")</x:f>
        <x:v>0</x:v>
      </x:c>
      <x:c r="M1044" s="22" t="n">
        <x:f>IF(COUNT(I1044:L1044)=4,ROUND(I1044*J1044/12,2),"n.a.")</x:f>
        <x:v>0</x:v>
      </x:c>
      <x:c r="N1044" s="22" t="n">
        <x:f>IF(COUNT(I1044:M1044)=5,MIN(I1044+M1044,ROUND(MAX(K1044,I1044*L1044+M1044),2)),"n.a.")</x:f>
        <x:v>0</x:v>
      </x:c>
      <x:c r="O1044" s="30" t="n">
        <x:f>IF(COUNT($I$1042:$I$1046)&lt;&gt;5,"n.a.",IF(I1044=0,6,IF('Inputs'!$D$5=1,COUNTIFS($I$1042:$I$1046,"&gt;0",$I$1042:$I$1046,"&lt;"&amp;I1044)+COUNTIFS($I$1042:I1044,I1044),COUNTIFS($I$1042:$I$1046,"&gt;0",$J$1042:$J$1046,"&gt;"&amp;J1044)+COUNTIFS($I$1042:I1044,"&gt;0",$J$1042:J1044,J1044))))</x:f>
        <x:v>6</x:v>
      </x:c>
      <x:c r="P1044" s="22" t="n">
        <x:f>IF(T1044="Ready",MIN(U1044,MAX(0,G1044-SUMIFS($U$1042:$U$1046,$O$1042:$O$1046,"&lt;"&amp;O1044))),"n.a.")</x:f>
        <x:v>0</x:v>
      </x:c>
      <x:c r="Q1044" s="22" t="n">
        <x:f>IF(T1044="Ready",ROUND(N1044+P1044,2),"n.a.")</x:f>
        <x:v>0</x:v>
      </x:c>
      <x:c r="R1044" s="22" t="n">
        <x:f>IF(T1044="Ready",ROUND(Q1044-M1044,2),"n.a.")</x:f>
        <x:v>0</x:v>
      </x:c>
      <x:c r="S1044" s="22" t="n">
        <x:f>IF(T1044="Ready",MAX(0,ROUND(I1044+M1044-Q1044,2)),"n.a.")</x:f>
        <x:v>0</x:v>
      </x:c>
      <x:c r="T1044" s="22" t="str">
        <x:f>IF(AND(COUNT($I$1042:$I$1046)=5,COUNT(E1044:F1044)=2),IF(E1044&gt;=F1044,"Ready","Budget below minima"),"Check inputs")</x:f>
        <x:v>Ready</x:v>
      </x:c>
      <x:c r="U1044" s="22" t="n">
        <x:f>IF(COUNT(I1044,M1044,N1044)=3,MAX(0,ROUND(I1044+M1044-N1044,2)),"n.a.")</x:f>
        <x:v>0</x:v>
      </x:c>
    </x:row>
    <x:row r="1045" ht="22" customHeight="1">
      <x:c r="A1045" s="2"/>
      <x:c r="B1045" s="2"/>
      <x:c r="C1045" s="27" t="n">
        <x:f>208</x:f>
        <x:v>208</x:v>
      </x:c>
      <x:c r="D1045" s="28" t="n">
        <x:f>IF(ISNUMBER('Inputs'!$D$7),EDATE('Inputs'!$D$7,207),"n.a.")</x:f>
        <x:v>52628</x:v>
      </x:c>
      <x:c r="E1045" s="26" t="n">
        <x:f>IF('Inputs'!$D$9&lt;&gt;"Ready","n.a.",IF(ISNUMBER('Inputs'!E226),IF('Inputs'!E226&gt;=0,'Inputs'!E226,"n.a."),IF('Inputs'!E226="",'Inputs'!$D$6,"n.a.")))</x:f>
        <x:v>500</x:v>
      </x:c>
      <x:c r="F1045" s="22" t="n">
        <x:f>IF(COUNT($N$1042:$N$1046)=5,SUM($N$1042:$N$1046),"n.a.")</x:f>
        <x:v>0</x:v>
      </x:c>
      <x:c r="G1045" s="22" t="n">
        <x:f>IF(COUNT(E1045:F1045)=2,MAX(0,E1045-F1045),"n.a.")</x:f>
        <x:v>500</x:v>
      </x:c>
      <x:c r="H1045" s="26" t="str">
        <x:f>'Inputs'!C14</x:f>
        <x:v>Unused 4</x:v>
      </x:c>
      <x:c r="I1045" s="26" t="n">
        <x:f>S1040</x:f>
        <x:v>0</x:v>
      </x:c>
      <x:c r="J1045" s="29" t="n">
        <x:f>IF('Inputs'!$D$9="Ready",'Inputs'!E14,"n.a.")</x:f>
        <x:v>0</x:v>
      </x:c>
      <x:c r="K1045" s="26" t="n">
        <x:f>IF('Inputs'!$D$9="Ready",'Inputs'!F14,"n.a.")</x:f>
        <x:v>0</x:v>
      </x:c>
      <x:c r="L1045" s="29" t="n">
        <x:f>IF('Inputs'!$D$9="Ready",'Inputs'!G14,"n.a.")</x:f>
        <x:v>0</x:v>
      </x:c>
      <x:c r="M1045" s="22" t="n">
        <x:f>IF(COUNT(I1045:L1045)=4,ROUND(I1045*J1045/12,2),"n.a.")</x:f>
        <x:v>0</x:v>
      </x:c>
      <x:c r="N1045" s="22" t="n">
        <x:f>IF(COUNT(I1045:M1045)=5,MIN(I1045+M1045,ROUND(MAX(K1045,I1045*L1045+M1045),2)),"n.a.")</x:f>
        <x:v>0</x:v>
      </x:c>
      <x:c r="O1045" s="30" t="n">
        <x:f>IF(COUNT($I$1042:$I$1046)&lt;&gt;5,"n.a.",IF(I1045=0,6,IF('Inputs'!$D$5=1,COUNTIFS($I$1042:$I$1046,"&gt;0",$I$1042:$I$1046,"&lt;"&amp;I1045)+COUNTIFS($I$1042:I1045,I1045),COUNTIFS($I$1042:$I$1046,"&gt;0",$J$1042:$J$1046,"&gt;"&amp;J1045)+COUNTIFS($I$1042:I1045,"&gt;0",$J$1042:J1045,J1045))))</x:f>
        <x:v>6</x:v>
      </x:c>
      <x:c r="P1045" s="22" t="n">
        <x:f>IF(T1045="Ready",MIN(U1045,MAX(0,G1045-SUMIFS($U$1042:$U$1046,$O$1042:$O$1046,"&lt;"&amp;O1045))),"n.a.")</x:f>
        <x:v>0</x:v>
      </x:c>
      <x:c r="Q1045" s="22" t="n">
        <x:f>IF(T1045="Ready",ROUND(N1045+P1045,2),"n.a.")</x:f>
        <x:v>0</x:v>
      </x:c>
      <x:c r="R1045" s="22" t="n">
        <x:f>IF(T1045="Ready",ROUND(Q1045-M1045,2),"n.a.")</x:f>
        <x:v>0</x:v>
      </x:c>
      <x:c r="S1045" s="22" t="n">
        <x:f>IF(T1045="Ready",MAX(0,ROUND(I1045+M1045-Q1045,2)),"n.a.")</x:f>
        <x:v>0</x:v>
      </x:c>
      <x:c r="T1045" s="22" t="str">
        <x:f>IF(AND(COUNT($I$1042:$I$1046)=5,COUNT(E1045:F1045)=2),IF(E1045&gt;=F1045,"Ready","Budget below minima"),"Check inputs")</x:f>
        <x:v>Ready</x:v>
      </x:c>
      <x:c r="U1045" s="22" t="n">
        <x:f>IF(COUNT(I1045,M1045,N1045)=3,MAX(0,ROUND(I1045+M1045-N1045,2)),"n.a.")</x:f>
        <x:v>0</x:v>
      </x:c>
    </x:row>
    <x:row r="1046" ht="22" customHeight="1">
      <x:c r="A1046" s="2"/>
      <x:c r="B1046" s="2"/>
      <x:c r="C1046" s="27" t="n">
        <x:f>208</x:f>
        <x:v>208</x:v>
      </x:c>
      <x:c r="D1046" s="28" t="n">
        <x:f>IF(ISNUMBER('Inputs'!$D$7),EDATE('Inputs'!$D$7,207),"n.a.")</x:f>
        <x:v>52628</x:v>
      </x:c>
      <x:c r="E1046" s="26" t="n">
        <x:f>IF('Inputs'!$D$9&lt;&gt;"Ready","n.a.",IF(ISNUMBER('Inputs'!E226),IF('Inputs'!E226&gt;=0,'Inputs'!E226,"n.a."),IF('Inputs'!E226="",'Inputs'!$D$6,"n.a.")))</x:f>
        <x:v>500</x:v>
      </x:c>
      <x:c r="F1046" s="22" t="n">
        <x:f>IF(COUNT($N$1042:$N$1046)=5,SUM($N$1042:$N$1046),"n.a.")</x:f>
        <x:v>0</x:v>
      </x:c>
      <x:c r="G1046" s="22" t="n">
        <x:f>IF(COUNT(E1046:F1046)=2,MAX(0,E1046-F1046),"n.a.")</x:f>
        <x:v>500</x:v>
      </x:c>
      <x:c r="H1046" s="26" t="str">
        <x:f>'Inputs'!C15</x:f>
        <x:v>Unused 5</x:v>
      </x:c>
      <x:c r="I1046" s="26" t="n">
        <x:f>S1041</x:f>
        <x:v>0</x:v>
      </x:c>
      <x:c r="J1046" s="29" t="n">
        <x:f>IF('Inputs'!$D$9="Ready",'Inputs'!E15,"n.a.")</x:f>
        <x:v>0</x:v>
      </x:c>
      <x:c r="K1046" s="26" t="n">
        <x:f>IF('Inputs'!$D$9="Ready",'Inputs'!F15,"n.a.")</x:f>
        <x:v>0</x:v>
      </x:c>
      <x:c r="L1046" s="29" t="n">
        <x:f>IF('Inputs'!$D$9="Ready",'Inputs'!G15,"n.a.")</x:f>
        <x:v>0</x:v>
      </x:c>
      <x:c r="M1046" s="22" t="n">
        <x:f>IF(COUNT(I1046:L1046)=4,ROUND(I1046*J1046/12,2),"n.a.")</x:f>
        <x:v>0</x:v>
      </x:c>
      <x:c r="N1046" s="22" t="n">
        <x:f>IF(COUNT(I1046:M1046)=5,MIN(I1046+M1046,ROUND(MAX(K1046,I1046*L1046+M1046),2)),"n.a.")</x:f>
        <x:v>0</x:v>
      </x:c>
      <x:c r="O1046" s="30" t="n">
        <x:f>IF(COUNT($I$1042:$I$1046)&lt;&gt;5,"n.a.",IF(I1046=0,6,IF('Inputs'!$D$5=1,COUNTIFS($I$1042:$I$1046,"&gt;0",$I$1042:$I$1046,"&lt;"&amp;I1046)+COUNTIFS($I$1042:I1046,I1046),COUNTIFS($I$1042:$I$1046,"&gt;0",$J$1042:$J$1046,"&gt;"&amp;J1046)+COUNTIFS($I$1042:I1046,"&gt;0",$J$1042:J1046,J1046))))</x:f>
        <x:v>6</x:v>
      </x:c>
      <x:c r="P1046" s="22" t="n">
        <x:f>IF(T1046="Ready",MIN(U1046,MAX(0,G1046-SUMIFS($U$1042:$U$1046,$O$1042:$O$1046,"&lt;"&amp;O1046))),"n.a.")</x:f>
        <x:v>0</x:v>
      </x:c>
      <x:c r="Q1046" s="22" t="n">
        <x:f>IF(T1046="Ready",ROUND(N1046+P1046,2),"n.a.")</x:f>
        <x:v>0</x:v>
      </x:c>
      <x:c r="R1046" s="22" t="n">
        <x:f>IF(T1046="Ready",ROUND(Q1046-M1046,2),"n.a.")</x:f>
        <x:v>0</x:v>
      </x:c>
      <x:c r="S1046" s="22" t="n">
        <x:f>IF(T1046="Ready",MAX(0,ROUND(I1046+M1046-Q1046,2)),"n.a.")</x:f>
        <x:v>0</x:v>
      </x:c>
      <x:c r="T1046" s="22" t="str">
        <x:f>IF(AND(COUNT($I$1042:$I$1046)=5,COUNT(E1046:F1046)=2),IF(E1046&gt;=F1046,"Ready","Budget below minima"),"Check inputs")</x:f>
        <x:v>Ready</x:v>
      </x:c>
      <x:c r="U1046" s="22" t="n">
        <x:f>IF(COUNT(I1046,M1046,N1046)=3,MAX(0,ROUND(I1046+M1046-N1046,2)),"n.a.")</x:f>
        <x:v>0</x:v>
      </x:c>
    </x:row>
    <x:row r="1047" ht="22" customHeight="1">
      <x:c r="A1047" s="2"/>
      <x:c r="B1047" s="2"/>
      <x:c r="C1047" s="27" t="n">
        <x:f>209</x:f>
        <x:v>209</x:v>
      </x:c>
      <x:c r="D1047" s="28" t="n">
        <x:f>IF(ISNUMBER('Inputs'!$D$7),EDATE('Inputs'!$D$7,208),"n.a.")</x:f>
        <x:v>52657</x:v>
      </x:c>
      <x:c r="E1047" s="26" t="n">
        <x:f>IF('Inputs'!$D$9&lt;&gt;"Ready","n.a.",IF(ISNUMBER('Inputs'!E227),IF('Inputs'!E227&gt;=0,'Inputs'!E227,"n.a."),IF('Inputs'!E227="",'Inputs'!$D$6,"n.a.")))</x:f>
        <x:v>500</x:v>
      </x:c>
      <x:c r="F1047" s="22" t="n">
        <x:f>IF(COUNT($N$1047:$N$1051)=5,SUM($N$1047:$N$1051),"n.a.")</x:f>
        <x:v>0</x:v>
      </x:c>
      <x:c r="G1047" s="22" t="n">
        <x:f>IF(COUNT(E1047:F1047)=2,MAX(0,E1047-F1047),"n.a.")</x:f>
        <x:v>500</x:v>
      </x:c>
      <x:c r="H1047" s="26" t="str">
        <x:f>'Inputs'!C11</x:f>
        <x:v>Card A</x:v>
      </x:c>
      <x:c r="I1047" s="26" t="n">
        <x:f>S1042</x:f>
        <x:v>0</x:v>
      </x:c>
      <x:c r="J1047" s="29" t="n">
        <x:f>IF('Inputs'!$D$9="Ready",'Inputs'!E11,"n.a.")</x:f>
        <x:v>0.24</x:v>
      </x:c>
      <x:c r="K1047" s="26" t="n">
        <x:f>IF('Inputs'!$D$9="Ready",'Inputs'!F11,"n.a.")</x:f>
        <x:v>35</x:v>
      </x:c>
      <x:c r="L1047" s="29" t="n">
        <x:f>IF('Inputs'!$D$9="Ready",'Inputs'!G11,"n.a.")</x:f>
        <x:v>0.02</x:v>
      </x:c>
      <x:c r="M1047" s="22" t="n">
        <x:f>IF(COUNT(I1047:L1047)=4,ROUND(I1047*J1047/12,2),"n.a.")</x:f>
        <x:v>0</x:v>
      </x:c>
      <x:c r="N1047" s="22" t="n">
        <x:f>IF(COUNT(I1047:M1047)=5,MIN(I1047+M1047,ROUND(MAX(K1047,I1047*L1047+M1047),2)),"n.a.")</x:f>
        <x:v>0</x:v>
      </x:c>
      <x:c r="O1047" s="30" t="n">
        <x:f>IF(COUNT($I$1047:$I$1051)&lt;&gt;5,"n.a.",IF(I1047=0,6,IF('Inputs'!$D$5=1,COUNTIFS($I$1047:$I$1051,"&gt;0",$I$1047:$I$1051,"&lt;"&amp;I1047)+COUNTIFS($I$1047:I1047,I1047),COUNTIFS($I$1047:$I$1051,"&gt;0",$J$1047:$J$1051,"&gt;"&amp;J1047)+COUNTIFS($I$1047:I1047,"&gt;0",$J$1047:J1047,J1047))))</x:f>
        <x:v>6</x:v>
      </x:c>
      <x:c r="P1047" s="22" t="n">
        <x:f>IF(T1047="Ready",MIN(U1047,MAX(0,G1047-SUMIFS($U$1047:$U$1051,$O$1047:$O$1051,"&lt;"&amp;O1047))),"n.a.")</x:f>
        <x:v>0</x:v>
      </x:c>
      <x:c r="Q1047" s="22" t="n">
        <x:f>IF(T1047="Ready",ROUND(N1047+P1047,2),"n.a.")</x:f>
        <x:v>0</x:v>
      </x:c>
      <x:c r="R1047" s="22" t="n">
        <x:f>IF(T1047="Ready",ROUND(Q1047-M1047,2),"n.a.")</x:f>
        <x:v>0</x:v>
      </x:c>
      <x:c r="S1047" s="22" t="n">
        <x:f>IF(T1047="Ready",MAX(0,ROUND(I1047+M1047-Q1047,2)),"n.a.")</x:f>
        <x:v>0</x:v>
      </x:c>
      <x:c r="T1047" s="22" t="str">
        <x:f>IF(AND(COUNT($I$1047:$I$1051)=5,COUNT(E1047:F1047)=2),IF(E1047&gt;=F1047,"Ready","Budget below minima"),"Check inputs")</x:f>
        <x:v>Ready</x:v>
      </x:c>
      <x:c r="U1047" s="22" t="n">
        <x:f>IF(COUNT(I1047,M1047,N1047)=3,MAX(0,ROUND(I1047+M1047-N1047,2)),"n.a.")</x:f>
        <x:v>0</x:v>
      </x:c>
    </x:row>
    <x:row r="1048" ht="22" customHeight="1">
      <x:c r="A1048" s="2"/>
      <x:c r="B1048" s="2"/>
      <x:c r="C1048" s="27" t="n">
        <x:f>209</x:f>
        <x:v>209</x:v>
      </x:c>
      <x:c r="D1048" s="28" t="n">
        <x:f>IF(ISNUMBER('Inputs'!$D$7),EDATE('Inputs'!$D$7,208),"n.a.")</x:f>
        <x:v>52657</x:v>
      </x:c>
      <x:c r="E1048" s="26" t="n">
        <x:f>IF('Inputs'!$D$9&lt;&gt;"Ready","n.a.",IF(ISNUMBER('Inputs'!E227),IF('Inputs'!E227&gt;=0,'Inputs'!E227,"n.a."),IF('Inputs'!E227="",'Inputs'!$D$6,"n.a.")))</x:f>
        <x:v>500</x:v>
      </x:c>
      <x:c r="F1048" s="22" t="n">
        <x:f>IF(COUNT($N$1047:$N$1051)=5,SUM($N$1047:$N$1051),"n.a.")</x:f>
        <x:v>0</x:v>
      </x:c>
      <x:c r="G1048" s="22" t="n">
        <x:f>IF(COUNT(E1048:F1048)=2,MAX(0,E1048-F1048),"n.a.")</x:f>
        <x:v>500</x:v>
      </x:c>
      <x:c r="H1048" s="26" t="str">
        <x:f>'Inputs'!C12</x:f>
        <x:v>Card B</x:v>
      </x:c>
      <x:c r="I1048" s="26" t="n">
        <x:f>S1043</x:f>
        <x:v>0</x:v>
      </x:c>
      <x:c r="J1048" s="29" t="n">
        <x:f>IF('Inputs'!$D$9="Ready",'Inputs'!E12,"n.a.")</x:f>
        <x:v>0.18</x:v>
      </x:c>
      <x:c r="K1048" s="26" t="n">
        <x:f>IF('Inputs'!$D$9="Ready",'Inputs'!F12,"n.a.")</x:f>
        <x:v>60</x:v>
      </x:c>
      <x:c r="L1048" s="29" t="n">
        <x:f>IF('Inputs'!$D$9="Ready",'Inputs'!G12,"n.a.")</x:f>
        <x:v>0.02</x:v>
      </x:c>
      <x:c r="M1048" s="22" t="n">
        <x:f>IF(COUNT(I1048:L1048)=4,ROUND(I1048*J1048/12,2),"n.a.")</x:f>
        <x:v>0</x:v>
      </x:c>
      <x:c r="N1048" s="22" t="n">
        <x:f>IF(COUNT(I1048:M1048)=5,MIN(I1048+M1048,ROUND(MAX(K1048,I1048*L1048+M1048),2)),"n.a.")</x:f>
        <x:v>0</x:v>
      </x:c>
      <x:c r="O1048" s="30" t="n">
        <x:f>IF(COUNT($I$1047:$I$1051)&lt;&gt;5,"n.a.",IF(I1048=0,6,IF('Inputs'!$D$5=1,COUNTIFS($I$1047:$I$1051,"&gt;0",$I$1047:$I$1051,"&lt;"&amp;I1048)+COUNTIFS($I$1047:I1048,I1048),COUNTIFS($I$1047:$I$1051,"&gt;0",$J$1047:$J$1051,"&gt;"&amp;J1048)+COUNTIFS($I$1047:I1048,"&gt;0",$J$1047:J1048,J1048))))</x:f>
        <x:v>6</x:v>
      </x:c>
      <x:c r="P1048" s="22" t="n">
        <x:f>IF(T1048="Ready",MIN(U1048,MAX(0,G1048-SUMIFS($U$1047:$U$1051,$O$1047:$O$1051,"&lt;"&amp;O1048))),"n.a.")</x:f>
        <x:v>0</x:v>
      </x:c>
      <x:c r="Q1048" s="22" t="n">
        <x:f>IF(T1048="Ready",ROUND(N1048+P1048,2),"n.a.")</x:f>
        <x:v>0</x:v>
      </x:c>
      <x:c r="R1048" s="22" t="n">
        <x:f>IF(T1048="Ready",ROUND(Q1048-M1048,2),"n.a.")</x:f>
        <x:v>0</x:v>
      </x:c>
      <x:c r="S1048" s="22" t="n">
        <x:f>IF(T1048="Ready",MAX(0,ROUND(I1048+M1048-Q1048,2)),"n.a.")</x:f>
        <x:v>0</x:v>
      </x:c>
      <x:c r="T1048" s="22" t="str">
        <x:f>IF(AND(COUNT($I$1047:$I$1051)=5,COUNT(E1048:F1048)=2),IF(E1048&gt;=F1048,"Ready","Budget below minima"),"Check inputs")</x:f>
        <x:v>Ready</x:v>
      </x:c>
      <x:c r="U1048" s="22" t="n">
        <x:f>IF(COUNT(I1048,M1048,N1048)=3,MAX(0,ROUND(I1048+M1048-N1048,2)),"n.a.")</x:f>
        <x:v>0</x:v>
      </x:c>
    </x:row>
    <x:row r="1049" ht="22" customHeight="1">
      <x:c r="A1049" s="2"/>
      <x:c r="B1049" s="2"/>
      <x:c r="C1049" s="27" t="n">
        <x:f>209</x:f>
        <x:v>209</x:v>
      </x:c>
      <x:c r="D1049" s="28" t="n">
        <x:f>IF(ISNUMBER('Inputs'!$D$7),EDATE('Inputs'!$D$7,208),"n.a.")</x:f>
        <x:v>52657</x:v>
      </x:c>
      <x:c r="E1049" s="26" t="n">
        <x:f>IF('Inputs'!$D$9&lt;&gt;"Ready","n.a.",IF(ISNUMBER('Inputs'!E227),IF('Inputs'!E227&gt;=0,'Inputs'!E227,"n.a."),IF('Inputs'!E227="",'Inputs'!$D$6,"n.a.")))</x:f>
        <x:v>500</x:v>
      </x:c>
      <x:c r="F1049" s="22" t="n">
        <x:f>IF(COUNT($N$1047:$N$1051)=5,SUM($N$1047:$N$1051),"n.a.")</x:f>
        <x:v>0</x:v>
      </x:c>
      <x:c r="G1049" s="22" t="n">
        <x:f>IF(COUNT(E1049:F1049)=2,MAX(0,E1049-F1049),"n.a.")</x:f>
        <x:v>500</x:v>
      </x:c>
      <x:c r="H1049" s="26" t="str">
        <x:f>'Inputs'!C13</x:f>
        <x:v>Loan C</x:v>
      </x:c>
      <x:c r="I1049" s="26" t="n">
        <x:f>S1044</x:f>
        <x:v>0</x:v>
      </x:c>
      <x:c r="J1049" s="29" t="n">
        <x:f>IF('Inputs'!$D$9="Ready",'Inputs'!E13,"n.a.")</x:f>
        <x:v>0.08</x:v>
      </x:c>
      <x:c r="K1049" s="26" t="n">
        <x:f>IF('Inputs'!$D$9="Ready",'Inputs'!F13,"n.a.")</x:f>
        <x:v>150</x:v>
      </x:c>
      <x:c r="L1049" s="29" t="n">
        <x:f>IF('Inputs'!$D$9="Ready",'Inputs'!G13,"n.a.")</x:f>
        <x:v>0</x:v>
      </x:c>
      <x:c r="M1049" s="22" t="n">
        <x:f>IF(COUNT(I1049:L1049)=4,ROUND(I1049*J1049/12,2),"n.a.")</x:f>
        <x:v>0</x:v>
      </x:c>
      <x:c r="N1049" s="22" t="n">
        <x:f>IF(COUNT(I1049:M1049)=5,MIN(I1049+M1049,ROUND(MAX(K1049,I1049*L1049+M1049),2)),"n.a.")</x:f>
        <x:v>0</x:v>
      </x:c>
      <x:c r="O1049" s="30" t="n">
        <x:f>IF(COUNT($I$1047:$I$1051)&lt;&gt;5,"n.a.",IF(I1049=0,6,IF('Inputs'!$D$5=1,COUNTIFS($I$1047:$I$1051,"&gt;0",$I$1047:$I$1051,"&lt;"&amp;I1049)+COUNTIFS($I$1047:I1049,I1049),COUNTIFS($I$1047:$I$1051,"&gt;0",$J$1047:$J$1051,"&gt;"&amp;J1049)+COUNTIFS($I$1047:I1049,"&gt;0",$J$1047:J1049,J1049))))</x:f>
        <x:v>6</x:v>
      </x:c>
      <x:c r="P1049" s="22" t="n">
        <x:f>IF(T1049="Ready",MIN(U1049,MAX(0,G1049-SUMIFS($U$1047:$U$1051,$O$1047:$O$1051,"&lt;"&amp;O1049))),"n.a.")</x:f>
        <x:v>0</x:v>
      </x:c>
      <x:c r="Q1049" s="22" t="n">
        <x:f>IF(T1049="Ready",ROUND(N1049+P1049,2),"n.a.")</x:f>
        <x:v>0</x:v>
      </x:c>
      <x:c r="R1049" s="22" t="n">
        <x:f>IF(T1049="Ready",ROUND(Q1049-M1049,2),"n.a.")</x:f>
        <x:v>0</x:v>
      </x:c>
      <x:c r="S1049" s="22" t="n">
        <x:f>IF(T1049="Ready",MAX(0,ROUND(I1049+M1049-Q1049,2)),"n.a.")</x:f>
        <x:v>0</x:v>
      </x:c>
      <x:c r="T1049" s="22" t="str">
        <x:f>IF(AND(COUNT($I$1047:$I$1051)=5,COUNT(E1049:F1049)=2),IF(E1049&gt;=F1049,"Ready","Budget below minima"),"Check inputs")</x:f>
        <x:v>Ready</x:v>
      </x:c>
      <x:c r="U1049" s="22" t="n">
        <x:f>IF(COUNT(I1049,M1049,N1049)=3,MAX(0,ROUND(I1049+M1049-N1049,2)),"n.a.")</x:f>
        <x:v>0</x:v>
      </x:c>
    </x:row>
    <x:row r="1050" ht="22" customHeight="1">
      <x:c r="A1050" s="2"/>
      <x:c r="B1050" s="2"/>
      <x:c r="C1050" s="27" t="n">
        <x:f>209</x:f>
        <x:v>209</x:v>
      </x:c>
      <x:c r="D1050" s="28" t="n">
        <x:f>IF(ISNUMBER('Inputs'!$D$7),EDATE('Inputs'!$D$7,208),"n.a.")</x:f>
        <x:v>52657</x:v>
      </x:c>
      <x:c r="E1050" s="26" t="n">
        <x:f>IF('Inputs'!$D$9&lt;&gt;"Ready","n.a.",IF(ISNUMBER('Inputs'!E227),IF('Inputs'!E227&gt;=0,'Inputs'!E227,"n.a."),IF('Inputs'!E227="",'Inputs'!$D$6,"n.a.")))</x:f>
        <x:v>500</x:v>
      </x:c>
      <x:c r="F1050" s="22" t="n">
        <x:f>IF(COUNT($N$1047:$N$1051)=5,SUM($N$1047:$N$1051),"n.a.")</x:f>
        <x:v>0</x:v>
      </x:c>
      <x:c r="G1050" s="22" t="n">
        <x:f>IF(COUNT(E1050:F1050)=2,MAX(0,E1050-F1050),"n.a.")</x:f>
        <x:v>500</x:v>
      </x:c>
      <x:c r="H1050" s="26" t="str">
        <x:f>'Inputs'!C14</x:f>
        <x:v>Unused 4</x:v>
      </x:c>
      <x:c r="I1050" s="26" t="n">
        <x:f>S1045</x:f>
        <x:v>0</x:v>
      </x:c>
      <x:c r="J1050" s="29" t="n">
        <x:f>IF('Inputs'!$D$9="Ready",'Inputs'!E14,"n.a.")</x:f>
        <x:v>0</x:v>
      </x:c>
      <x:c r="K1050" s="26" t="n">
        <x:f>IF('Inputs'!$D$9="Ready",'Inputs'!F14,"n.a.")</x:f>
        <x:v>0</x:v>
      </x:c>
      <x:c r="L1050" s="29" t="n">
        <x:f>IF('Inputs'!$D$9="Ready",'Inputs'!G14,"n.a.")</x:f>
        <x:v>0</x:v>
      </x:c>
      <x:c r="M1050" s="22" t="n">
        <x:f>IF(COUNT(I1050:L1050)=4,ROUND(I1050*J1050/12,2),"n.a.")</x:f>
        <x:v>0</x:v>
      </x:c>
      <x:c r="N1050" s="22" t="n">
        <x:f>IF(COUNT(I1050:M1050)=5,MIN(I1050+M1050,ROUND(MAX(K1050,I1050*L1050+M1050),2)),"n.a.")</x:f>
        <x:v>0</x:v>
      </x:c>
      <x:c r="O1050" s="30" t="n">
        <x:f>IF(COUNT($I$1047:$I$1051)&lt;&gt;5,"n.a.",IF(I1050=0,6,IF('Inputs'!$D$5=1,COUNTIFS($I$1047:$I$1051,"&gt;0",$I$1047:$I$1051,"&lt;"&amp;I1050)+COUNTIFS($I$1047:I1050,I1050),COUNTIFS($I$1047:$I$1051,"&gt;0",$J$1047:$J$1051,"&gt;"&amp;J1050)+COUNTIFS($I$1047:I1050,"&gt;0",$J$1047:J1050,J1050))))</x:f>
        <x:v>6</x:v>
      </x:c>
      <x:c r="P1050" s="22" t="n">
        <x:f>IF(T1050="Ready",MIN(U1050,MAX(0,G1050-SUMIFS($U$1047:$U$1051,$O$1047:$O$1051,"&lt;"&amp;O1050))),"n.a.")</x:f>
        <x:v>0</x:v>
      </x:c>
      <x:c r="Q1050" s="22" t="n">
        <x:f>IF(T1050="Ready",ROUND(N1050+P1050,2),"n.a.")</x:f>
        <x:v>0</x:v>
      </x:c>
      <x:c r="R1050" s="22" t="n">
        <x:f>IF(T1050="Ready",ROUND(Q1050-M1050,2),"n.a.")</x:f>
        <x:v>0</x:v>
      </x:c>
      <x:c r="S1050" s="22" t="n">
        <x:f>IF(T1050="Ready",MAX(0,ROUND(I1050+M1050-Q1050,2)),"n.a.")</x:f>
        <x:v>0</x:v>
      </x:c>
      <x:c r="T1050" s="22" t="str">
        <x:f>IF(AND(COUNT($I$1047:$I$1051)=5,COUNT(E1050:F1050)=2),IF(E1050&gt;=F1050,"Ready","Budget below minima"),"Check inputs")</x:f>
        <x:v>Ready</x:v>
      </x:c>
      <x:c r="U1050" s="22" t="n">
        <x:f>IF(COUNT(I1050,M1050,N1050)=3,MAX(0,ROUND(I1050+M1050-N1050,2)),"n.a.")</x:f>
        <x:v>0</x:v>
      </x:c>
    </x:row>
    <x:row r="1051" ht="22" customHeight="1">
      <x:c r="A1051" s="2"/>
      <x:c r="B1051" s="2"/>
      <x:c r="C1051" s="27" t="n">
        <x:f>209</x:f>
        <x:v>209</x:v>
      </x:c>
      <x:c r="D1051" s="28" t="n">
        <x:f>IF(ISNUMBER('Inputs'!$D$7),EDATE('Inputs'!$D$7,208),"n.a.")</x:f>
        <x:v>52657</x:v>
      </x:c>
      <x:c r="E1051" s="26" t="n">
        <x:f>IF('Inputs'!$D$9&lt;&gt;"Ready","n.a.",IF(ISNUMBER('Inputs'!E227),IF('Inputs'!E227&gt;=0,'Inputs'!E227,"n.a."),IF('Inputs'!E227="",'Inputs'!$D$6,"n.a.")))</x:f>
        <x:v>500</x:v>
      </x:c>
      <x:c r="F1051" s="22" t="n">
        <x:f>IF(COUNT($N$1047:$N$1051)=5,SUM($N$1047:$N$1051),"n.a.")</x:f>
        <x:v>0</x:v>
      </x:c>
      <x:c r="G1051" s="22" t="n">
        <x:f>IF(COUNT(E1051:F1051)=2,MAX(0,E1051-F1051),"n.a.")</x:f>
        <x:v>500</x:v>
      </x:c>
      <x:c r="H1051" s="26" t="str">
        <x:f>'Inputs'!C15</x:f>
        <x:v>Unused 5</x:v>
      </x:c>
      <x:c r="I1051" s="26" t="n">
        <x:f>S1046</x:f>
        <x:v>0</x:v>
      </x:c>
      <x:c r="J1051" s="29" t="n">
        <x:f>IF('Inputs'!$D$9="Ready",'Inputs'!E15,"n.a.")</x:f>
        <x:v>0</x:v>
      </x:c>
      <x:c r="K1051" s="26" t="n">
        <x:f>IF('Inputs'!$D$9="Ready",'Inputs'!F15,"n.a.")</x:f>
        <x:v>0</x:v>
      </x:c>
      <x:c r="L1051" s="29" t="n">
        <x:f>IF('Inputs'!$D$9="Ready",'Inputs'!G15,"n.a.")</x:f>
        <x:v>0</x:v>
      </x:c>
      <x:c r="M1051" s="22" t="n">
        <x:f>IF(COUNT(I1051:L1051)=4,ROUND(I1051*J1051/12,2),"n.a.")</x:f>
        <x:v>0</x:v>
      </x:c>
      <x:c r="N1051" s="22" t="n">
        <x:f>IF(COUNT(I1051:M1051)=5,MIN(I1051+M1051,ROUND(MAX(K1051,I1051*L1051+M1051),2)),"n.a.")</x:f>
        <x:v>0</x:v>
      </x:c>
      <x:c r="O1051" s="30" t="n">
        <x:f>IF(COUNT($I$1047:$I$1051)&lt;&gt;5,"n.a.",IF(I1051=0,6,IF('Inputs'!$D$5=1,COUNTIFS($I$1047:$I$1051,"&gt;0",$I$1047:$I$1051,"&lt;"&amp;I1051)+COUNTIFS($I$1047:I1051,I1051),COUNTIFS($I$1047:$I$1051,"&gt;0",$J$1047:$J$1051,"&gt;"&amp;J1051)+COUNTIFS($I$1047:I1051,"&gt;0",$J$1047:J1051,J1051))))</x:f>
        <x:v>6</x:v>
      </x:c>
      <x:c r="P1051" s="22" t="n">
        <x:f>IF(T1051="Ready",MIN(U1051,MAX(0,G1051-SUMIFS($U$1047:$U$1051,$O$1047:$O$1051,"&lt;"&amp;O1051))),"n.a.")</x:f>
        <x:v>0</x:v>
      </x:c>
      <x:c r="Q1051" s="22" t="n">
        <x:f>IF(T1051="Ready",ROUND(N1051+P1051,2),"n.a.")</x:f>
        <x:v>0</x:v>
      </x:c>
      <x:c r="R1051" s="22" t="n">
        <x:f>IF(T1051="Ready",ROUND(Q1051-M1051,2),"n.a.")</x:f>
        <x:v>0</x:v>
      </x:c>
      <x:c r="S1051" s="22" t="n">
        <x:f>IF(T1051="Ready",MAX(0,ROUND(I1051+M1051-Q1051,2)),"n.a.")</x:f>
        <x:v>0</x:v>
      </x:c>
      <x:c r="T1051" s="22" t="str">
        <x:f>IF(AND(COUNT($I$1047:$I$1051)=5,COUNT(E1051:F1051)=2),IF(E1051&gt;=F1051,"Ready","Budget below minima"),"Check inputs")</x:f>
        <x:v>Ready</x:v>
      </x:c>
      <x:c r="U1051" s="22" t="n">
        <x:f>IF(COUNT(I1051,M1051,N1051)=3,MAX(0,ROUND(I1051+M1051-N1051,2)),"n.a.")</x:f>
        <x:v>0</x:v>
      </x:c>
    </x:row>
    <x:row r="1052" ht="22" customHeight="1">
      <x:c r="A1052" s="2"/>
      <x:c r="B1052" s="2"/>
      <x:c r="C1052" s="27" t="n">
        <x:f>210</x:f>
        <x:v>210</x:v>
      </x:c>
      <x:c r="D1052" s="28" t="n">
        <x:f>IF(ISNUMBER('Inputs'!$D$7),EDATE('Inputs'!$D$7,209),"n.a.")</x:f>
        <x:v>52688</x:v>
      </x:c>
      <x:c r="E1052" s="26" t="n">
        <x:f>IF('Inputs'!$D$9&lt;&gt;"Ready","n.a.",IF(ISNUMBER('Inputs'!E228),IF('Inputs'!E228&gt;=0,'Inputs'!E228,"n.a."),IF('Inputs'!E228="",'Inputs'!$D$6,"n.a.")))</x:f>
        <x:v>500</x:v>
      </x:c>
      <x:c r="F1052" s="22" t="n">
        <x:f>IF(COUNT($N$1052:$N$1056)=5,SUM($N$1052:$N$1056),"n.a.")</x:f>
        <x:v>0</x:v>
      </x:c>
      <x:c r="G1052" s="22" t="n">
        <x:f>IF(COUNT(E1052:F1052)=2,MAX(0,E1052-F1052),"n.a.")</x:f>
        <x:v>500</x:v>
      </x:c>
      <x:c r="H1052" s="26" t="str">
        <x:f>'Inputs'!C11</x:f>
        <x:v>Card A</x:v>
      </x:c>
      <x:c r="I1052" s="26" t="n">
        <x:f>S1047</x:f>
        <x:v>0</x:v>
      </x:c>
      <x:c r="J1052" s="29" t="n">
        <x:f>IF('Inputs'!$D$9="Ready",'Inputs'!E11,"n.a.")</x:f>
        <x:v>0.24</x:v>
      </x:c>
      <x:c r="K1052" s="26" t="n">
        <x:f>IF('Inputs'!$D$9="Ready",'Inputs'!F11,"n.a.")</x:f>
        <x:v>35</x:v>
      </x:c>
      <x:c r="L1052" s="29" t="n">
        <x:f>IF('Inputs'!$D$9="Ready",'Inputs'!G11,"n.a.")</x:f>
        <x:v>0.02</x:v>
      </x:c>
      <x:c r="M1052" s="22" t="n">
        <x:f>IF(COUNT(I1052:L1052)=4,ROUND(I1052*J1052/12,2),"n.a.")</x:f>
        <x:v>0</x:v>
      </x:c>
      <x:c r="N1052" s="22" t="n">
        <x:f>IF(COUNT(I1052:M1052)=5,MIN(I1052+M1052,ROUND(MAX(K1052,I1052*L1052+M1052),2)),"n.a.")</x:f>
        <x:v>0</x:v>
      </x:c>
      <x:c r="O1052" s="30" t="n">
        <x:f>IF(COUNT($I$1052:$I$1056)&lt;&gt;5,"n.a.",IF(I1052=0,6,IF('Inputs'!$D$5=1,COUNTIFS($I$1052:$I$1056,"&gt;0",$I$1052:$I$1056,"&lt;"&amp;I1052)+COUNTIFS($I$1052:I1052,I1052),COUNTIFS($I$1052:$I$1056,"&gt;0",$J$1052:$J$1056,"&gt;"&amp;J1052)+COUNTIFS($I$1052:I1052,"&gt;0",$J$1052:J1052,J1052))))</x:f>
        <x:v>6</x:v>
      </x:c>
      <x:c r="P1052" s="22" t="n">
        <x:f>IF(T1052="Ready",MIN(U1052,MAX(0,G1052-SUMIFS($U$1052:$U$1056,$O$1052:$O$1056,"&lt;"&amp;O1052))),"n.a.")</x:f>
        <x:v>0</x:v>
      </x:c>
      <x:c r="Q1052" s="22" t="n">
        <x:f>IF(T1052="Ready",ROUND(N1052+P1052,2),"n.a.")</x:f>
        <x:v>0</x:v>
      </x:c>
      <x:c r="R1052" s="22" t="n">
        <x:f>IF(T1052="Ready",ROUND(Q1052-M1052,2),"n.a.")</x:f>
        <x:v>0</x:v>
      </x:c>
      <x:c r="S1052" s="22" t="n">
        <x:f>IF(T1052="Ready",MAX(0,ROUND(I1052+M1052-Q1052,2)),"n.a.")</x:f>
        <x:v>0</x:v>
      </x:c>
      <x:c r="T1052" s="22" t="str">
        <x:f>IF(AND(COUNT($I$1052:$I$1056)=5,COUNT(E1052:F1052)=2),IF(E1052&gt;=F1052,"Ready","Budget below minima"),"Check inputs")</x:f>
        <x:v>Ready</x:v>
      </x:c>
      <x:c r="U1052" s="22" t="n">
        <x:f>IF(COUNT(I1052,M1052,N1052)=3,MAX(0,ROUND(I1052+M1052-N1052,2)),"n.a.")</x:f>
        <x:v>0</x:v>
      </x:c>
    </x:row>
    <x:row r="1053" ht="22" customHeight="1">
      <x:c r="A1053" s="2"/>
      <x:c r="B1053" s="2"/>
      <x:c r="C1053" s="27" t="n">
        <x:f>210</x:f>
        <x:v>210</x:v>
      </x:c>
      <x:c r="D1053" s="28" t="n">
        <x:f>IF(ISNUMBER('Inputs'!$D$7),EDATE('Inputs'!$D$7,209),"n.a.")</x:f>
        <x:v>52688</x:v>
      </x:c>
      <x:c r="E1053" s="26" t="n">
        <x:f>IF('Inputs'!$D$9&lt;&gt;"Ready","n.a.",IF(ISNUMBER('Inputs'!E228),IF('Inputs'!E228&gt;=0,'Inputs'!E228,"n.a."),IF('Inputs'!E228="",'Inputs'!$D$6,"n.a.")))</x:f>
        <x:v>500</x:v>
      </x:c>
      <x:c r="F1053" s="22" t="n">
        <x:f>IF(COUNT($N$1052:$N$1056)=5,SUM($N$1052:$N$1056),"n.a.")</x:f>
        <x:v>0</x:v>
      </x:c>
      <x:c r="G1053" s="22" t="n">
        <x:f>IF(COUNT(E1053:F1053)=2,MAX(0,E1053-F1053),"n.a.")</x:f>
        <x:v>500</x:v>
      </x:c>
      <x:c r="H1053" s="26" t="str">
        <x:f>'Inputs'!C12</x:f>
        <x:v>Card B</x:v>
      </x:c>
      <x:c r="I1053" s="26" t="n">
        <x:f>S1048</x:f>
        <x:v>0</x:v>
      </x:c>
      <x:c r="J1053" s="29" t="n">
        <x:f>IF('Inputs'!$D$9="Ready",'Inputs'!E12,"n.a.")</x:f>
        <x:v>0.18</x:v>
      </x:c>
      <x:c r="K1053" s="26" t="n">
        <x:f>IF('Inputs'!$D$9="Ready",'Inputs'!F12,"n.a.")</x:f>
        <x:v>60</x:v>
      </x:c>
      <x:c r="L1053" s="29" t="n">
        <x:f>IF('Inputs'!$D$9="Ready",'Inputs'!G12,"n.a.")</x:f>
        <x:v>0.02</x:v>
      </x:c>
      <x:c r="M1053" s="22" t="n">
        <x:f>IF(COUNT(I1053:L1053)=4,ROUND(I1053*J1053/12,2),"n.a.")</x:f>
        <x:v>0</x:v>
      </x:c>
      <x:c r="N1053" s="22" t="n">
        <x:f>IF(COUNT(I1053:M1053)=5,MIN(I1053+M1053,ROUND(MAX(K1053,I1053*L1053+M1053),2)),"n.a.")</x:f>
        <x:v>0</x:v>
      </x:c>
      <x:c r="O1053" s="30" t="n">
        <x:f>IF(COUNT($I$1052:$I$1056)&lt;&gt;5,"n.a.",IF(I1053=0,6,IF('Inputs'!$D$5=1,COUNTIFS($I$1052:$I$1056,"&gt;0",$I$1052:$I$1056,"&lt;"&amp;I1053)+COUNTIFS($I$1052:I1053,I1053),COUNTIFS($I$1052:$I$1056,"&gt;0",$J$1052:$J$1056,"&gt;"&amp;J1053)+COUNTIFS($I$1052:I1053,"&gt;0",$J$1052:J1053,J1053))))</x:f>
        <x:v>6</x:v>
      </x:c>
      <x:c r="P1053" s="22" t="n">
        <x:f>IF(T1053="Ready",MIN(U1053,MAX(0,G1053-SUMIFS($U$1052:$U$1056,$O$1052:$O$1056,"&lt;"&amp;O1053))),"n.a.")</x:f>
        <x:v>0</x:v>
      </x:c>
      <x:c r="Q1053" s="22" t="n">
        <x:f>IF(T1053="Ready",ROUND(N1053+P1053,2),"n.a.")</x:f>
        <x:v>0</x:v>
      </x:c>
      <x:c r="R1053" s="22" t="n">
        <x:f>IF(T1053="Ready",ROUND(Q1053-M1053,2),"n.a.")</x:f>
        <x:v>0</x:v>
      </x:c>
      <x:c r="S1053" s="22" t="n">
        <x:f>IF(T1053="Ready",MAX(0,ROUND(I1053+M1053-Q1053,2)),"n.a.")</x:f>
        <x:v>0</x:v>
      </x:c>
      <x:c r="T1053" s="22" t="str">
        <x:f>IF(AND(COUNT($I$1052:$I$1056)=5,COUNT(E1053:F1053)=2),IF(E1053&gt;=F1053,"Ready","Budget below minima"),"Check inputs")</x:f>
        <x:v>Ready</x:v>
      </x:c>
      <x:c r="U1053" s="22" t="n">
        <x:f>IF(COUNT(I1053,M1053,N1053)=3,MAX(0,ROUND(I1053+M1053-N1053,2)),"n.a.")</x:f>
        <x:v>0</x:v>
      </x:c>
    </x:row>
    <x:row r="1054" ht="22" customHeight="1">
      <x:c r="A1054" s="2"/>
      <x:c r="B1054" s="2"/>
      <x:c r="C1054" s="27" t="n">
        <x:f>210</x:f>
        <x:v>210</x:v>
      </x:c>
      <x:c r="D1054" s="28" t="n">
        <x:f>IF(ISNUMBER('Inputs'!$D$7),EDATE('Inputs'!$D$7,209),"n.a.")</x:f>
        <x:v>52688</x:v>
      </x:c>
      <x:c r="E1054" s="26" t="n">
        <x:f>IF('Inputs'!$D$9&lt;&gt;"Ready","n.a.",IF(ISNUMBER('Inputs'!E228),IF('Inputs'!E228&gt;=0,'Inputs'!E228,"n.a."),IF('Inputs'!E228="",'Inputs'!$D$6,"n.a.")))</x:f>
        <x:v>500</x:v>
      </x:c>
      <x:c r="F1054" s="22" t="n">
        <x:f>IF(COUNT($N$1052:$N$1056)=5,SUM($N$1052:$N$1056),"n.a.")</x:f>
        <x:v>0</x:v>
      </x:c>
      <x:c r="G1054" s="22" t="n">
        <x:f>IF(COUNT(E1054:F1054)=2,MAX(0,E1054-F1054),"n.a.")</x:f>
        <x:v>500</x:v>
      </x:c>
      <x:c r="H1054" s="26" t="str">
        <x:f>'Inputs'!C13</x:f>
        <x:v>Loan C</x:v>
      </x:c>
      <x:c r="I1054" s="26" t="n">
        <x:f>S1049</x:f>
        <x:v>0</x:v>
      </x:c>
      <x:c r="J1054" s="29" t="n">
        <x:f>IF('Inputs'!$D$9="Ready",'Inputs'!E13,"n.a.")</x:f>
        <x:v>0.08</x:v>
      </x:c>
      <x:c r="K1054" s="26" t="n">
        <x:f>IF('Inputs'!$D$9="Ready",'Inputs'!F13,"n.a.")</x:f>
        <x:v>150</x:v>
      </x:c>
      <x:c r="L1054" s="29" t="n">
        <x:f>IF('Inputs'!$D$9="Ready",'Inputs'!G13,"n.a.")</x:f>
        <x:v>0</x:v>
      </x:c>
      <x:c r="M1054" s="22" t="n">
        <x:f>IF(COUNT(I1054:L1054)=4,ROUND(I1054*J1054/12,2),"n.a.")</x:f>
        <x:v>0</x:v>
      </x:c>
      <x:c r="N1054" s="22" t="n">
        <x:f>IF(COUNT(I1054:M1054)=5,MIN(I1054+M1054,ROUND(MAX(K1054,I1054*L1054+M1054),2)),"n.a.")</x:f>
        <x:v>0</x:v>
      </x:c>
      <x:c r="O1054" s="30" t="n">
        <x:f>IF(COUNT($I$1052:$I$1056)&lt;&gt;5,"n.a.",IF(I1054=0,6,IF('Inputs'!$D$5=1,COUNTIFS($I$1052:$I$1056,"&gt;0",$I$1052:$I$1056,"&lt;"&amp;I1054)+COUNTIFS($I$1052:I1054,I1054),COUNTIFS($I$1052:$I$1056,"&gt;0",$J$1052:$J$1056,"&gt;"&amp;J1054)+COUNTIFS($I$1052:I1054,"&gt;0",$J$1052:J1054,J1054))))</x:f>
        <x:v>6</x:v>
      </x:c>
      <x:c r="P1054" s="22" t="n">
        <x:f>IF(T1054="Ready",MIN(U1054,MAX(0,G1054-SUMIFS($U$1052:$U$1056,$O$1052:$O$1056,"&lt;"&amp;O1054))),"n.a.")</x:f>
        <x:v>0</x:v>
      </x:c>
      <x:c r="Q1054" s="22" t="n">
        <x:f>IF(T1054="Ready",ROUND(N1054+P1054,2),"n.a.")</x:f>
        <x:v>0</x:v>
      </x:c>
      <x:c r="R1054" s="22" t="n">
        <x:f>IF(T1054="Ready",ROUND(Q1054-M1054,2),"n.a.")</x:f>
        <x:v>0</x:v>
      </x:c>
      <x:c r="S1054" s="22" t="n">
        <x:f>IF(T1054="Ready",MAX(0,ROUND(I1054+M1054-Q1054,2)),"n.a.")</x:f>
        <x:v>0</x:v>
      </x:c>
      <x:c r="T1054" s="22" t="str">
        <x:f>IF(AND(COUNT($I$1052:$I$1056)=5,COUNT(E1054:F1054)=2),IF(E1054&gt;=F1054,"Ready","Budget below minima"),"Check inputs")</x:f>
        <x:v>Ready</x:v>
      </x:c>
      <x:c r="U1054" s="22" t="n">
        <x:f>IF(COUNT(I1054,M1054,N1054)=3,MAX(0,ROUND(I1054+M1054-N1054,2)),"n.a.")</x:f>
        <x:v>0</x:v>
      </x:c>
    </x:row>
    <x:row r="1055" ht="22" customHeight="1">
      <x:c r="A1055" s="2"/>
      <x:c r="B1055" s="2"/>
      <x:c r="C1055" s="27" t="n">
        <x:f>210</x:f>
        <x:v>210</x:v>
      </x:c>
      <x:c r="D1055" s="28" t="n">
        <x:f>IF(ISNUMBER('Inputs'!$D$7),EDATE('Inputs'!$D$7,209),"n.a.")</x:f>
        <x:v>52688</x:v>
      </x:c>
      <x:c r="E1055" s="26" t="n">
        <x:f>IF('Inputs'!$D$9&lt;&gt;"Ready","n.a.",IF(ISNUMBER('Inputs'!E228),IF('Inputs'!E228&gt;=0,'Inputs'!E228,"n.a."),IF('Inputs'!E228="",'Inputs'!$D$6,"n.a.")))</x:f>
        <x:v>500</x:v>
      </x:c>
      <x:c r="F1055" s="22" t="n">
        <x:f>IF(COUNT($N$1052:$N$1056)=5,SUM($N$1052:$N$1056),"n.a.")</x:f>
        <x:v>0</x:v>
      </x:c>
      <x:c r="G1055" s="22" t="n">
        <x:f>IF(COUNT(E1055:F1055)=2,MAX(0,E1055-F1055),"n.a.")</x:f>
        <x:v>500</x:v>
      </x:c>
      <x:c r="H1055" s="26" t="str">
        <x:f>'Inputs'!C14</x:f>
        <x:v>Unused 4</x:v>
      </x:c>
      <x:c r="I1055" s="26" t="n">
        <x:f>S1050</x:f>
        <x:v>0</x:v>
      </x:c>
      <x:c r="J1055" s="29" t="n">
        <x:f>IF('Inputs'!$D$9="Ready",'Inputs'!E14,"n.a.")</x:f>
        <x:v>0</x:v>
      </x:c>
      <x:c r="K1055" s="26" t="n">
        <x:f>IF('Inputs'!$D$9="Ready",'Inputs'!F14,"n.a.")</x:f>
        <x:v>0</x:v>
      </x:c>
      <x:c r="L1055" s="29" t="n">
        <x:f>IF('Inputs'!$D$9="Ready",'Inputs'!G14,"n.a.")</x:f>
        <x:v>0</x:v>
      </x:c>
      <x:c r="M1055" s="22" t="n">
        <x:f>IF(COUNT(I1055:L1055)=4,ROUND(I1055*J1055/12,2),"n.a.")</x:f>
        <x:v>0</x:v>
      </x:c>
      <x:c r="N1055" s="22" t="n">
        <x:f>IF(COUNT(I1055:M1055)=5,MIN(I1055+M1055,ROUND(MAX(K1055,I1055*L1055+M1055),2)),"n.a.")</x:f>
        <x:v>0</x:v>
      </x:c>
      <x:c r="O1055" s="30" t="n">
        <x:f>IF(COUNT($I$1052:$I$1056)&lt;&gt;5,"n.a.",IF(I1055=0,6,IF('Inputs'!$D$5=1,COUNTIFS($I$1052:$I$1056,"&gt;0",$I$1052:$I$1056,"&lt;"&amp;I1055)+COUNTIFS($I$1052:I1055,I1055),COUNTIFS($I$1052:$I$1056,"&gt;0",$J$1052:$J$1056,"&gt;"&amp;J1055)+COUNTIFS($I$1052:I1055,"&gt;0",$J$1052:J1055,J1055))))</x:f>
        <x:v>6</x:v>
      </x:c>
      <x:c r="P1055" s="22" t="n">
        <x:f>IF(T1055="Ready",MIN(U1055,MAX(0,G1055-SUMIFS($U$1052:$U$1056,$O$1052:$O$1056,"&lt;"&amp;O1055))),"n.a.")</x:f>
        <x:v>0</x:v>
      </x:c>
      <x:c r="Q1055" s="22" t="n">
        <x:f>IF(T1055="Ready",ROUND(N1055+P1055,2),"n.a.")</x:f>
        <x:v>0</x:v>
      </x:c>
      <x:c r="R1055" s="22" t="n">
        <x:f>IF(T1055="Ready",ROUND(Q1055-M1055,2),"n.a.")</x:f>
        <x:v>0</x:v>
      </x:c>
      <x:c r="S1055" s="22" t="n">
        <x:f>IF(T1055="Ready",MAX(0,ROUND(I1055+M1055-Q1055,2)),"n.a.")</x:f>
        <x:v>0</x:v>
      </x:c>
      <x:c r="T1055" s="22" t="str">
        <x:f>IF(AND(COUNT($I$1052:$I$1056)=5,COUNT(E1055:F1055)=2),IF(E1055&gt;=F1055,"Ready","Budget below minima"),"Check inputs")</x:f>
        <x:v>Ready</x:v>
      </x:c>
      <x:c r="U1055" s="22" t="n">
        <x:f>IF(COUNT(I1055,M1055,N1055)=3,MAX(0,ROUND(I1055+M1055-N1055,2)),"n.a.")</x:f>
        <x:v>0</x:v>
      </x:c>
    </x:row>
    <x:row r="1056" ht="22" customHeight="1">
      <x:c r="A1056" s="2"/>
      <x:c r="B1056" s="2"/>
      <x:c r="C1056" s="27" t="n">
        <x:f>210</x:f>
        <x:v>210</x:v>
      </x:c>
      <x:c r="D1056" s="28" t="n">
        <x:f>IF(ISNUMBER('Inputs'!$D$7),EDATE('Inputs'!$D$7,209),"n.a.")</x:f>
        <x:v>52688</x:v>
      </x:c>
      <x:c r="E1056" s="26" t="n">
        <x:f>IF('Inputs'!$D$9&lt;&gt;"Ready","n.a.",IF(ISNUMBER('Inputs'!E228),IF('Inputs'!E228&gt;=0,'Inputs'!E228,"n.a."),IF('Inputs'!E228="",'Inputs'!$D$6,"n.a.")))</x:f>
        <x:v>500</x:v>
      </x:c>
      <x:c r="F1056" s="22" t="n">
        <x:f>IF(COUNT($N$1052:$N$1056)=5,SUM($N$1052:$N$1056),"n.a.")</x:f>
        <x:v>0</x:v>
      </x:c>
      <x:c r="G1056" s="22" t="n">
        <x:f>IF(COUNT(E1056:F1056)=2,MAX(0,E1056-F1056),"n.a.")</x:f>
        <x:v>500</x:v>
      </x:c>
      <x:c r="H1056" s="26" t="str">
        <x:f>'Inputs'!C15</x:f>
        <x:v>Unused 5</x:v>
      </x:c>
      <x:c r="I1056" s="26" t="n">
        <x:f>S1051</x:f>
        <x:v>0</x:v>
      </x:c>
      <x:c r="J1056" s="29" t="n">
        <x:f>IF('Inputs'!$D$9="Ready",'Inputs'!E15,"n.a.")</x:f>
        <x:v>0</x:v>
      </x:c>
      <x:c r="K1056" s="26" t="n">
        <x:f>IF('Inputs'!$D$9="Ready",'Inputs'!F15,"n.a.")</x:f>
        <x:v>0</x:v>
      </x:c>
      <x:c r="L1056" s="29" t="n">
        <x:f>IF('Inputs'!$D$9="Ready",'Inputs'!G15,"n.a.")</x:f>
        <x:v>0</x:v>
      </x:c>
      <x:c r="M1056" s="22" t="n">
        <x:f>IF(COUNT(I1056:L1056)=4,ROUND(I1056*J1056/12,2),"n.a.")</x:f>
        <x:v>0</x:v>
      </x:c>
      <x:c r="N1056" s="22" t="n">
        <x:f>IF(COUNT(I1056:M1056)=5,MIN(I1056+M1056,ROUND(MAX(K1056,I1056*L1056+M1056),2)),"n.a.")</x:f>
        <x:v>0</x:v>
      </x:c>
      <x:c r="O1056" s="30" t="n">
        <x:f>IF(COUNT($I$1052:$I$1056)&lt;&gt;5,"n.a.",IF(I1056=0,6,IF('Inputs'!$D$5=1,COUNTIFS($I$1052:$I$1056,"&gt;0",$I$1052:$I$1056,"&lt;"&amp;I1056)+COUNTIFS($I$1052:I1056,I1056),COUNTIFS($I$1052:$I$1056,"&gt;0",$J$1052:$J$1056,"&gt;"&amp;J1056)+COUNTIFS($I$1052:I1056,"&gt;0",$J$1052:J1056,J1056))))</x:f>
        <x:v>6</x:v>
      </x:c>
      <x:c r="P1056" s="22" t="n">
        <x:f>IF(T1056="Ready",MIN(U1056,MAX(0,G1056-SUMIFS($U$1052:$U$1056,$O$1052:$O$1056,"&lt;"&amp;O1056))),"n.a.")</x:f>
        <x:v>0</x:v>
      </x:c>
      <x:c r="Q1056" s="22" t="n">
        <x:f>IF(T1056="Ready",ROUND(N1056+P1056,2),"n.a.")</x:f>
        <x:v>0</x:v>
      </x:c>
      <x:c r="R1056" s="22" t="n">
        <x:f>IF(T1056="Ready",ROUND(Q1056-M1056,2),"n.a.")</x:f>
        <x:v>0</x:v>
      </x:c>
      <x:c r="S1056" s="22" t="n">
        <x:f>IF(T1056="Ready",MAX(0,ROUND(I1056+M1056-Q1056,2)),"n.a.")</x:f>
        <x:v>0</x:v>
      </x:c>
      <x:c r="T1056" s="22" t="str">
        <x:f>IF(AND(COUNT($I$1052:$I$1056)=5,COUNT(E1056:F1056)=2),IF(E1056&gt;=F1056,"Ready","Budget below minima"),"Check inputs")</x:f>
        <x:v>Ready</x:v>
      </x:c>
      <x:c r="U1056" s="22" t="n">
        <x:f>IF(COUNT(I1056,M1056,N1056)=3,MAX(0,ROUND(I1056+M1056-N1056,2)),"n.a.")</x:f>
        <x:v>0</x:v>
      </x:c>
    </x:row>
    <x:row r="1057" ht="22" customHeight="1">
      <x:c r="A1057" s="2"/>
      <x:c r="B1057" s="2"/>
      <x:c r="C1057" s="27" t="n">
        <x:f>211</x:f>
        <x:v>211</x:v>
      </x:c>
      <x:c r="D1057" s="28" t="n">
        <x:f>IF(ISNUMBER('Inputs'!$D$7),EDATE('Inputs'!$D$7,210),"n.a.")</x:f>
        <x:v>52718</x:v>
      </x:c>
      <x:c r="E1057" s="26" t="n">
        <x:f>IF('Inputs'!$D$9&lt;&gt;"Ready","n.a.",IF(ISNUMBER('Inputs'!E229),IF('Inputs'!E229&gt;=0,'Inputs'!E229,"n.a."),IF('Inputs'!E229="",'Inputs'!$D$6,"n.a.")))</x:f>
        <x:v>500</x:v>
      </x:c>
      <x:c r="F1057" s="22" t="n">
        <x:f>IF(COUNT($N$1057:$N$1061)=5,SUM($N$1057:$N$1061),"n.a.")</x:f>
        <x:v>0</x:v>
      </x:c>
      <x:c r="G1057" s="22" t="n">
        <x:f>IF(COUNT(E1057:F1057)=2,MAX(0,E1057-F1057),"n.a.")</x:f>
        <x:v>500</x:v>
      </x:c>
      <x:c r="H1057" s="26" t="str">
        <x:f>'Inputs'!C11</x:f>
        <x:v>Card A</x:v>
      </x:c>
      <x:c r="I1057" s="26" t="n">
        <x:f>S1052</x:f>
        <x:v>0</x:v>
      </x:c>
      <x:c r="J1057" s="29" t="n">
        <x:f>IF('Inputs'!$D$9="Ready",'Inputs'!E11,"n.a.")</x:f>
        <x:v>0.24</x:v>
      </x:c>
      <x:c r="K1057" s="26" t="n">
        <x:f>IF('Inputs'!$D$9="Ready",'Inputs'!F11,"n.a.")</x:f>
        <x:v>35</x:v>
      </x:c>
      <x:c r="L1057" s="29" t="n">
        <x:f>IF('Inputs'!$D$9="Ready",'Inputs'!G11,"n.a.")</x:f>
        <x:v>0.02</x:v>
      </x:c>
      <x:c r="M1057" s="22" t="n">
        <x:f>IF(COUNT(I1057:L1057)=4,ROUND(I1057*J1057/12,2),"n.a.")</x:f>
        <x:v>0</x:v>
      </x:c>
      <x:c r="N1057" s="22" t="n">
        <x:f>IF(COUNT(I1057:M1057)=5,MIN(I1057+M1057,ROUND(MAX(K1057,I1057*L1057+M1057),2)),"n.a.")</x:f>
        <x:v>0</x:v>
      </x:c>
      <x:c r="O1057" s="30" t="n">
        <x:f>IF(COUNT($I$1057:$I$1061)&lt;&gt;5,"n.a.",IF(I1057=0,6,IF('Inputs'!$D$5=1,COUNTIFS($I$1057:$I$1061,"&gt;0",$I$1057:$I$1061,"&lt;"&amp;I1057)+COUNTIFS($I$1057:I1057,I1057),COUNTIFS($I$1057:$I$1061,"&gt;0",$J$1057:$J$1061,"&gt;"&amp;J1057)+COUNTIFS($I$1057:I1057,"&gt;0",$J$1057:J1057,J1057))))</x:f>
        <x:v>6</x:v>
      </x:c>
      <x:c r="P1057" s="22" t="n">
        <x:f>IF(T1057="Ready",MIN(U1057,MAX(0,G1057-SUMIFS($U$1057:$U$1061,$O$1057:$O$1061,"&lt;"&amp;O1057))),"n.a.")</x:f>
        <x:v>0</x:v>
      </x:c>
      <x:c r="Q1057" s="22" t="n">
        <x:f>IF(T1057="Ready",ROUND(N1057+P1057,2),"n.a.")</x:f>
        <x:v>0</x:v>
      </x:c>
      <x:c r="R1057" s="22" t="n">
        <x:f>IF(T1057="Ready",ROUND(Q1057-M1057,2),"n.a.")</x:f>
        <x:v>0</x:v>
      </x:c>
      <x:c r="S1057" s="22" t="n">
        <x:f>IF(T1057="Ready",MAX(0,ROUND(I1057+M1057-Q1057,2)),"n.a.")</x:f>
        <x:v>0</x:v>
      </x:c>
      <x:c r="T1057" s="22" t="str">
        <x:f>IF(AND(COUNT($I$1057:$I$1061)=5,COUNT(E1057:F1057)=2),IF(E1057&gt;=F1057,"Ready","Budget below minima"),"Check inputs")</x:f>
        <x:v>Ready</x:v>
      </x:c>
      <x:c r="U1057" s="22" t="n">
        <x:f>IF(COUNT(I1057,M1057,N1057)=3,MAX(0,ROUND(I1057+M1057-N1057,2)),"n.a.")</x:f>
        <x:v>0</x:v>
      </x:c>
    </x:row>
    <x:row r="1058" ht="22" customHeight="1">
      <x:c r="A1058" s="2"/>
      <x:c r="B1058" s="2"/>
      <x:c r="C1058" s="27" t="n">
        <x:f>211</x:f>
        <x:v>211</x:v>
      </x:c>
      <x:c r="D1058" s="28" t="n">
        <x:f>IF(ISNUMBER('Inputs'!$D$7),EDATE('Inputs'!$D$7,210),"n.a.")</x:f>
        <x:v>52718</x:v>
      </x:c>
      <x:c r="E1058" s="26" t="n">
        <x:f>IF('Inputs'!$D$9&lt;&gt;"Ready","n.a.",IF(ISNUMBER('Inputs'!E229),IF('Inputs'!E229&gt;=0,'Inputs'!E229,"n.a."),IF('Inputs'!E229="",'Inputs'!$D$6,"n.a.")))</x:f>
        <x:v>500</x:v>
      </x:c>
      <x:c r="F1058" s="22" t="n">
        <x:f>IF(COUNT($N$1057:$N$1061)=5,SUM($N$1057:$N$1061),"n.a.")</x:f>
        <x:v>0</x:v>
      </x:c>
      <x:c r="G1058" s="22" t="n">
        <x:f>IF(COUNT(E1058:F1058)=2,MAX(0,E1058-F1058),"n.a.")</x:f>
        <x:v>500</x:v>
      </x:c>
      <x:c r="H1058" s="26" t="str">
        <x:f>'Inputs'!C12</x:f>
        <x:v>Card B</x:v>
      </x:c>
      <x:c r="I1058" s="26" t="n">
        <x:f>S1053</x:f>
        <x:v>0</x:v>
      </x:c>
      <x:c r="J1058" s="29" t="n">
        <x:f>IF('Inputs'!$D$9="Ready",'Inputs'!E12,"n.a.")</x:f>
        <x:v>0.18</x:v>
      </x:c>
      <x:c r="K1058" s="26" t="n">
        <x:f>IF('Inputs'!$D$9="Ready",'Inputs'!F12,"n.a.")</x:f>
        <x:v>60</x:v>
      </x:c>
      <x:c r="L1058" s="29" t="n">
        <x:f>IF('Inputs'!$D$9="Ready",'Inputs'!G12,"n.a.")</x:f>
        <x:v>0.02</x:v>
      </x:c>
      <x:c r="M1058" s="22" t="n">
        <x:f>IF(COUNT(I1058:L1058)=4,ROUND(I1058*J1058/12,2),"n.a.")</x:f>
        <x:v>0</x:v>
      </x:c>
      <x:c r="N1058" s="22" t="n">
        <x:f>IF(COUNT(I1058:M1058)=5,MIN(I1058+M1058,ROUND(MAX(K1058,I1058*L1058+M1058),2)),"n.a.")</x:f>
        <x:v>0</x:v>
      </x:c>
      <x:c r="O1058" s="30" t="n">
        <x:f>IF(COUNT($I$1057:$I$1061)&lt;&gt;5,"n.a.",IF(I1058=0,6,IF('Inputs'!$D$5=1,COUNTIFS($I$1057:$I$1061,"&gt;0",$I$1057:$I$1061,"&lt;"&amp;I1058)+COUNTIFS($I$1057:I1058,I1058),COUNTIFS($I$1057:$I$1061,"&gt;0",$J$1057:$J$1061,"&gt;"&amp;J1058)+COUNTIFS($I$1057:I1058,"&gt;0",$J$1057:J1058,J1058))))</x:f>
        <x:v>6</x:v>
      </x:c>
      <x:c r="P1058" s="22" t="n">
        <x:f>IF(T1058="Ready",MIN(U1058,MAX(0,G1058-SUMIFS($U$1057:$U$1061,$O$1057:$O$1061,"&lt;"&amp;O1058))),"n.a.")</x:f>
        <x:v>0</x:v>
      </x:c>
      <x:c r="Q1058" s="22" t="n">
        <x:f>IF(T1058="Ready",ROUND(N1058+P1058,2),"n.a.")</x:f>
        <x:v>0</x:v>
      </x:c>
      <x:c r="R1058" s="22" t="n">
        <x:f>IF(T1058="Ready",ROUND(Q1058-M1058,2),"n.a.")</x:f>
        <x:v>0</x:v>
      </x:c>
      <x:c r="S1058" s="22" t="n">
        <x:f>IF(T1058="Ready",MAX(0,ROUND(I1058+M1058-Q1058,2)),"n.a.")</x:f>
        <x:v>0</x:v>
      </x:c>
      <x:c r="T1058" s="22" t="str">
        <x:f>IF(AND(COUNT($I$1057:$I$1061)=5,COUNT(E1058:F1058)=2),IF(E1058&gt;=F1058,"Ready","Budget below minima"),"Check inputs")</x:f>
        <x:v>Ready</x:v>
      </x:c>
      <x:c r="U1058" s="22" t="n">
        <x:f>IF(COUNT(I1058,M1058,N1058)=3,MAX(0,ROUND(I1058+M1058-N1058,2)),"n.a.")</x:f>
        <x:v>0</x:v>
      </x:c>
    </x:row>
    <x:row r="1059" ht="22" customHeight="1">
      <x:c r="A1059" s="2"/>
      <x:c r="B1059" s="2"/>
      <x:c r="C1059" s="27" t="n">
        <x:f>211</x:f>
        <x:v>211</x:v>
      </x:c>
      <x:c r="D1059" s="28" t="n">
        <x:f>IF(ISNUMBER('Inputs'!$D$7),EDATE('Inputs'!$D$7,210),"n.a.")</x:f>
        <x:v>52718</x:v>
      </x:c>
      <x:c r="E1059" s="26" t="n">
        <x:f>IF('Inputs'!$D$9&lt;&gt;"Ready","n.a.",IF(ISNUMBER('Inputs'!E229),IF('Inputs'!E229&gt;=0,'Inputs'!E229,"n.a."),IF('Inputs'!E229="",'Inputs'!$D$6,"n.a.")))</x:f>
        <x:v>500</x:v>
      </x:c>
      <x:c r="F1059" s="22" t="n">
        <x:f>IF(COUNT($N$1057:$N$1061)=5,SUM($N$1057:$N$1061),"n.a.")</x:f>
        <x:v>0</x:v>
      </x:c>
      <x:c r="G1059" s="22" t="n">
        <x:f>IF(COUNT(E1059:F1059)=2,MAX(0,E1059-F1059),"n.a.")</x:f>
        <x:v>500</x:v>
      </x:c>
      <x:c r="H1059" s="26" t="str">
        <x:f>'Inputs'!C13</x:f>
        <x:v>Loan C</x:v>
      </x:c>
      <x:c r="I1059" s="26" t="n">
        <x:f>S1054</x:f>
        <x:v>0</x:v>
      </x:c>
      <x:c r="J1059" s="29" t="n">
        <x:f>IF('Inputs'!$D$9="Ready",'Inputs'!E13,"n.a.")</x:f>
        <x:v>0.08</x:v>
      </x:c>
      <x:c r="K1059" s="26" t="n">
        <x:f>IF('Inputs'!$D$9="Ready",'Inputs'!F13,"n.a.")</x:f>
        <x:v>150</x:v>
      </x:c>
      <x:c r="L1059" s="29" t="n">
        <x:f>IF('Inputs'!$D$9="Ready",'Inputs'!G13,"n.a.")</x:f>
        <x:v>0</x:v>
      </x:c>
      <x:c r="M1059" s="22" t="n">
        <x:f>IF(COUNT(I1059:L1059)=4,ROUND(I1059*J1059/12,2),"n.a.")</x:f>
        <x:v>0</x:v>
      </x:c>
      <x:c r="N1059" s="22" t="n">
        <x:f>IF(COUNT(I1059:M1059)=5,MIN(I1059+M1059,ROUND(MAX(K1059,I1059*L1059+M1059),2)),"n.a.")</x:f>
        <x:v>0</x:v>
      </x:c>
      <x:c r="O1059" s="30" t="n">
        <x:f>IF(COUNT($I$1057:$I$1061)&lt;&gt;5,"n.a.",IF(I1059=0,6,IF('Inputs'!$D$5=1,COUNTIFS($I$1057:$I$1061,"&gt;0",$I$1057:$I$1061,"&lt;"&amp;I1059)+COUNTIFS($I$1057:I1059,I1059),COUNTIFS($I$1057:$I$1061,"&gt;0",$J$1057:$J$1061,"&gt;"&amp;J1059)+COUNTIFS($I$1057:I1059,"&gt;0",$J$1057:J1059,J1059))))</x:f>
        <x:v>6</x:v>
      </x:c>
      <x:c r="P1059" s="22" t="n">
        <x:f>IF(T1059="Ready",MIN(U1059,MAX(0,G1059-SUMIFS($U$1057:$U$1061,$O$1057:$O$1061,"&lt;"&amp;O1059))),"n.a.")</x:f>
        <x:v>0</x:v>
      </x:c>
      <x:c r="Q1059" s="22" t="n">
        <x:f>IF(T1059="Ready",ROUND(N1059+P1059,2),"n.a.")</x:f>
        <x:v>0</x:v>
      </x:c>
      <x:c r="R1059" s="22" t="n">
        <x:f>IF(T1059="Ready",ROUND(Q1059-M1059,2),"n.a.")</x:f>
        <x:v>0</x:v>
      </x:c>
      <x:c r="S1059" s="22" t="n">
        <x:f>IF(T1059="Ready",MAX(0,ROUND(I1059+M1059-Q1059,2)),"n.a.")</x:f>
        <x:v>0</x:v>
      </x:c>
      <x:c r="T1059" s="22" t="str">
        <x:f>IF(AND(COUNT($I$1057:$I$1061)=5,COUNT(E1059:F1059)=2),IF(E1059&gt;=F1059,"Ready","Budget below minima"),"Check inputs")</x:f>
        <x:v>Ready</x:v>
      </x:c>
      <x:c r="U1059" s="22" t="n">
        <x:f>IF(COUNT(I1059,M1059,N1059)=3,MAX(0,ROUND(I1059+M1059-N1059,2)),"n.a.")</x:f>
        <x:v>0</x:v>
      </x:c>
    </x:row>
    <x:row r="1060" ht="22" customHeight="1">
      <x:c r="A1060" s="2"/>
      <x:c r="B1060" s="2"/>
      <x:c r="C1060" s="27" t="n">
        <x:f>211</x:f>
        <x:v>211</x:v>
      </x:c>
      <x:c r="D1060" s="28" t="n">
        <x:f>IF(ISNUMBER('Inputs'!$D$7),EDATE('Inputs'!$D$7,210),"n.a.")</x:f>
        <x:v>52718</x:v>
      </x:c>
      <x:c r="E1060" s="26" t="n">
        <x:f>IF('Inputs'!$D$9&lt;&gt;"Ready","n.a.",IF(ISNUMBER('Inputs'!E229),IF('Inputs'!E229&gt;=0,'Inputs'!E229,"n.a."),IF('Inputs'!E229="",'Inputs'!$D$6,"n.a.")))</x:f>
        <x:v>500</x:v>
      </x:c>
      <x:c r="F1060" s="22" t="n">
        <x:f>IF(COUNT($N$1057:$N$1061)=5,SUM($N$1057:$N$1061),"n.a.")</x:f>
        <x:v>0</x:v>
      </x:c>
      <x:c r="G1060" s="22" t="n">
        <x:f>IF(COUNT(E1060:F1060)=2,MAX(0,E1060-F1060),"n.a.")</x:f>
        <x:v>500</x:v>
      </x:c>
      <x:c r="H1060" s="26" t="str">
        <x:f>'Inputs'!C14</x:f>
        <x:v>Unused 4</x:v>
      </x:c>
      <x:c r="I1060" s="26" t="n">
        <x:f>S1055</x:f>
        <x:v>0</x:v>
      </x:c>
      <x:c r="J1060" s="29" t="n">
        <x:f>IF('Inputs'!$D$9="Ready",'Inputs'!E14,"n.a.")</x:f>
        <x:v>0</x:v>
      </x:c>
      <x:c r="K1060" s="26" t="n">
        <x:f>IF('Inputs'!$D$9="Ready",'Inputs'!F14,"n.a.")</x:f>
        <x:v>0</x:v>
      </x:c>
      <x:c r="L1060" s="29" t="n">
        <x:f>IF('Inputs'!$D$9="Ready",'Inputs'!G14,"n.a.")</x:f>
        <x:v>0</x:v>
      </x:c>
      <x:c r="M1060" s="22" t="n">
        <x:f>IF(COUNT(I1060:L1060)=4,ROUND(I1060*J1060/12,2),"n.a.")</x:f>
        <x:v>0</x:v>
      </x:c>
      <x:c r="N1060" s="22" t="n">
        <x:f>IF(COUNT(I1060:M1060)=5,MIN(I1060+M1060,ROUND(MAX(K1060,I1060*L1060+M1060),2)),"n.a.")</x:f>
        <x:v>0</x:v>
      </x:c>
      <x:c r="O1060" s="30" t="n">
        <x:f>IF(COUNT($I$1057:$I$1061)&lt;&gt;5,"n.a.",IF(I1060=0,6,IF('Inputs'!$D$5=1,COUNTIFS($I$1057:$I$1061,"&gt;0",$I$1057:$I$1061,"&lt;"&amp;I1060)+COUNTIFS($I$1057:I1060,I1060),COUNTIFS($I$1057:$I$1061,"&gt;0",$J$1057:$J$1061,"&gt;"&amp;J1060)+COUNTIFS($I$1057:I1060,"&gt;0",$J$1057:J1060,J1060))))</x:f>
        <x:v>6</x:v>
      </x:c>
      <x:c r="P1060" s="22" t="n">
        <x:f>IF(T1060="Ready",MIN(U1060,MAX(0,G1060-SUMIFS($U$1057:$U$1061,$O$1057:$O$1061,"&lt;"&amp;O1060))),"n.a.")</x:f>
        <x:v>0</x:v>
      </x:c>
      <x:c r="Q1060" s="22" t="n">
        <x:f>IF(T1060="Ready",ROUND(N1060+P1060,2),"n.a.")</x:f>
        <x:v>0</x:v>
      </x:c>
      <x:c r="R1060" s="22" t="n">
        <x:f>IF(T1060="Ready",ROUND(Q1060-M1060,2),"n.a.")</x:f>
        <x:v>0</x:v>
      </x:c>
      <x:c r="S1060" s="22" t="n">
        <x:f>IF(T1060="Ready",MAX(0,ROUND(I1060+M1060-Q1060,2)),"n.a.")</x:f>
        <x:v>0</x:v>
      </x:c>
      <x:c r="T1060" s="22" t="str">
        <x:f>IF(AND(COUNT($I$1057:$I$1061)=5,COUNT(E1060:F1060)=2),IF(E1060&gt;=F1060,"Ready","Budget below minima"),"Check inputs")</x:f>
        <x:v>Ready</x:v>
      </x:c>
      <x:c r="U1060" s="22" t="n">
        <x:f>IF(COUNT(I1060,M1060,N1060)=3,MAX(0,ROUND(I1060+M1060-N1060,2)),"n.a.")</x:f>
        <x:v>0</x:v>
      </x:c>
    </x:row>
    <x:row r="1061" ht="22" customHeight="1">
      <x:c r="A1061" s="2"/>
      <x:c r="B1061" s="2"/>
      <x:c r="C1061" s="27" t="n">
        <x:f>211</x:f>
        <x:v>211</x:v>
      </x:c>
      <x:c r="D1061" s="28" t="n">
        <x:f>IF(ISNUMBER('Inputs'!$D$7),EDATE('Inputs'!$D$7,210),"n.a.")</x:f>
        <x:v>52718</x:v>
      </x:c>
      <x:c r="E1061" s="26" t="n">
        <x:f>IF('Inputs'!$D$9&lt;&gt;"Ready","n.a.",IF(ISNUMBER('Inputs'!E229),IF('Inputs'!E229&gt;=0,'Inputs'!E229,"n.a."),IF('Inputs'!E229="",'Inputs'!$D$6,"n.a.")))</x:f>
        <x:v>500</x:v>
      </x:c>
      <x:c r="F1061" s="22" t="n">
        <x:f>IF(COUNT($N$1057:$N$1061)=5,SUM($N$1057:$N$1061),"n.a.")</x:f>
        <x:v>0</x:v>
      </x:c>
      <x:c r="G1061" s="22" t="n">
        <x:f>IF(COUNT(E1061:F1061)=2,MAX(0,E1061-F1061),"n.a.")</x:f>
        <x:v>500</x:v>
      </x:c>
      <x:c r="H1061" s="26" t="str">
        <x:f>'Inputs'!C15</x:f>
        <x:v>Unused 5</x:v>
      </x:c>
      <x:c r="I1061" s="26" t="n">
        <x:f>S1056</x:f>
        <x:v>0</x:v>
      </x:c>
      <x:c r="J1061" s="29" t="n">
        <x:f>IF('Inputs'!$D$9="Ready",'Inputs'!E15,"n.a.")</x:f>
        <x:v>0</x:v>
      </x:c>
      <x:c r="K1061" s="26" t="n">
        <x:f>IF('Inputs'!$D$9="Ready",'Inputs'!F15,"n.a.")</x:f>
        <x:v>0</x:v>
      </x:c>
      <x:c r="L1061" s="29" t="n">
        <x:f>IF('Inputs'!$D$9="Ready",'Inputs'!G15,"n.a.")</x:f>
        <x:v>0</x:v>
      </x:c>
      <x:c r="M1061" s="22" t="n">
        <x:f>IF(COUNT(I1061:L1061)=4,ROUND(I1061*J1061/12,2),"n.a.")</x:f>
        <x:v>0</x:v>
      </x:c>
      <x:c r="N1061" s="22" t="n">
        <x:f>IF(COUNT(I1061:M1061)=5,MIN(I1061+M1061,ROUND(MAX(K1061,I1061*L1061+M1061),2)),"n.a.")</x:f>
        <x:v>0</x:v>
      </x:c>
      <x:c r="O1061" s="30" t="n">
        <x:f>IF(COUNT($I$1057:$I$1061)&lt;&gt;5,"n.a.",IF(I1061=0,6,IF('Inputs'!$D$5=1,COUNTIFS($I$1057:$I$1061,"&gt;0",$I$1057:$I$1061,"&lt;"&amp;I1061)+COUNTIFS($I$1057:I1061,I1061),COUNTIFS($I$1057:$I$1061,"&gt;0",$J$1057:$J$1061,"&gt;"&amp;J1061)+COUNTIFS($I$1057:I1061,"&gt;0",$J$1057:J1061,J1061))))</x:f>
        <x:v>6</x:v>
      </x:c>
      <x:c r="P1061" s="22" t="n">
        <x:f>IF(T1061="Ready",MIN(U1061,MAX(0,G1061-SUMIFS($U$1057:$U$1061,$O$1057:$O$1061,"&lt;"&amp;O1061))),"n.a.")</x:f>
        <x:v>0</x:v>
      </x:c>
      <x:c r="Q1061" s="22" t="n">
        <x:f>IF(T1061="Ready",ROUND(N1061+P1061,2),"n.a.")</x:f>
        <x:v>0</x:v>
      </x:c>
      <x:c r="R1061" s="22" t="n">
        <x:f>IF(T1061="Ready",ROUND(Q1061-M1061,2),"n.a.")</x:f>
        <x:v>0</x:v>
      </x:c>
      <x:c r="S1061" s="22" t="n">
        <x:f>IF(T1061="Ready",MAX(0,ROUND(I1061+M1061-Q1061,2)),"n.a.")</x:f>
        <x:v>0</x:v>
      </x:c>
      <x:c r="T1061" s="22" t="str">
        <x:f>IF(AND(COUNT($I$1057:$I$1061)=5,COUNT(E1061:F1061)=2),IF(E1061&gt;=F1061,"Ready","Budget below minima"),"Check inputs")</x:f>
        <x:v>Ready</x:v>
      </x:c>
      <x:c r="U1061" s="22" t="n">
        <x:f>IF(COUNT(I1061,M1061,N1061)=3,MAX(0,ROUND(I1061+M1061-N1061,2)),"n.a.")</x:f>
        <x:v>0</x:v>
      </x:c>
    </x:row>
    <x:row r="1062" ht="22" customHeight="1">
      <x:c r="A1062" s="2"/>
      <x:c r="B1062" s="2"/>
      <x:c r="C1062" s="27" t="n">
        <x:f>212</x:f>
        <x:v>212</x:v>
      </x:c>
      <x:c r="D1062" s="28" t="n">
        <x:f>IF(ISNUMBER('Inputs'!$D$7),EDATE('Inputs'!$D$7,211),"n.a.")</x:f>
        <x:v>52749</x:v>
      </x:c>
      <x:c r="E1062" s="26" t="n">
        <x:f>IF('Inputs'!$D$9&lt;&gt;"Ready","n.a.",IF(ISNUMBER('Inputs'!E230),IF('Inputs'!E230&gt;=0,'Inputs'!E230,"n.a."),IF('Inputs'!E230="",'Inputs'!$D$6,"n.a.")))</x:f>
        <x:v>500</x:v>
      </x:c>
      <x:c r="F1062" s="22" t="n">
        <x:f>IF(COUNT($N$1062:$N$1066)=5,SUM($N$1062:$N$1066),"n.a.")</x:f>
        <x:v>0</x:v>
      </x:c>
      <x:c r="G1062" s="22" t="n">
        <x:f>IF(COUNT(E1062:F1062)=2,MAX(0,E1062-F1062),"n.a.")</x:f>
        <x:v>500</x:v>
      </x:c>
      <x:c r="H1062" s="26" t="str">
        <x:f>'Inputs'!C11</x:f>
        <x:v>Card A</x:v>
      </x:c>
      <x:c r="I1062" s="26" t="n">
        <x:f>S1057</x:f>
        <x:v>0</x:v>
      </x:c>
      <x:c r="J1062" s="29" t="n">
        <x:f>IF('Inputs'!$D$9="Ready",'Inputs'!E11,"n.a.")</x:f>
        <x:v>0.24</x:v>
      </x:c>
      <x:c r="K1062" s="26" t="n">
        <x:f>IF('Inputs'!$D$9="Ready",'Inputs'!F11,"n.a.")</x:f>
        <x:v>35</x:v>
      </x:c>
      <x:c r="L1062" s="29" t="n">
        <x:f>IF('Inputs'!$D$9="Ready",'Inputs'!G11,"n.a.")</x:f>
        <x:v>0.02</x:v>
      </x:c>
      <x:c r="M1062" s="22" t="n">
        <x:f>IF(COUNT(I1062:L1062)=4,ROUND(I1062*J1062/12,2),"n.a.")</x:f>
        <x:v>0</x:v>
      </x:c>
      <x:c r="N1062" s="22" t="n">
        <x:f>IF(COUNT(I1062:M1062)=5,MIN(I1062+M1062,ROUND(MAX(K1062,I1062*L1062+M1062),2)),"n.a.")</x:f>
        <x:v>0</x:v>
      </x:c>
      <x:c r="O1062" s="30" t="n">
        <x:f>IF(COUNT($I$1062:$I$1066)&lt;&gt;5,"n.a.",IF(I1062=0,6,IF('Inputs'!$D$5=1,COUNTIFS($I$1062:$I$1066,"&gt;0",$I$1062:$I$1066,"&lt;"&amp;I1062)+COUNTIFS($I$1062:I1062,I1062),COUNTIFS($I$1062:$I$1066,"&gt;0",$J$1062:$J$1066,"&gt;"&amp;J1062)+COUNTIFS($I$1062:I1062,"&gt;0",$J$1062:J1062,J1062))))</x:f>
        <x:v>6</x:v>
      </x:c>
      <x:c r="P1062" s="22" t="n">
        <x:f>IF(T1062="Ready",MIN(U1062,MAX(0,G1062-SUMIFS($U$1062:$U$1066,$O$1062:$O$1066,"&lt;"&amp;O1062))),"n.a.")</x:f>
        <x:v>0</x:v>
      </x:c>
      <x:c r="Q1062" s="22" t="n">
        <x:f>IF(T1062="Ready",ROUND(N1062+P1062,2),"n.a.")</x:f>
        <x:v>0</x:v>
      </x:c>
      <x:c r="R1062" s="22" t="n">
        <x:f>IF(T1062="Ready",ROUND(Q1062-M1062,2),"n.a.")</x:f>
        <x:v>0</x:v>
      </x:c>
      <x:c r="S1062" s="22" t="n">
        <x:f>IF(T1062="Ready",MAX(0,ROUND(I1062+M1062-Q1062,2)),"n.a.")</x:f>
        <x:v>0</x:v>
      </x:c>
      <x:c r="T1062" s="22" t="str">
        <x:f>IF(AND(COUNT($I$1062:$I$1066)=5,COUNT(E1062:F1062)=2),IF(E1062&gt;=F1062,"Ready","Budget below minima"),"Check inputs")</x:f>
        <x:v>Ready</x:v>
      </x:c>
      <x:c r="U1062" s="22" t="n">
        <x:f>IF(COUNT(I1062,M1062,N1062)=3,MAX(0,ROUND(I1062+M1062-N1062,2)),"n.a.")</x:f>
        <x:v>0</x:v>
      </x:c>
    </x:row>
    <x:row r="1063" ht="22" customHeight="1">
      <x:c r="A1063" s="2"/>
      <x:c r="B1063" s="2"/>
      <x:c r="C1063" s="27" t="n">
        <x:f>212</x:f>
        <x:v>212</x:v>
      </x:c>
      <x:c r="D1063" s="28" t="n">
        <x:f>IF(ISNUMBER('Inputs'!$D$7),EDATE('Inputs'!$D$7,211),"n.a.")</x:f>
        <x:v>52749</x:v>
      </x:c>
      <x:c r="E1063" s="26" t="n">
        <x:f>IF('Inputs'!$D$9&lt;&gt;"Ready","n.a.",IF(ISNUMBER('Inputs'!E230),IF('Inputs'!E230&gt;=0,'Inputs'!E230,"n.a."),IF('Inputs'!E230="",'Inputs'!$D$6,"n.a.")))</x:f>
        <x:v>500</x:v>
      </x:c>
      <x:c r="F1063" s="22" t="n">
        <x:f>IF(COUNT($N$1062:$N$1066)=5,SUM($N$1062:$N$1066),"n.a.")</x:f>
        <x:v>0</x:v>
      </x:c>
      <x:c r="G1063" s="22" t="n">
        <x:f>IF(COUNT(E1063:F1063)=2,MAX(0,E1063-F1063),"n.a.")</x:f>
        <x:v>500</x:v>
      </x:c>
      <x:c r="H1063" s="26" t="str">
        <x:f>'Inputs'!C12</x:f>
        <x:v>Card B</x:v>
      </x:c>
      <x:c r="I1063" s="26" t="n">
        <x:f>S1058</x:f>
        <x:v>0</x:v>
      </x:c>
      <x:c r="J1063" s="29" t="n">
        <x:f>IF('Inputs'!$D$9="Ready",'Inputs'!E12,"n.a.")</x:f>
        <x:v>0.18</x:v>
      </x:c>
      <x:c r="K1063" s="26" t="n">
        <x:f>IF('Inputs'!$D$9="Ready",'Inputs'!F12,"n.a.")</x:f>
        <x:v>60</x:v>
      </x:c>
      <x:c r="L1063" s="29" t="n">
        <x:f>IF('Inputs'!$D$9="Ready",'Inputs'!G12,"n.a.")</x:f>
        <x:v>0.02</x:v>
      </x:c>
      <x:c r="M1063" s="22" t="n">
        <x:f>IF(COUNT(I1063:L1063)=4,ROUND(I1063*J1063/12,2),"n.a.")</x:f>
        <x:v>0</x:v>
      </x:c>
      <x:c r="N1063" s="22" t="n">
        <x:f>IF(COUNT(I1063:M1063)=5,MIN(I1063+M1063,ROUND(MAX(K1063,I1063*L1063+M1063),2)),"n.a.")</x:f>
        <x:v>0</x:v>
      </x:c>
      <x:c r="O1063" s="30" t="n">
        <x:f>IF(COUNT($I$1062:$I$1066)&lt;&gt;5,"n.a.",IF(I1063=0,6,IF('Inputs'!$D$5=1,COUNTIFS($I$1062:$I$1066,"&gt;0",$I$1062:$I$1066,"&lt;"&amp;I1063)+COUNTIFS($I$1062:I1063,I1063),COUNTIFS($I$1062:$I$1066,"&gt;0",$J$1062:$J$1066,"&gt;"&amp;J1063)+COUNTIFS($I$1062:I1063,"&gt;0",$J$1062:J1063,J1063))))</x:f>
        <x:v>6</x:v>
      </x:c>
      <x:c r="P1063" s="22" t="n">
        <x:f>IF(T1063="Ready",MIN(U1063,MAX(0,G1063-SUMIFS($U$1062:$U$1066,$O$1062:$O$1066,"&lt;"&amp;O1063))),"n.a.")</x:f>
        <x:v>0</x:v>
      </x:c>
      <x:c r="Q1063" s="22" t="n">
        <x:f>IF(T1063="Ready",ROUND(N1063+P1063,2),"n.a.")</x:f>
        <x:v>0</x:v>
      </x:c>
      <x:c r="R1063" s="22" t="n">
        <x:f>IF(T1063="Ready",ROUND(Q1063-M1063,2),"n.a.")</x:f>
        <x:v>0</x:v>
      </x:c>
      <x:c r="S1063" s="22" t="n">
        <x:f>IF(T1063="Ready",MAX(0,ROUND(I1063+M1063-Q1063,2)),"n.a.")</x:f>
        <x:v>0</x:v>
      </x:c>
      <x:c r="T1063" s="22" t="str">
        <x:f>IF(AND(COUNT($I$1062:$I$1066)=5,COUNT(E1063:F1063)=2),IF(E1063&gt;=F1063,"Ready","Budget below minima"),"Check inputs")</x:f>
        <x:v>Ready</x:v>
      </x:c>
      <x:c r="U1063" s="22" t="n">
        <x:f>IF(COUNT(I1063,M1063,N1063)=3,MAX(0,ROUND(I1063+M1063-N1063,2)),"n.a.")</x:f>
        <x:v>0</x:v>
      </x:c>
    </x:row>
    <x:row r="1064" ht="22" customHeight="1">
      <x:c r="A1064" s="2"/>
      <x:c r="B1064" s="2"/>
      <x:c r="C1064" s="27" t="n">
        <x:f>212</x:f>
        <x:v>212</x:v>
      </x:c>
      <x:c r="D1064" s="28" t="n">
        <x:f>IF(ISNUMBER('Inputs'!$D$7),EDATE('Inputs'!$D$7,211),"n.a.")</x:f>
        <x:v>52749</x:v>
      </x:c>
      <x:c r="E1064" s="26" t="n">
        <x:f>IF('Inputs'!$D$9&lt;&gt;"Ready","n.a.",IF(ISNUMBER('Inputs'!E230),IF('Inputs'!E230&gt;=0,'Inputs'!E230,"n.a."),IF('Inputs'!E230="",'Inputs'!$D$6,"n.a.")))</x:f>
        <x:v>500</x:v>
      </x:c>
      <x:c r="F1064" s="22" t="n">
        <x:f>IF(COUNT($N$1062:$N$1066)=5,SUM($N$1062:$N$1066),"n.a.")</x:f>
        <x:v>0</x:v>
      </x:c>
      <x:c r="G1064" s="22" t="n">
        <x:f>IF(COUNT(E1064:F1064)=2,MAX(0,E1064-F1064),"n.a.")</x:f>
        <x:v>500</x:v>
      </x:c>
      <x:c r="H1064" s="26" t="str">
        <x:f>'Inputs'!C13</x:f>
        <x:v>Loan C</x:v>
      </x:c>
      <x:c r="I1064" s="26" t="n">
        <x:f>S1059</x:f>
        <x:v>0</x:v>
      </x:c>
      <x:c r="J1064" s="29" t="n">
        <x:f>IF('Inputs'!$D$9="Ready",'Inputs'!E13,"n.a.")</x:f>
        <x:v>0.08</x:v>
      </x:c>
      <x:c r="K1064" s="26" t="n">
        <x:f>IF('Inputs'!$D$9="Ready",'Inputs'!F13,"n.a.")</x:f>
        <x:v>150</x:v>
      </x:c>
      <x:c r="L1064" s="29" t="n">
        <x:f>IF('Inputs'!$D$9="Ready",'Inputs'!G13,"n.a.")</x:f>
        <x:v>0</x:v>
      </x:c>
      <x:c r="M1064" s="22" t="n">
        <x:f>IF(COUNT(I1064:L1064)=4,ROUND(I1064*J1064/12,2),"n.a.")</x:f>
        <x:v>0</x:v>
      </x:c>
      <x:c r="N1064" s="22" t="n">
        <x:f>IF(COUNT(I1064:M1064)=5,MIN(I1064+M1064,ROUND(MAX(K1064,I1064*L1064+M1064),2)),"n.a.")</x:f>
        <x:v>0</x:v>
      </x:c>
      <x:c r="O1064" s="30" t="n">
        <x:f>IF(COUNT($I$1062:$I$1066)&lt;&gt;5,"n.a.",IF(I1064=0,6,IF('Inputs'!$D$5=1,COUNTIFS($I$1062:$I$1066,"&gt;0",$I$1062:$I$1066,"&lt;"&amp;I1064)+COUNTIFS($I$1062:I1064,I1064),COUNTIFS($I$1062:$I$1066,"&gt;0",$J$1062:$J$1066,"&gt;"&amp;J1064)+COUNTIFS($I$1062:I1064,"&gt;0",$J$1062:J1064,J1064))))</x:f>
        <x:v>6</x:v>
      </x:c>
      <x:c r="P1064" s="22" t="n">
        <x:f>IF(T1064="Ready",MIN(U1064,MAX(0,G1064-SUMIFS($U$1062:$U$1066,$O$1062:$O$1066,"&lt;"&amp;O1064))),"n.a.")</x:f>
        <x:v>0</x:v>
      </x:c>
      <x:c r="Q1064" s="22" t="n">
        <x:f>IF(T1064="Ready",ROUND(N1064+P1064,2),"n.a.")</x:f>
        <x:v>0</x:v>
      </x:c>
      <x:c r="R1064" s="22" t="n">
        <x:f>IF(T1064="Ready",ROUND(Q1064-M1064,2),"n.a.")</x:f>
        <x:v>0</x:v>
      </x:c>
      <x:c r="S1064" s="22" t="n">
        <x:f>IF(T1064="Ready",MAX(0,ROUND(I1064+M1064-Q1064,2)),"n.a.")</x:f>
        <x:v>0</x:v>
      </x:c>
      <x:c r="T1064" s="22" t="str">
        <x:f>IF(AND(COUNT($I$1062:$I$1066)=5,COUNT(E1064:F1064)=2),IF(E1064&gt;=F1064,"Ready","Budget below minima"),"Check inputs")</x:f>
        <x:v>Ready</x:v>
      </x:c>
      <x:c r="U1064" s="22" t="n">
        <x:f>IF(COUNT(I1064,M1064,N1064)=3,MAX(0,ROUND(I1064+M1064-N1064,2)),"n.a.")</x:f>
        <x:v>0</x:v>
      </x:c>
    </x:row>
    <x:row r="1065" ht="22" customHeight="1">
      <x:c r="A1065" s="2"/>
      <x:c r="B1065" s="2"/>
      <x:c r="C1065" s="27" t="n">
        <x:f>212</x:f>
        <x:v>212</x:v>
      </x:c>
      <x:c r="D1065" s="28" t="n">
        <x:f>IF(ISNUMBER('Inputs'!$D$7),EDATE('Inputs'!$D$7,211),"n.a.")</x:f>
        <x:v>52749</x:v>
      </x:c>
      <x:c r="E1065" s="26" t="n">
        <x:f>IF('Inputs'!$D$9&lt;&gt;"Ready","n.a.",IF(ISNUMBER('Inputs'!E230),IF('Inputs'!E230&gt;=0,'Inputs'!E230,"n.a."),IF('Inputs'!E230="",'Inputs'!$D$6,"n.a.")))</x:f>
        <x:v>500</x:v>
      </x:c>
      <x:c r="F1065" s="22" t="n">
        <x:f>IF(COUNT($N$1062:$N$1066)=5,SUM($N$1062:$N$1066),"n.a.")</x:f>
        <x:v>0</x:v>
      </x:c>
      <x:c r="G1065" s="22" t="n">
        <x:f>IF(COUNT(E1065:F1065)=2,MAX(0,E1065-F1065),"n.a.")</x:f>
        <x:v>500</x:v>
      </x:c>
      <x:c r="H1065" s="26" t="str">
        <x:f>'Inputs'!C14</x:f>
        <x:v>Unused 4</x:v>
      </x:c>
      <x:c r="I1065" s="26" t="n">
        <x:f>S1060</x:f>
        <x:v>0</x:v>
      </x:c>
      <x:c r="J1065" s="29" t="n">
        <x:f>IF('Inputs'!$D$9="Ready",'Inputs'!E14,"n.a.")</x:f>
        <x:v>0</x:v>
      </x:c>
      <x:c r="K1065" s="26" t="n">
        <x:f>IF('Inputs'!$D$9="Ready",'Inputs'!F14,"n.a.")</x:f>
        <x:v>0</x:v>
      </x:c>
      <x:c r="L1065" s="29" t="n">
        <x:f>IF('Inputs'!$D$9="Ready",'Inputs'!G14,"n.a.")</x:f>
        <x:v>0</x:v>
      </x:c>
      <x:c r="M1065" s="22" t="n">
        <x:f>IF(COUNT(I1065:L1065)=4,ROUND(I1065*J1065/12,2),"n.a.")</x:f>
        <x:v>0</x:v>
      </x:c>
      <x:c r="N1065" s="22" t="n">
        <x:f>IF(COUNT(I1065:M1065)=5,MIN(I1065+M1065,ROUND(MAX(K1065,I1065*L1065+M1065),2)),"n.a.")</x:f>
        <x:v>0</x:v>
      </x:c>
      <x:c r="O1065" s="30" t="n">
        <x:f>IF(COUNT($I$1062:$I$1066)&lt;&gt;5,"n.a.",IF(I1065=0,6,IF('Inputs'!$D$5=1,COUNTIFS($I$1062:$I$1066,"&gt;0",$I$1062:$I$1066,"&lt;"&amp;I1065)+COUNTIFS($I$1062:I1065,I1065),COUNTIFS($I$1062:$I$1066,"&gt;0",$J$1062:$J$1066,"&gt;"&amp;J1065)+COUNTIFS($I$1062:I1065,"&gt;0",$J$1062:J1065,J1065))))</x:f>
        <x:v>6</x:v>
      </x:c>
      <x:c r="P1065" s="22" t="n">
        <x:f>IF(T1065="Ready",MIN(U1065,MAX(0,G1065-SUMIFS($U$1062:$U$1066,$O$1062:$O$1066,"&lt;"&amp;O1065))),"n.a.")</x:f>
        <x:v>0</x:v>
      </x:c>
      <x:c r="Q1065" s="22" t="n">
        <x:f>IF(T1065="Ready",ROUND(N1065+P1065,2),"n.a.")</x:f>
        <x:v>0</x:v>
      </x:c>
      <x:c r="R1065" s="22" t="n">
        <x:f>IF(T1065="Ready",ROUND(Q1065-M1065,2),"n.a.")</x:f>
        <x:v>0</x:v>
      </x:c>
      <x:c r="S1065" s="22" t="n">
        <x:f>IF(T1065="Ready",MAX(0,ROUND(I1065+M1065-Q1065,2)),"n.a.")</x:f>
        <x:v>0</x:v>
      </x:c>
      <x:c r="T1065" s="22" t="str">
        <x:f>IF(AND(COUNT($I$1062:$I$1066)=5,COUNT(E1065:F1065)=2),IF(E1065&gt;=F1065,"Ready","Budget below minima"),"Check inputs")</x:f>
        <x:v>Ready</x:v>
      </x:c>
      <x:c r="U1065" s="22" t="n">
        <x:f>IF(COUNT(I1065,M1065,N1065)=3,MAX(0,ROUND(I1065+M1065-N1065,2)),"n.a.")</x:f>
        <x:v>0</x:v>
      </x:c>
    </x:row>
    <x:row r="1066" ht="22" customHeight="1">
      <x:c r="A1066" s="2"/>
      <x:c r="B1066" s="2"/>
      <x:c r="C1066" s="27" t="n">
        <x:f>212</x:f>
        <x:v>212</x:v>
      </x:c>
      <x:c r="D1066" s="28" t="n">
        <x:f>IF(ISNUMBER('Inputs'!$D$7),EDATE('Inputs'!$D$7,211),"n.a.")</x:f>
        <x:v>52749</x:v>
      </x:c>
      <x:c r="E1066" s="26" t="n">
        <x:f>IF('Inputs'!$D$9&lt;&gt;"Ready","n.a.",IF(ISNUMBER('Inputs'!E230),IF('Inputs'!E230&gt;=0,'Inputs'!E230,"n.a."),IF('Inputs'!E230="",'Inputs'!$D$6,"n.a.")))</x:f>
        <x:v>500</x:v>
      </x:c>
      <x:c r="F1066" s="22" t="n">
        <x:f>IF(COUNT($N$1062:$N$1066)=5,SUM($N$1062:$N$1066),"n.a.")</x:f>
        <x:v>0</x:v>
      </x:c>
      <x:c r="G1066" s="22" t="n">
        <x:f>IF(COUNT(E1066:F1066)=2,MAX(0,E1066-F1066),"n.a.")</x:f>
        <x:v>500</x:v>
      </x:c>
      <x:c r="H1066" s="26" t="str">
        <x:f>'Inputs'!C15</x:f>
        <x:v>Unused 5</x:v>
      </x:c>
      <x:c r="I1066" s="26" t="n">
        <x:f>S1061</x:f>
        <x:v>0</x:v>
      </x:c>
      <x:c r="J1066" s="29" t="n">
        <x:f>IF('Inputs'!$D$9="Ready",'Inputs'!E15,"n.a.")</x:f>
        <x:v>0</x:v>
      </x:c>
      <x:c r="K1066" s="26" t="n">
        <x:f>IF('Inputs'!$D$9="Ready",'Inputs'!F15,"n.a.")</x:f>
        <x:v>0</x:v>
      </x:c>
      <x:c r="L1066" s="29" t="n">
        <x:f>IF('Inputs'!$D$9="Ready",'Inputs'!G15,"n.a.")</x:f>
        <x:v>0</x:v>
      </x:c>
      <x:c r="M1066" s="22" t="n">
        <x:f>IF(COUNT(I1066:L1066)=4,ROUND(I1066*J1066/12,2),"n.a.")</x:f>
        <x:v>0</x:v>
      </x:c>
      <x:c r="N1066" s="22" t="n">
        <x:f>IF(COUNT(I1066:M1066)=5,MIN(I1066+M1066,ROUND(MAX(K1066,I1066*L1066+M1066),2)),"n.a.")</x:f>
        <x:v>0</x:v>
      </x:c>
      <x:c r="O1066" s="30" t="n">
        <x:f>IF(COUNT($I$1062:$I$1066)&lt;&gt;5,"n.a.",IF(I1066=0,6,IF('Inputs'!$D$5=1,COUNTIFS($I$1062:$I$1066,"&gt;0",$I$1062:$I$1066,"&lt;"&amp;I1066)+COUNTIFS($I$1062:I1066,I1066),COUNTIFS($I$1062:$I$1066,"&gt;0",$J$1062:$J$1066,"&gt;"&amp;J1066)+COUNTIFS($I$1062:I1066,"&gt;0",$J$1062:J1066,J1066))))</x:f>
        <x:v>6</x:v>
      </x:c>
      <x:c r="P1066" s="22" t="n">
        <x:f>IF(T1066="Ready",MIN(U1066,MAX(0,G1066-SUMIFS($U$1062:$U$1066,$O$1062:$O$1066,"&lt;"&amp;O1066))),"n.a.")</x:f>
        <x:v>0</x:v>
      </x:c>
      <x:c r="Q1066" s="22" t="n">
        <x:f>IF(T1066="Ready",ROUND(N1066+P1066,2),"n.a.")</x:f>
        <x:v>0</x:v>
      </x:c>
      <x:c r="R1066" s="22" t="n">
        <x:f>IF(T1066="Ready",ROUND(Q1066-M1066,2),"n.a.")</x:f>
        <x:v>0</x:v>
      </x:c>
      <x:c r="S1066" s="22" t="n">
        <x:f>IF(T1066="Ready",MAX(0,ROUND(I1066+M1066-Q1066,2)),"n.a.")</x:f>
        <x:v>0</x:v>
      </x:c>
      <x:c r="T1066" s="22" t="str">
        <x:f>IF(AND(COUNT($I$1062:$I$1066)=5,COUNT(E1066:F1066)=2),IF(E1066&gt;=F1066,"Ready","Budget below minima"),"Check inputs")</x:f>
        <x:v>Ready</x:v>
      </x:c>
      <x:c r="U1066" s="22" t="n">
        <x:f>IF(COUNT(I1066,M1066,N1066)=3,MAX(0,ROUND(I1066+M1066-N1066,2)),"n.a.")</x:f>
        <x:v>0</x:v>
      </x:c>
    </x:row>
    <x:row r="1067" ht="22" customHeight="1">
      <x:c r="A1067" s="2"/>
      <x:c r="B1067" s="2"/>
      <x:c r="C1067" s="27" t="n">
        <x:f>213</x:f>
        <x:v>213</x:v>
      </x:c>
      <x:c r="D1067" s="28" t="n">
        <x:f>IF(ISNUMBER('Inputs'!$D$7),EDATE('Inputs'!$D$7,212),"n.a.")</x:f>
        <x:v>52779</x:v>
      </x:c>
      <x:c r="E1067" s="26" t="n">
        <x:f>IF('Inputs'!$D$9&lt;&gt;"Ready","n.a.",IF(ISNUMBER('Inputs'!E231),IF('Inputs'!E231&gt;=0,'Inputs'!E231,"n.a."),IF('Inputs'!E231="",'Inputs'!$D$6,"n.a.")))</x:f>
        <x:v>500</x:v>
      </x:c>
      <x:c r="F1067" s="22" t="n">
        <x:f>IF(COUNT($N$1067:$N$1071)=5,SUM($N$1067:$N$1071),"n.a.")</x:f>
        <x:v>0</x:v>
      </x:c>
      <x:c r="G1067" s="22" t="n">
        <x:f>IF(COUNT(E1067:F1067)=2,MAX(0,E1067-F1067),"n.a.")</x:f>
        <x:v>500</x:v>
      </x:c>
      <x:c r="H1067" s="26" t="str">
        <x:f>'Inputs'!C11</x:f>
        <x:v>Card A</x:v>
      </x:c>
      <x:c r="I1067" s="26" t="n">
        <x:f>S1062</x:f>
        <x:v>0</x:v>
      </x:c>
      <x:c r="J1067" s="29" t="n">
        <x:f>IF('Inputs'!$D$9="Ready",'Inputs'!E11,"n.a.")</x:f>
        <x:v>0.24</x:v>
      </x:c>
      <x:c r="K1067" s="26" t="n">
        <x:f>IF('Inputs'!$D$9="Ready",'Inputs'!F11,"n.a.")</x:f>
        <x:v>35</x:v>
      </x:c>
      <x:c r="L1067" s="29" t="n">
        <x:f>IF('Inputs'!$D$9="Ready",'Inputs'!G11,"n.a.")</x:f>
        <x:v>0.02</x:v>
      </x:c>
      <x:c r="M1067" s="22" t="n">
        <x:f>IF(COUNT(I1067:L1067)=4,ROUND(I1067*J1067/12,2),"n.a.")</x:f>
        <x:v>0</x:v>
      </x:c>
      <x:c r="N1067" s="22" t="n">
        <x:f>IF(COUNT(I1067:M1067)=5,MIN(I1067+M1067,ROUND(MAX(K1067,I1067*L1067+M1067),2)),"n.a.")</x:f>
        <x:v>0</x:v>
      </x:c>
      <x:c r="O1067" s="30" t="n">
        <x:f>IF(COUNT($I$1067:$I$1071)&lt;&gt;5,"n.a.",IF(I1067=0,6,IF('Inputs'!$D$5=1,COUNTIFS($I$1067:$I$1071,"&gt;0",$I$1067:$I$1071,"&lt;"&amp;I1067)+COUNTIFS($I$1067:I1067,I1067),COUNTIFS($I$1067:$I$1071,"&gt;0",$J$1067:$J$1071,"&gt;"&amp;J1067)+COUNTIFS($I$1067:I1067,"&gt;0",$J$1067:J1067,J1067))))</x:f>
        <x:v>6</x:v>
      </x:c>
      <x:c r="P1067" s="22" t="n">
        <x:f>IF(T1067="Ready",MIN(U1067,MAX(0,G1067-SUMIFS($U$1067:$U$1071,$O$1067:$O$1071,"&lt;"&amp;O1067))),"n.a.")</x:f>
        <x:v>0</x:v>
      </x:c>
      <x:c r="Q1067" s="22" t="n">
        <x:f>IF(T1067="Ready",ROUND(N1067+P1067,2),"n.a.")</x:f>
        <x:v>0</x:v>
      </x:c>
      <x:c r="R1067" s="22" t="n">
        <x:f>IF(T1067="Ready",ROUND(Q1067-M1067,2),"n.a.")</x:f>
        <x:v>0</x:v>
      </x:c>
      <x:c r="S1067" s="22" t="n">
        <x:f>IF(T1067="Ready",MAX(0,ROUND(I1067+M1067-Q1067,2)),"n.a.")</x:f>
        <x:v>0</x:v>
      </x:c>
      <x:c r="T1067" s="22" t="str">
        <x:f>IF(AND(COUNT($I$1067:$I$1071)=5,COUNT(E1067:F1067)=2),IF(E1067&gt;=F1067,"Ready","Budget below minima"),"Check inputs")</x:f>
        <x:v>Ready</x:v>
      </x:c>
      <x:c r="U1067" s="22" t="n">
        <x:f>IF(COUNT(I1067,M1067,N1067)=3,MAX(0,ROUND(I1067+M1067-N1067,2)),"n.a.")</x:f>
        <x:v>0</x:v>
      </x:c>
    </x:row>
    <x:row r="1068" ht="22" customHeight="1">
      <x:c r="A1068" s="2"/>
      <x:c r="B1068" s="2"/>
      <x:c r="C1068" s="27" t="n">
        <x:f>213</x:f>
        <x:v>213</x:v>
      </x:c>
      <x:c r="D1068" s="28" t="n">
        <x:f>IF(ISNUMBER('Inputs'!$D$7),EDATE('Inputs'!$D$7,212),"n.a.")</x:f>
        <x:v>52779</x:v>
      </x:c>
      <x:c r="E1068" s="26" t="n">
        <x:f>IF('Inputs'!$D$9&lt;&gt;"Ready","n.a.",IF(ISNUMBER('Inputs'!E231),IF('Inputs'!E231&gt;=0,'Inputs'!E231,"n.a."),IF('Inputs'!E231="",'Inputs'!$D$6,"n.a.")))</x:f>
        <x:v>500</x:v>
      </x:c>
      <x:c r="F1068" s="22" t="n">
        <x:f>IF(COUNT($N$1067:$N$1071)=5,SUM($N$1067:$N$1071),"n.a.")</x:f>
        <x:v>0</x:v>
      </x:c>
      <x:c r="G1068" s="22" t="n">
        <x:f>IF(COUNT(E1068:F1068)=2,MAX(0,E1068-F1068),"n.a.")</x:f>
        <x:v>500</x:v>
      </x:c>
      <x:c r="H1068" s="26" t="str">
        <x:f>'Inputs'!C12</x:f>
        <x:v>Card B</x:v>
      </x:c>
      <x:c r="I1068" s="26" t="n">
        <x:f>S1063</x:f>
        <x:v>0</x:v>
      </x:c>
      <x:c r="J1068" s="29" t="n">
        <x:f>IF('Inputs'!$D$9="Ready",'Inputs'!E12,"n.a.")</x:f>
        <x:v>0.18</x:v>
      </x:c>
      <x:c r="K1068" s="26" t="n">
        <x:f>IF('Inputs'!$D$9="Ready",'Inputs'!F12,"n.a.")</x:f>
        <x:v>60</x:v>
      </x:c>
      <x:c r="L1068" s="29" t="n">
        <x:f>IF('Inputs'!$D$9="Ready",'Inputs'!G12,"n.a.")</x:f>
        <x:v>0.02</x:v>
      </x:c>
      <x:c r="M1068" s="22" t="n">
        <x:f>IF(COUNT(I1068:L1068)=4,ROUND(I1068*J1068/12,2),"n.a.")</x:f>
        <x:v>0</x:v>
      </x:c>
      <x:c r="N1068" s="22" t="n">
        <x:f>IF(COUNT(I1068:M1068)=5,MIN(I1068+M1068,ROUND(MAX(K1068,I1068*L1068+M1068),2)),"n.a.")</x:f>
        <x:v>0</x:v>
      </x:c>
      <x:c r="O1068" s="30" t="n">
        <x:f>IF(COUNT($I$1067:$I$1071)&lt;&gt;5,"n.a.",IF(I1068=0,6,IF('Inputs'!$D$5=1,COUNTIFS($I$1067:$I$1071,"&gt;0",$I$1067:$I$1071,"&lt;"&amp;I1068)+COUNTIFS($I$1067:I1068,I1068),COUNTIFS($I$1067:$I$1071,"&gt;0",$J$1067:$J$1071,"&gt;"&amp;J1068)+COUNTIFS($I$1067:I1068,"&gt;0",$J$1067:J1068,J1068))))</x:f>
        <x:v>6</x:v>
      </x:c>
      <x:c r="P1068" s="22" t="n">
        <x:f>IF(T1068="Ready",MIN(U1068,MAX(0,G1068-SUMIFS($U$1067:$U$1071,$O$1067:$O$1071,"&lt;"&amp;O1068))),"n.a.")</x:f>
        <x:v>0</x:v>
      </x:c>
      <x:c r="Q1068" s="22" t="n">
        <x:f>IF(T1068="Ready",ROUND(N1068+P1068,2),"n.a.")</x:f>
        <x:v>0</x:v>
      </x:c>
      <x:c r="R1068" s="22" t="n">
        <x:f>IF(T1068="Ready",ROUND(Q1068-M1068,2),"n.a.")</x:f>
        <x:v>0</x:v>
      </x:c>
      <x:c r="S1068" s="22" t="n">
        <x:f>IF(T1068="Ready",MAX(0,ROUND(I1068+M1068-Q1068,2)),"n.a.")</x:f>
        <x:v>0</x:v>
      </x:c>
      <x:c r="T1068" s="22" t="str">
        <x:f>IF(AND(COUNT($I$1067:$I$1071)=5,COUNT(E1068:F1068)=2),IF(E1068&gt;=F1068,"Ready","Budget below minima"),"Check inputs")</x:f>
        <x:v>Ready</x:v>
      </x:c>
      <x:c r="U1068" s="22" t="n">
        <x:f>IF(COUNT(I1068,M1068,N1068)=3,MAX(0,ROUND(I1068+M1068-N1068,2)),"n.a.")</x:f>
        <x:v>0</x:v>
      </x:c>
    </x:row>
    <x:row r="1069" ht="22" customHeight="1">
      <x:c r="A1069" s="2"/>
      <x:c r="B1069" s="2"/>
      <x:c r="C1069" s="27" t="n">
        <x:f>213</x:f>
        <x:v>213</x:v>
      </x:c>
      <x:c r="D1069" s="28" t="n">
        <x:f>IF(ISNUMBER('Inputs'!$D$7),EDATE('Inputs'!$D$7,212),"n.a.")</x:f>
        <x:v>52779</x:v>
      </x:c>
      <x:c r="E1069" s="26" t="n">
        <x:f>IF('Inputs'!$D$9&lt;&gt;"Ready","n.a.",IF(ISNUMBER('Inputs'!E231),IF('Inputs'!E231&gt;=0,'Inputs'!E231,"n.a."),IF('Inputs'!E231="",'Inputs'!$D$6,"n.a.")))</x:f>
        <x:v>500</x:v>
      </x:c>
      <x:c r="F1069" s="22" t="n">
        <x:f>IF(COUNT($N$1067:$N$1071)=5,SUM($N$1067:$N$1071),"n.a.")</x:f>
        <x:v>0</x:v>
      </x:c>
      <x:c r="G1069" s="22" t="n">
        <x:f>IF(COUNT(E1069:F1069)=2,MAX(0,E1069-F1069),"n.a.")</x:f>
        <x:v>500</x:v>
      </x:c>
      <x:c r="H1069" s="26" t="str">
        <x:f>'Inputs'!C13</x:f>
        <x:v>Loan C</x:v>
      </x:c>
      <x:c r="I1069" s="26" t="n">
        <x:f>S1064</x:f>
        <x:v>0</x:v>
      </x:c>
      <x:c r="J1069" s="29" t="n">
        <x:f>IF('Inputs'!$D$9="Ready",'Inputs'!E13,"n.a.")</x:f>
        <x:v>0.08</x:v>
      </x:c>
      <x:c r="K1069" s="26" t="n">
        <x:f>IF('Inputs'!$D$9="Ready",'Inputs'!F13,"n.a.")</x:f>
        <x:v>150</x:v>
      </x:c>
      <x:c r="L1069" s="29" t="n">
        <x:f>IF('Inputs'!$D$9="Ready",'Inputs'!G13,"n.a.")</x:f>
        <x:v>0</x:v>
      </x:c>
      <x:c r="M1069" s="22" t="n">
        <x:f>IF(COUNT(I1069:L1069)=4,ROUND(I1069*J1069/12,2),"n.a.")</x:f>
        <x:v>0</x:v>
      </x:c>
      <x:c r="N1069" s="22" t="n">
        <x:f>IF(COUNT(I1069:M1069)=5,MIN(I1069+M1069,ROUND(MAX(K1069,I1069*L1069+M1069),2)),"n.a.")</x:f>
        <x:v>0</x:v>
      </x:c>
      <x:c r="O1069" s="30" t="n">
        <x:f>IF(COUNT($I$1067:$I$1071)&lt;&gt;5,"n.a.",IF(I1069=0,6,IF('Inputs'!$D$5=1,COUNTIFS($I$1067:$I$1071,"&gt;0",$I$1067:$I$1071,"&lt;"&amp;I1069)+COUNTIFS($I$1067:I1069,I1069),COUNTIFS($I$1067:$I$1071,"&gt;0",$J$1067:$J$1071,"&gt;"&amp;J1069)+COUNTIFS($I$1067:I1069,"&gt;0",$J$1067:J1069,J1069))))</x:f>
        <x:v>6</x:v>
      </x:c>
      <x:c r="P1069" s="22" t="n">
        <x:f>IF(T1069="Ready",MIN(U1069,MAX(0,G1069-SUMIFS($U$1067:$U$1071,$O$1067:$O$1071,"&lt;"&amp;O1069))),"n.a.")</x:f>
        <x:v>0</x:v>
      </x:c>
      <x:c r="Q1069" s="22" t="n">
        <x:f>IF(T1069="Ready",ROUND(N1069+P1069,2),"n.a.")</x:f>
        <x:v>0</x:v>
      </x:c>
      <x:c r="R1069" s="22" t="n">
        <x:f>IF(T1069="Ready",ROUND(Q1069-M1069,2),"n.a.")</x:f>
        <x:v>0</x:v>
      </x:c>
      <x:c r="S1069" s="22" t="n">
        <x:f>IF(T1069="Ready",MAX(0,ROUND(I1069+M1069-Q1069,2)),"n.a.")</x:f>
        <x:v>0</x:v>
      </x:c>
      <x:c r="T1069" s="22" t="str">
        <x:f>IF(AND(COUNT($I$1067:$I$1071)=5,COUNT(E1069:F1069)=2),IF(E1069&gt;=F1069,"Ready","Budget below minima"),"Check inputs")</x:f>
        <x:v>Ready</x:v>
      </x:c>
      <x:c r="U1069" s="22" t="n">
        <x:f>IF(COUNT(I1069,M1069,N1069)=3,MAX(0,ROUND(I1069+M1069-N1069,2)),"n.a.")</x:f>
        <x:v>0</x:v>
      </x:c>
    </x:row>
    <x:row r="1070" ht="22" customHeight="1">
      <x:c r="A1070" s="2"/>
      <x:c r="B1070" s="2"/>
      <x:c r="C1070" s="27" t="n">
        <x:f>213</x:f>
        <x:v>213</x:v>
      </x:c>
      <x:c r="D1070" s="28" t="n">
        <x:f>IF(ISNUMBER('Inputs'!$D$7),EDATE('Inputs'!$D$7,212),"n.a.")</x:f>
        <x:v>52779</x:v>
      </x:c>
      <x:c r="E1070" s="26" t="n">
        <x:f>IF('Inputs'!$D$9&lt;&gt;"Ready","n.a.",IF(ISNUMBER('Inputs'!E231),IF('Inputs'!E231&gt;=0,'Inputs'!E231,"n.a."),IF('Inputs'!E231="",'Inputs'!$D$6,"n.a.")))</x:f>
        <x:v>500</x:v>
      </x:c>
      <x:c r="F1070" s="22" t="n">
        <x:f>IF(COUNT($N$1067:$N$1071)=5,SUM($N$1067:$N$1071),"n.a.")</x:f>
        <x:v>0</x:v>
      </x:c>
      <x:c r="G1070" s="22" t="n">
        <x:f>IF(COUNT(E1070:F1070)=2,MAX(0,E1070-F1070),"n.a.")</x:f>
        <x:v>500</x:v>
      </x:c>
      <x:c r="H1070" s="26" t="str">
        <x:f>'Inputs'!C14</x:f>
        <x:v>Unused 4</x:v>
      </x:c>
      <x:c r="I1070" s="26" t="n">
        <x:f>S1065</x:f>
        <x:v>0</x:v>
      </x:c>
      <x:c r="J1070" s="29" t="n">
        <x:f>IF('Inputs'!$D$9="Ready",'Inputs'!E14,"n.a.")</x:f>
        <x:v>0</x:v>
      </x:c>
      <x:c r="K1070" s="26" t="n">
        <x:f>IF('Inputs'!$D$9="Ready",'Inputs'!F14,"n.a.")</x:f>
        <x:v>0</x:v>
      </x:c>
      <x:c r="L1070" s="29" t="n">
        <x:f>IF('Inputs'!$D$9="Ready",'Inputs'!G14,"n.a.")</x:f>
        <x:v>0</x:v>
      </x:c>
      <x:c r="M1070" s="22" t="n">
        <x:f>IF(COUNT(I1070:L1070)=4,ROUND(I1070*J1070/12,2),"n.a.")</x:f>
        <x:v>0</x:v>
      </x:c>
      <x:c r="N1070" s="22" t="n">
        <x:f>IF(COUNT(I1070:M1070)=5,MIN(I1070+M1070,ROUND(MAX(K1070,I1070*L1070+M1070),2)),"n.a.")</x:f>
        <x:v>0</x:v>
      </x:c>
      <x:c r="O1070" s="30" t="n">
        <x:f>IF(COUNT($I$1067:$I$1071)&lt;&gt;5,"n.a.",IF(I1070=0,6,IF('Inputs'!$D$5=1,COUNTIFS($I$1067:$I$1071,"&gt;0",$I$1067:$I$1071,"&lt;"&amp;I1070)+COUNTIFS($I$1067:I1070,I1070),COUNTIFS($I$1067:$I$1071,"&gt;0",$J$1067:$J$1071,"&gt;"&amp;J1070)+COUNTIFS($I$1067:I1070,"&gt;0",$J$1067:J1070,J1070))))</x:f>
        <x:v>6</x:v>
      </x:c>
      <x:c r="P1070" s="22" t="n">
        <x:f>IF(T1070="Ready",MIN(U1070,MAX(0,G1070-SUMIFS($U$1067:$U$1071,$O$1067:$O$1071,"&lt;"&amp;O1070))),"n.a.")</x:f>
        <x:v>0</x:v>
      </x:c>
      <x:c r="Q1070" s="22" t="n">
        <x:f>IF(T1070="Ready",ROUND(N1070+P1070,2),"n.a.")</x:f>
        <x:v>0</x:v>
      </x:c>
      <x:c r="R1070" s="22" t="n">
        <x:f>IF(T1070="Ready",ROUND(Q1070-M1070,2),"n.a.")</x:f>
        <x:v>0</x:v>
      </x:c>
      <x:c r="S1070" s="22" t="n">
        <x:f>IF(T1070="Ready",MAX(0,ROUND(I1070+M1070-Q1070,2)),"n.a.")</x:f>
        <x:v>0</x:v>
      </x:c>
      <x:c r="T1070" s="22" t="str">
        <x:f>IF(AND(COUNT($I$1067:$I$1071)=5,COUNT(E1070:F1070)=2),IF(E1070&gt;=F1070,"Ready","Budget below minima"),"Check inputs")</x:f>
        <x:v>Ready</x:v>
      </x:c>
      <x:c r="U1070" s="22" t="n">
        <x:f>IF(COUNT(I1070,M1070,N1070)=3,MAX(0,ROUND(I1070+M1070-N1070,2)),"n.a.")</x:f>
        <x:v>0</x:v>
      </x:c>
    </x:row>
    <x:row r="1071" ht="22" customHeight="1">
      <x:c r="A1071" s="2"/>
      <x:c r="B1071" s="2"/>
      <x:c r="C1071" s="27" t="n">
        <x:f>213</x:f>
        <x:v>213</x:v>
      </x:c>
      <x:c r="D1071" s="28" t="n">
        <x:f>IF(ISNUMBER('Inputs'!$D$7),EDATE('Inputs'!$D$7,212),"n.a.")</x:f>
        <x:v>52779</x:v>
      </x:c>
      <x:c r="E1071" s="26" t="n">
        <x:f>IF('Inputs'!$D$9&lt;&gt;"Ready","n.a.",IF(ISNUMBER('Inputs'!E231),IF('Inputs'!E231&gt;=0,'Inputs'!E231,"n.a."),IF('Inputs'!E231="",'Inputs'!$D$6,"n.a.")))</x:f>
        <x:v>500</x:v>
      </x:c>
      <x:c r="F1071" s="22" t="n">
        <x:f>IF(COUNT($N$1067:$N$1071)=5,SUM($N$1067:$N$1071),"n.a.")</x:f>
        <x:v>0</x:v>
      </x:c>
      <x:c r="G1071" s="22" t="n">
        <x:f>IF(COUNT(E1071:F1071)=2,MAX(0,E1071-F1071),"n.a.")</x:f>
        <x:v>500</x:v>
      </x:c>
      <x:c r="H1071" s="26" t="str">
        <x:f>'Inputs'!C15</x:f>
        <x:v>Unused 5</x:v>
      </x:c>
      <x:c r="I1071" s="26" t="n">
        <x:f>S1066</x:f>
        <x:v>0</x:v>
      </x:c>
      <x:c r="J1071" s="29" t="n">
        <x:f>IF('Inputs'!$D$9="Ready",'Inputs'!E15,"n.a.")</x:f>
        <x:v>0</x:v>
      </x:c>
      <x:c r="K1071" s="26" t="n">
        <x:f>IF('Inputs'!$D$9="Ready",'Inputs'!F15,"n.a.")</x:f>
        <x:v>0</x:v>
      </x:c>
      <x:c r="L1071" s="29" t="n">
        <x:f>IF('Inputs'!$D$9="Ready",'Inputs'!G15,"n.a.")</x:f>
        <x:v>0</x:v>
      </x:c>
      <x:c r="M1071" s="22" t="n">
        <x:f>IF(COUNT(I1071:L1071)=4,ROUND(I1071*J1071/12,2),"n.a.")</x:f>
        <x:v>0</x:v>
      </x:c>
      <x:c r="N1071" s="22" t="n">
        <x:f>IF(COUNT(I1071:M1071)=5,MIN(I1071+M1071,ROUND(MAX(K1071,I1071*L1071+M1071),2)),"n.a.")</x:f>
        <x:v>0</x:v>
      </x:c>
      <x:c r="O1071" s="30" t="n">
        <x:f>IF(COUNT($I$1067:$I$1071)&lt;&gt;5,"n.a.",IF(I1071=0,6,IF('Inputs'!$D$5=1,COUNTIFS($I$1067:$I$1071,"&gt;0",$I$1067:$I$1071,"&lt;"&amp;I1071)+COUNTIFS($I$1067:I1071,I1071),COUNTIFS($I$1067:$I$1071,"&gt;0",$J$1067:$J$1071,"&gt;"&amp;J1071)+COUNTIFS($I$1067:I1071,"&gt;0",$J$1067:J1071,J1071))))</x:f>
        <x:v>6</x:v>
      </x:c>
      <x:c r="P1071" s="22" t="n">
        <x:f>IF(T1071="Ready",MIN(U1071,MAX(0,G1071-SUMIFS($U$1067:$U$1071,$O$1067:$O$1071,"&lt;"&amp;O1071))),"n.a.")</x:f>
        <x:v>0</x:v>
      </x:c>
      <x:c r="Q1071" s="22" t="n">
        <x:f>IF(T1071="Ready",ROUND(N1071+P1071,2),"n.a.")</x:f>
        <x:v>0</x:v>
      </x:c>
      <x:c r="R1071" s="22" t="n">
        <x:f>IF(T1071="Ready",ROUND(Q1071-M1071,2),"n.a.")</x:f>
        <x:v>0</x:v>
      </x:c>
      <x:c r="S1071" s="22" t="n">
        <x:f>IF(T1071="Ready",MAX(0,ROUND(I1071+M1071-Q1071,2)),"n.a.")</x:f>
        <x:v>0</x:v>
      </x:c>
      <x:c r="T1071" s="22" t="str">
        <x:f>IF(AND(COUNT($I$1067:$I$1071)=5,COUNT(E1071:F1071)=2),IF(E1071&gt;=F1071,"Ready","Budget below minima"),"Check inputs")</x:f>
        <x:v>Ready</x:v>
      </x:c>
      <x:c r="U1071" s="22" t="n">
        <x:f>IF(COUNT(I1071,M1071,N1071)=3,MAX(0,ROUND(I1071+M1071-N1071,2)),"n.a.")</x:f>
        <x:v>0</x:v>
      </x:c>
    </x:row>
    <x:row r="1072" ht="22" customHeight="1">
      <x:c r="A1072" s="2"/>
      <x:c r="B1072" s="2"/>
      <x:c r="C1072" s="27" t="n">
        <x:f>214</x:f>
        <x:v>214</x:v>
      </x:c>
      <x:c r="D1072" s="28" t="n">
        <x:f>IF(ISNUMBER('Inputs'!$D$7),EDATE('Inputs'!$D$7,213),"n.a.")</x:f>
        <x:v>52810</x:v>
      </x:c>
      <x:c r="E1072" s="26" t="n">
        <x:f>IF('Inputs'!$D$9&lt;&gt;"Ready","n.a.",IF(ISNUMBER('Inputs'!E232),IF('Inputs'!E232&gt;=0,'Inputs'!E232,"n.a."),IF('Inputs'!E232="",'Inputs'!$D$6,"n.a.")))</x:f>
        <x:v>500</x:v>
      </x:c>
      <x:c r="F1072" s="22" t="n">
        <x:f>IF(COUNT($N$1072:$N$1076)=5,SUM($N$1072:$N$1076),"n.a.")</x:f>
        <x:v>0</x:v>
      </x:c>
      <x:c r="G1072" s="22" t="n">
        <x:f>IF(COUNT(E1072:F1072)=2,MAX(0,E1072-F1072),"n.a.")</x:f>
        <x:v>500</x:v>
      </x:c>
      <x:c r="H1072" s="26" t="str">
        <x:f>'Inputs'!C11</x:f>
        <x:v>Card A</x:v>
      </x:c>
      <x:c r="I1072" s="26" t="n">
        <x:f>S1067</x:f>
        <x:v>0</x:v>
      </x:c>
      <x:c r="J1072" s="29" t="n">
        <x:f>IF('Inputs'!$D$9="Ready",'Inputs'!E11,"n.a.")</x:f>
        <x:v>0.24</x:v>
      </x:c>
      <x:c r="K1072" s="26" t="n">
        <x:f>IF('Inputs'!$D$9="Ready",'Inputs'!F11,"n.a.")</x:f>
        <x:v>35</x:v>
      </x:c>
      <x:c r="L1072" s="29" t="n">
        <x:f>IF('Inputs'!$D$9="Ready",'Inputs'!G11,"n.a.")</x:f>
        <x:v>0.02</x:v>
      </x:c>
      <x:c r="M1072" s="22" t="n">
        <x:f>IF(COUNT(I1072:L1072)=4,ROUND(I1072*J1072/12,2),"n.a.")</x:f>
        <x:v>0</x:v>
      </x:c>
      <x:c r="N1072" s="22" t="n">
        <x:f>IF(COUNT(I1072:M1072)=5,MIN(I1072+M1072,ROUND(MAX(K1072,I1072*L1072+M1072),2)),"n.a.")</x:f>
        <x:v>0</x:v>
      </x:c>
      <x:c r="O1072" s="30" t="n">
        <x:f>IF(COUNT($I$1072:$I$1076)&lt;&gt;5,"n.a.",IF(I1072=0,6,IF('Inputs'!$D$5=1,COUNTIFS($I$1072:$I$1076,"&gt;0",$I$1072:$I$1076,"&lt;"&amp;I1072)+COUNTIFS($I$1072:I1072,I1072),COUNTIFS($I$1072:$I$1076,"&gt;0",$J$1072:$J$1076,"&gt;"&amp;J1072)+COUNTIFS($I$1072:I1072,"&gt;0",$J$1072:J1072,J1072))))</x:f>
        <x:v>6</x:v>
      </x:c>
      <x:c r="P1072" s="22" t="n">
        <x:f>IF(T1072="Ready",MIN(U1072,MAX(0,G1072-SUMIFS($U$1072:$U$1076,$O$1072:$O$1076,"&lt;"&amp;O1072))),"n.a.")</x:f>
        <x:v>0</x:v>
      </x:c>
      <x:c r="Q1072" s="22" t="n">
        <x:f>IF(T1072="Ready",ROUND(N1072+P1072,2),"n.a.")</x:f>
        <x:v>0</x:v>
      </x:c>
      <x:c r="R1072" s="22" t="n">
        <x:f>IF(T1072="Ready",ROUND(Q1072-M1072,2),"n.a.")</x:f>
        <x:v>0</x:v>
      </x:c>
      <x:c r="S1072" s="22" t="n">
        <x:f>IF(T1072="Ready",MAX(0,ROUND(I1072+M1072-Q1072,2)),"n.a.")</x:f>
        <x:v>0</x:v>
      </x:c>
      <x:c r="T1072" s="22" t="str">
        <x:f>IF(AND(COUNT($I$1072:$I$1076)=5,COUNT(E1072:F1072)=2),IF(E1072&gt;=F1072,"Ready","Budget below minima"),"Check inputs")</x:f>
        <x:v>Ready</x:v>
      </x:c>
      <x:c r="U1072" s="22" t="n">
        <x:f>IF(COUNT(I1072,M1072,N1072)=3,MAX(0,ROUND(I1072+M1072-N1072,2)),"n.a.")</x:f>
        <x:v>0</x:v>
      </x:c>
    </x:row>
    <x:row r="1073" ht="22" customHeight="1">
      <x:c r="A1073" s="2"/>
      <x:c r="B1073" s="2"/>
      <x:c r="C1073" s="27" t="n">
        <x:f>214</x:f>
        <x:v>214</x:v>
      </x:c>
      <x:c r="D1073" s="28" t="n">
        <x:f>IF(ISNUMBER('Inputs'!$D$7),EDATE('Inputs'!$D$7,213),"n.a.")</x:f>
        <x:v>52810</x:v>
      </x:c>
      <x:c r="E1073" s="26" t="n">
        <x:f>IF('Inputs'!$D$9&lt;&gt;"Ready","n.a.",IF(ISNUMBER('Inputs'!E232),IF('Inputs'!E232&gt;=0,'Inputs'!E232,"n.a."),IF('Inputs'!E232="",'Inputs'!$D$6,"n.a.")))</x:f>
        <x:v>500</x:v>
      </x:c>
      <x:c r="F1073" s="22" t="n">
        <x:f>IF(COUNT($N$1072:$N$1076)=5,SUM($N$1072:$N$1076),"n.a.")</x:f>
        <x:v>0</x:v>
      </x:c>
      <x:c r="G1073" s="22" t="n">
        <x:f>IF(COUNT(E1073:F1073)=2,MAX(0,E1073-F1073),"n.a.")</x:f>
        <x:v>500</x:v>
      </x:c>
      <x:c r="H1073" s="26" t="str">
        <x:f>'Inputs'!C12</x:f>
        <x:v>Card B</x:v>
      </x:c>
      <x:c r="I1073" s="26" t="n">
        <x:f>S1068</x:f>
        <x:v>0</x:v>
      </x:c>
      <x:c r="J1073" s="29" t="n">
        <x:f>IF('Inputs'!$D$9="Ready",'Inputs'!E12,"n.a.")</x:f>
        <x:v>0.18</x:v>
      </x:c>
      <x:c r="K1073" s="26" t="n">
        <x:f>IF('Inputs'!$D$9="Ready",'Inputs'!F12,"n.a.")</x:f>
        <x:v>60</x:v>
      </x:c>
      <x:c r="L1073" s="29" t="n">
        <x:f>IF('Inputs'!$D$9="Ready",'Inputs'!G12,"n.a.")</x:f>
        <x:v>0.02</x:v>
      </x:c>
      <x:c r="M1073" s="22" t="n">
        <x:f>IF(COUNT(I1073:L1073)=4,ROUND(I1073*J1073/12,2),"n.a.")</x:f>
        <x:v>0</x:v>
      </x:c>
      <x:c r="N1073" s="22" t="n">
        <x:f>IF(COUNT(I1073:M1073)=5,MIN(I1073+M1073,ROUND(MAX(K1073,I1073*L1073+M1073),2)),"n.a.")</x:f>
        <x:v>0</x:v>
      </x:c>
      <x:c r="O1073" s="30" t="n">
        <x:f>IF(COUNT($I$1072:$I$1076)&lt;&gt;5,"n.a.",IF(I1073=0,6,IF('Inputs'!$D$5=1,COUNTIFS($I$1072:$I$1076,"&gt;0",$I$1072:$I$1076,"&lt;"&amp;I1073)+COUNTIFS($I$1072:I1073,I1073),COUNTIFS($I$1072:$I$1076,"&gt;0",$J$1072:$J$1076,"&gt;"&amp;J1073)+COUNTIFS($I$1072:I1073,"&gt;0",$J$1072:J1073,J1073))))</x:f>
        <x:v>6</x:v>
      </x:c>
      <x:c r="P1073" s="22" t="n">
        <x:f>IF(T1073="Ready",MIN(U1073,MAX(0,G1073-SUMIFS($U$1072:$U$1076,$O$1072:$O$1076,"&lt;"&amp;O1073))),"n.a.")</x:f>
        <x:v>0</x:v>
      </x:c>
      <x:c r="Q1073" s="22" t="n">
        <x:f>IF(T1073="Ready",ROUND(N1073+P1073,2),"n.a.")</x:f>
        <x:v>0</x:v>
      </x:c>
      <x:c r="R1073" s="22" t="n">
        <x:f>IF(T1073="Ready",ROUND(Q1073-M1073,2),"n.a.")</x:f>
        <x:v>0</x:v>
      </x:c>
      <x:c r="S1073" s="22" t="n">
        <x:f>IF(T1073="Ready",MAX(0,ROUND(I1073+M1073-Q1073,2)),"n.a.")</x:f>
        <x:v>0</x:v>
      </x:c>
      <x:c r="T1073" s="22" t="str">
        <x:f>IF(AND(COUNT($I$1072:$I$1076)=5,COUNT(E1073:F1073)=2),IF(E1073&gt;=F1073,"Ready","Budget below minima"),"Check inputs")</x:f>
        <x:v>Ready</x:v>
      </x:c>
      <x:c r="U1073" s="22" t="n">
        <x:f>IF(COUNT(I1073,M1073,N1073)=3,MAX(0,ROUND(I1073+M1073-N1073,2)),"n.a.")</x:f>
        <x:v>0</x:v>
      </x:c>
    </x:row>
    <x:row r="1074" ht="22" customHeight="1">
      <x:c r="A1074" s="2"/>
      <x:c r="B1074" s="2"/>
      <x:c r="C1074" s="27" t="n">
        <x:f>214</x:f>
        <x:v>214</x:v>
      </x:c>
      <x:c r="D1074" s="28" t="n">
        <x:f>IF(ISNUMBER('Inputs'!$D$7),EDATE('Inputs'!$D$7,213),"n.a.")</x:f>
        <x:v>52810</x:v>
      </x:c>
      <x:c r="E1074" s="26" t="n">
        <x:f>IF('Inputs'!$D$9&lt;&gt;"Ready","n.a.",IF(ISNUMBER('Inputs'!E232),IF('Inputs'!E232&gt;=0,'Inputs'!E232,"n.a."),IF('Inputs'!E232="",'Inputs'!$D$6,"n.a.")))</x:f>
        <x:v>500</x:v>
      </x:c>
      <x:c r="F1074" s="22" t="n">
        <x:f>IF(COUNT($N$1072:$N$1076)=5,SUM($N$1072:$N$1076),"n.a.")</x:f>
        <x:v>0</x:v>
      </x:c>
      <x:c r="G1074" s="22" t="n">
        <x:f>IF(COUNT(E1074:F1074)=2,MAX(0,E1074-F1074),"n.a.")</x:f>
        <x:v>500</x:v>
      </x:c>
      <x:c r="H1074" s="26" t="str">
        <x:f>'Inputs'!C13</x:f>
        <x:v>Loan C</x:v>
      </x:c>
      <x:c r="I1074" s="26" t="n">
        <x:f>S1069</x:f>
        <x:v>0</x:v>
      </x:c>
      <x:c r="J1074" s="29" t="n">
        <x:f>IF('Inputs'!$D$9="Ready",'Inputs'!E13,"n.a.")</x:f>
        <x:v>0.08</x:v>
      </x:c>
      <x:c r="K1074" s="26" t="n">
        <x:f>IF('Inputs'!$D$9="Ready",'Inputs'!F13,"n.a.")</x:f>
        <x:v>150</x:v>
      </x:c>
      <x:c r="L1074" s="29" t="n">
        <x:f>IF('Inputs'!$D$9="Ready",'Inputs'!G13,"n.a.")</x:f>
        <x:v>0</x:v>
      </x:c>
      <x:c r="M1074" s="22" t="n">
        <x:f>IF(COUNT(I1074:L1074)=4,ROUND(I1074*J1074/12,2),"n.a.")</x:f>
        <x:v>0</x:v>
      </x:c>
      <x:c r="N1074" s="22" t="n">
        <x:f>IF(COUNT(I1074:M1074)=5,MIN(I1074+M1074,ROUND(MAX(K1074,I1074*L1074+M1074),2)),"n.a.")</x:f>
        <x:v>0</x:v>
      </x:c>
      <x:c r="O1074" s="30" t="n">
        <x:f>IF(COUNT($I$1072:$I$1076)&lt;&gt;5,"n.a.",IF(I1074=0,6,IF('Inputs'!$D$5=1,COUNTIFS($I$1072:$I$1076,"&gt;0",$I$1072:$I$1076,"&lt;"&amp;I1074)+COUNTIFS($I$1072:I1074,I1074),COUNTIFS($I$1072:$I$1076,"&gt;0",$J$1072:$J$1076,"&gt;"&amp;J1074)+COUNTIFS($I$1072:I1074,"&gt;0",$J$1072:J1074,J1074))))</x:f>
        <x:v>6</x:v>
      </x:c>
      <x:c r="P1074" s="22" t="n">
        <x:f>IF(T1074="Ready",MIN(U1074,MAX(0,G1074-SUMIFS($U$1072:$U$1076,$O$1072:$O$1076,"&lt;"&amp;O1074))),"n.a.")</x:f>
        <x:v>0</x:v>
      </x:c>
      <x:c r="Q1074" s="22" t="n">
        <x:f>IF(T1074="Ready",ROUND(N1074+P1074,2),"n.a.")</x:f>
        <x:v>0</x:v>
      </x:c>
      <x:c r="R1074" s="22" t="n">
        <x:f>IF(T1074="Ready",ROUND(Q1074-M1074,2),"n.a.")</x:f>
        <x:v>0</x:v>
      </x:c>
      <x:c r="S1074" s="22" t="n">
        <x:f>IF(T1074="Ready",MAX(0,ROUND(I1074+M1074-Q1074,2)),"n.a.")</x:f>
        <x:v>0</x:v>
      </x:c>
      <x:c r="T1074" s="22" t="str">
        <x:f>IF(AND(COUNT($I$1072:$I$1076)=5,COUNT(E1074:F1074)=2),IF(E1074&gt;=F1074,"Ready","Budget below minima"),"Check inputs")</x:f>
        <x:v>Ready</x:v>
      </x:c>
      <x:c r="U1074" s="22" t="n">
        <x:f>IF(COUNT(I1074,M1074,N1074)=3,MAX(0,ROUND(I1074+M1074-N1074,2)),"n.a.")</x:f>
        <x:v>0</x:v>
      </x:c>
    </x:row>
    <x:row r="1075" ht="22" customHeight="1">
      <x:c r="A1075" s="2"/>
      <x:c r="B1075" s="2"/>
      <x:c r="C1075" s="27" t="n">
        <x:f>214</x:f>
        <x:v>214</x:v>
      </x:c>
      <x:c r="D1075" s="28" t="n">
        <x:f>IF(ISNUMBER('Inputs'!$D$7),EDATE('Inputs'!$D$7,213),"n.a.")</x:f>
        <x:v>52810</x:v>
      </x:c>
      <x:c r="E1075" s="26" t="n">
        <x:f>IF('Inputs'!$D$9&lt;&gt;"Ready","n.a.",IF(ISNUMBER('Inputs'!E232),IF('Inputs'!E232&gt;=0,'Inputs'!E232,"n.a."),IF('Inputs'!E232="",'Inputs'!$D$6,"n.a.")))</x:f>
        <x:v>500</x:v>
      </x:c>
      <x:c r="F1075" s="22" t="n">
        <x:f>IF(COUNT($N$1072:$N$1076)=5,SUM($N$1072:$N$1076),"n.a.")</x:f>
        <x:v>0</x:v>
      </x:c>
      <x:c r="G1075" s="22" t="n">
        <x:f>IF(COUNT(E1075:F1075)=2,MAX(0,E1075-F1075),"n.a.")</x:f>
        <x:v>500</x:v>
      </x:c>
      <x:c r="H1075" s="26" t="str">
        <x:f>'Inputs'!C14</x:f>
        <x:v>Unused 4</x:v>
      </x:c>
      <x:c r="I1075" s="26" t="n">
        <x:f>S1070</x:f>
        <x:v>0</x:v>
      </x:c>
      <x:c r="J1075" s="29" t="n">
        <x:f>IF('Inputs'!$D$9="Ready",'Inputs'!E14,"n.a.")</x:f>
        <x:v>0</x:v>
      </x:c>
      <x:c r="K1075" s="26" t="n">
        <x:f>IF('Inputs'!$D$9="Ready",'Inputs'!F14,"n.a.")</x:f>
        <x:v>0</x:v>
      </x:c>
      <x:c r="L1075" s="29" t="n">
        <x:f>IF('Inputs'!$D$9="Ready",'Inputs'!G14,"n.a.")</x:f>
        <x:v>0</x:v>
      </x:c>
      <x:c r="M1075" s="22" t="n">
        <x:f>IF(COUNT(I1075:L1075)=4,ROUND(I1075*J1075/12,2),"n.a.")</x:f>
        <x:v>0</x:v>
      </x:c>
      <x:c r="N1075" s="22" t="n">
        <x:f>IF(COUNT(I1075:M1075)=5,MIN(I1075+M1075,ROUND(MAX(K1075,I1075*L1075+M1075),2)),"n.a.")</x:f>
        <x:v>0</x:v>
      </x:c>
      <x:c r="O1075" s="30" t="n">
        <x:f>IF(COUNT($I$1072:$I$1076)&lt;&gt;5,"n.a.",IF(I1075=0,6,IF('Inputs'!$D$5=1,COUNTIFS($I$1072:$I$1076,"&gt;0",$I$1072:$I$1076,"&lt;"&amp;I1075)+COUNTIFS($I$1072:I1075,I1075),COUNTIFS($I$1072:$I$1076,"&gt;0",$J$1072:$J$1076,"&gt;"&amp;J1075)+COUNTIFS($I$1072:I1075,"&gt;0",$J$1072:J1075,J1075))))</x:f>
        <x:v>6</x:v>
      </x:c>
      <x:c r="P1075" s="22" t="n">
        <x:f>IF(T1075="Ready",MIN(U1075,MAX(0,G1075-SUMIFS($U$1072:$U$1076,$O$1072:$O$1076,"&lt;"&amp;O1075))),"n.a.")</x:f>
        <x:v>0</x:v>
      </x:c>
      <x:c r="Q1075" s="22" t="n">
        <x:f>IF(T1075="Ready",ROUND(N1075+P1075,2),"n.a.")</x:f>
        <x:v>0</x:v>
      </x:c>
      <x:c r="R1075" s="22" t="n">
        <x:f>IF(T1075="Ready",ROUND(Q1075-M1075,2),"n.a.")</x:f>
        <x:v>0</x:v>
      </x:c>
      <x:c r="S1075" s="22" t="n">
        <x:f>IF(T1075="Ready",MAX(0,ROUND(I1075+M1075-Q1075,2)),"n.a.")</x:f>
        <x:v>0</x:v>
      </x:c>
      <x:c r="T1075" s="22" t="str">
        <x:f>IF(AND(COUNT($I$1072:$I$1076)=5,COUNT(E1075:F1075)=2),IF(E1075&gt;=F1075,"Ready","Budget below minima"),"Check inputs")</x:f>
        <x:v>Ready</x:v>
      </x:c>
      <x:c r="U1075" s="22" t="n">
        <x:f>IF(COUNT(I1075,M1075,N1075)=3,MAX(0,ROUND(I1075+M1075-N1075,2)),"n.a.")</x:f>
        <x:v>0</x:v>
      </x:c>
    </x:row>
    <x:row r="1076" ht="22" customHeight="1">
      <x:c r="A1076" s="2"/>
      <x:c r="B1076" s="2"/>
      <x:c r="C1076" s="27" t="n">
        <x:f>214</x:f>
        <x:v>214</x:v>
      </x:c>
      <x:c r="D1076" s="28" t="n">
        <x:f>IF(ISNUMBER('Inputs'!$D$7),EDATE('Inputs'!$D$7,213),"n.a.")</x:f>
        <x:v>52810</x:v>
      </x:c>
      <x:c r="E1076" s="26" t="n">
        <x:f>IF('Inputs'!$D$9&lt;&gt;"Ready","n.a.",IF(ISNUMBER('Inputs'!E232),IF('Inputs'!E232&gt;=0,'Inputs'!E232,"n.a."),IF('Inputs'!E232="",'Inputs'!$D$6,"n.a.")))</x:f>
        <x:v>500</x:v>
      </x:c>
      <x:c r="F1076" s="22" t="n">
        <x:f>IF(COUNT($N$1072:$N$1076)=5,SUM($N$1072:$N$1076),"n.a.")</x:f>
        <x:v>0</x:v>
      </x:c>
      <x:c r="G1076" s="22" t="n">
        <x:f>IF(COUNT(E1076:F1076)=2,MAX(0,E1076-F1076),"n.a.")</x:f>
        <x:v>500</x:v>
      </x:c>
      <x:c r="H1076" s="26" t="str">
        <x:f>'Inputs'!C15</x:f>
        <x:v>Unused 5</x:v>
      </x:c>
      <x:c r="I1076" s="26" t="n">
        <x:f>S1071</x:f>
        <x:v>0</x:v>
      </x:c>
      <x:c r="J1076" s="29" t="n">
        <x:f>IF('Inputs'!$D$9="Ready",'Inputs'!E15,"n.a.")</x:f>
        <x:v>0</x:v>
      </x:c>
      <x:c r="K1076" s="26" t="n">
        <x:f>IF('Inputs'!$D$9="Ready",'Inputs'!F15,"n.a.")</x:f>
        <x:v>0</x:v>
      </x:c>
      <x:c r="L1076" s="29" t="n">
        <x:f>IF('Inputs'!$D$9="Ready",'Inputs'!G15,"n.a.")</x:f>
        <x:v>0</x:v>
      </x:c>
      <x:c r="M1076" s="22" t="n">
        <x:f>IF(COUNT(I1076:L1076)=4,ROUND(I1076*J1076/12,2),"n.a.")</x:f>
        <x:v>0</x:v>
      </x:c>
      <x:c r="N1076" s="22" t="n">
        <x:f>IF(COUNT(I1076:M1076)=5,MIN(I1076+M1076,ROUND(MAX(K1076,I1076*L1076+M1076),2)),"n.a.")</x:f>
        <x:v>0</x:v>
      </x:c>
      <x:c r="O1076" s="30" t="n">
        <x:f>IF(COUNT($I$1072:$I$1076)&lt;&gt;5,"n.a.",IF(I1076=0,6,IF('Inputs'!$D$5=1,COUNTIFS($I$1072:$I$1076,"&gt;0",$I$1072:$I$1076,"&lt;"&amp;I1076)+COUNTIFS($I$1072:I1076,I1076),COUNTIFS($I$1072:$I$1076,"&gt;0",$J$1072:$J$1076,"&gt;"&amp;J1076)+COUNTIFS($I$1072:I1076,"&gt;0",$J$1072:J1076,J1076))))</x:f>
        <x:v>6</x:v>
      </x:c>
      <x:c r="P1076" s="22" t="n">
        <x:f>IF(T1076="Ready",MIN(U1076,MAX(0,G1076-SUMIFS($U$1072:$U$1076,$O$1072:$O$1076,"&lt;"&amp;O1076))),"n.a.")</x:f>
        <x:v>0</x:v>
      </x:c>
      <x:c r="Q1076" s="22" t="n">
        <x:f>IF(T1076="Ready",ROUND(N1076+P1076,2),"n.a.")</x:f>
        <x:v>0</x:v>
      </x:c>
      <x:c r="R1076" s="22" t="n">
        <x:f>IF(T1076="Ready",ROUND(Q1076-M1076,2),"n.a.")</x:f>
        <x:v>0</x:v>
      </x:c>
      <x:c r="S1076" s="22" t="n">
        <x:f>IF(T1076="Ready",MAX(0,ROUND(I1076+M1076-Q1076,2)),"n.a.")</x:f>
        <x:v>0</x:v>
      </x:c>
      <x:c r="T1076" s="22" t="str">
        <x:f>IF(AND(COUNT($I$1072:$I$1076)=5,COUNT(E1076:F1076)=2),IF(E1076&gt;=F1076,"Ready","Budget below minima"),"Check inputs")</x:f>
        <x:v>Ready</x:v>
      </x:c>
      <x:c r="U1076" s="22" t="n">
        <x:f>IF(COUNT(I1076,M1076,N1076)=3,MAX(0,ROUND(I1076+M1076-N1076,2)),"n.a.")</x:f>
        <x:v>0</x:v>
      </x:c>
    </x:row>
    <x:row r="1077" ht="22" customHeight="1">
      <x:c r="A1077" s="2"/>
      <x:c r="B1077" s="2"/>
      <x:c r="C1077" s="27" t="n">
        <x:f>215</x:f>
        <x:v>215</x:v>
      </x:c>
      <x:c r="D1077" s="28" t="n">
        <x:f>IF(ISNUMBER('Inputs'!$D$7),EDATE('Inputs'!$D$7,214),"n.a.")</x:f>
        <x:v>52841</x:v>
      </x:c>
      <x:c r="E1077" s="26" t="n">
        <x:f>IF('Inputs'!$D$9&lt;&gt;"Ready","n.a.",IF(ISNUMBER('Inputs'!E233),IF('Inputs'!E233&gt;=0,'Inputs'!E233,"n.a."),IF('Inputs'!E233="",'Inputs'!$D$6,"n.a.")))</x:f>
        <x:v>500</x:v>
      </x:c>
      <x:c r="F1077" s="22" t="n">
        <x:f>IF(COUNT($N$1077:$N$1081)=5,SUM($N$1077:$N$1081),"n.a.")</x:f>
        <x:v>0</x:v>
      </x:c>
      <x:c r="G1077" s="22" t="n">
        <x:f>IF(COUNT(E1077:F1077)=2,MAX(0,E1077-F1077),"n.a.")</x:f>
        <x:v>500</x:v>
      </x:c>
      <x:c r="H1077" s="26" t="str">
        <x:f>'Inputs'!C11</x:f>
        <x:v>Card A</x:v>
      </x:c>
      <x:c r="I1077" s="26" t="n">
        <x:f>S1072</x:f>
        <x:v>0</x:v>
      </x:c>
      <x:c r="J1077" s="29" t="n">
        <x:f>IF('Inputs'!$D$9="Ready",'Inputs'!E11,"n.a.")</x:f>
        <x:v>0.24</x:v>
      </x:c>
      <x:c r="K1077" s="26" t="n">
        <x:f>IF('Inputs'!$D$9="Ready",'Inputs'!F11,"n.a.")</x:f>
        <x:v>35</x:v>
      </x:c>
      <x:c r="L1077" s="29" t="n">
        <x:f>IF('Inputs'!$D$9="Ready",'Inputs'!G11,"n.a.")</x:f>
        <x:v>0.02</x:v>
      </x:c>
      <x:c r="M1077" s="22" t="n">
        <x:f>IF(COUNT(I1077:L1077)=4,ROUND(I1077*J1077/12,2),"n.a.")</x:f>
        <x:v>0</x:v>
      </x:c>
      <x:c r="N1077" s="22" t="n">
        <x:f>IF(COUNT(I1077:M1077)=5,MIN(I1077+M1077,ROUND(MAX(K1077,I1077*L1077+M1077),2)),"n.a.")</x:f>
        <x:v>0</x:v>
      </x:c>
      <x:c r="O1077" s="30" t="n">
        <x:f>IF(COUNT($I$1077:$I$1081)&lt;&gt;5,"n.a.",IF(I1077=0,6,IF('Inputs'!$D$5=1,COUNTIFS($I$1077:$I$1081,"&gt;0",$I$1077:$I$1081,"&lt;"&amp;I1077)+COUNTIFS($I$1077:I1077,I1077),COUNTIFS($I$1077:$I$1081,"&gt;0",$J$1077:$J$1081,"&gt;"&amp;J1077)+COUNTIFS($I$1077:I1077,"&gt;0",$J$1077:J1077,J1077))))</x:f>
        <x:v>6</x:v>
      </x:c>
      <x:c r="P1077" s="22" t="n">
        <x:f>IF(T1077="Ready",MIN(U1077,MAX(0,G1077-SUMIFS($U$1077:$U$1081,$O$1077:$O$1081,"&lt;"&amp;O1077))),"n.a.")</x:f>
        <x:v>0</x:v>
      </x:c>
      <x:c r="Q1077" s="22" t="n">
        <x:f>IF(T1077="Ready",ROUND(N1077+P1077,2),"n.a.")</x:f>
        <x:v>0</x:v>
      </x:c>
      <x:c r="R1077" s="22" t="n">
        <x:f>IF(T1077="Ready",ROUND(Q1077-M1077,2),"n.a.")</x:f>
        <x:v>0</x:v>
      </x:c>
      <x:c r="S1077" s="22" t="n">
        <x:f>IF(T1077="Ready",MAX(0,ROUND(I1077+M1077-Q1077,2)),"n.a.")</x:f>
        <x:v>0</x:v>
      </x:c>
      <x:c r="T1077" s="22" t="str">
        <x:f>IF(AND(COUNT($I$1077:$I$1081)=5,COUNT(E1077:F1077)=2),IF(E1077&gt;=F1077,"Ready","Budget below minima"),"Check inputs")</x:f>
        <x:v>Ready</x:v>
      </x:c>
      <x:c r="U1077" s="22" t="n">
        <x:f>IF(COUNT(I1077,M1077,N1077)=3,MAX(0,ROUND(I1077+M1077-N1077,2)),"n.a.")</x:f>
        <x:v>0</x:v>
      </x:c>
    </x:row>
    <x:row r="1078" ht="22" customHeight="1">
      <x:c r="A1078" s="2"/>
      <x:c r="B1078" s="2"/>
      <x:c r="C1078" s="27" t="n">
        <x:f>215</x:f>
        <x:v>215</x:v>
      </x:c>
      <x:c r="D1078" s="28" t="n">
        <x:f>IF(ISNUMBER('Inputs'!$D$7),EDATE('Inputs'!$D$7,214),"n.a.")</x:f>
        <x:v>52841</x:v>
      </x:c>
      <x:c r="E1078" s="26" t="n">
        <x:f>IF('Inputs'!$D$9&lt;&gt;"Ready","n.a.",IF(ISNUMBER('Inputs'!E233),IF('Inputs'!E233&gt;=0,'Inputs'!E233,"n.a."),IF('Inputs'!E233="",'Inputs'!$D$6,"n.a.")))</x:f>
        <x:v>500</x:v>
      </x:c>
      <x:c r="F1078" s="22" t="n">
        <x:f>IF(COUNT($N$1077:$N$1081)=5,SUM($N$1077:$N$1081),"n.a.")</x:f>
        <x:v>0</x:v>
      </x:c>
      <x:c r="G1078" s="22" t="n">
        <x:f>IF(COUNT(E1078:F1078)=2,MAX(0,E1078-F1078),"n.a.")</x:f>
        <x:v>500</x:v>
      </x:c>
      <x:c r="H1078" s="26" t="str">
        <x:f>'Inputs'!C12</x:f>
        <x:v>Card B</x:v>
      </x:c>
      <x:c r="I1078" s="26" t="n">
        <x:f>S1073</x:f>
        <x:v>0</x:v>
      </x:c>
      <x:c r="J1078" s="29" t="n">
        <x:f>IF('Inputs'!$D$9="Ready",'Inputs'!E12,"n.a.")</x:f>
        <x:v>0.18</x:v>
      </x:c>
      <x:c r="K1078" s="26" t="n">
        <x:f>IF('Inputs'!$D$9="Ready",'Inputs'!F12,"n.a.")</x:f>
        <x:v>60</x:v>
      </x:c>
      <x:c r="L1078" s="29" t="n">
        <x:f>IF('Inputs'!$D$9="Ready",'Inputs'!G12,"n.a.")</x:f>
        <x:v>0.02</x:v>
      </x:c>
      <x:c r="M1078" s="22" t="n">
        <x:f>IF(COUNT(I1078:L1078)=4,ROUND(I1078*J1078/12,2),"n.a.")</x:f>
        <x:v>0</x:v>
      </x:c>
      <x:c r="N1078" s="22" t="n">
        <x:f>IF(COUNT(I1078:M1078)=5,MIN(I1078+M1078,ROUND(MAX(K1078,I1078*L1078+M1078),2)),"n.a.")</x:f>
        <x:v>0</x:v>
      </x:c>
      <x:c r="O1078" s="30" t="n">
        <x:f>IF(COUNT($I$1077:$I$1081)&lt;&gt;5,"n.a.",IF(I1078=0,6,IF('Inputs'!$D$5=1,COUNTIFS($I$1077:$I$1081,"&gt;0",$I$1077:$I$1081,"&lt;"&amp;I1078)+COUNTIFS($I$1077:I1078,I1078),COUNTIFS($I$1077:$I$1081,"&gt;0",$J$1077:$J$1081,"&gt;"&amp;J1078)+COUNTIFS($I$1077:I1078,"&gt;0",$J$1077:J1078,J1078))))</x:f>
        <x:v>6</x:v>
      </x:c>
      <x:c r="P1078" s="22" t="n">
        <x:f>IF(T1078="Ready",MIN(U1078,MAX(0,G1078-SUMIFS($U$1077:$U$1081,$O$1077:$O$1081,"&lt;"&amp;O1078))),"n.a.")</x:f>
        <x:v>0</x:v>
      </x:c>
      <x:c r="Q1078" s="22" t="n">
        <x:f>IF(T1078="Ready",ROUND(N1078+P1078,2),"n.a.")</x:f>
        <x:v>0</x:v>
      </x:c>
      <x:c r="R1078" s="22" t="n">
        <x:f>IF(T1078="Ready",ROUND(Q1078-M1078,2),"n.a.")</x:f>
        <x:v>0</x:v>
      </x:c>
      <x:c r="S1078" s="22" t="n">
        <x:f>IF(T1078="Ready",MAX(0,ROUND(I1078+M1078-Q1078,2)),"n.a.")</x:f>
        <x:v>0</x:v>
      </x:c>
      <x:c r="T1078" s="22" t="str">
        <x:f>IF(AND(COUNT($I$1077:$I$1081)=5,COUNT(E1078:F1078)=2),IF(E1078&gt;=F1078,"Ready","Budget below minima"),"Check inputs")</x:f>
        <x:v>Ready</x:v>
      </x:c>
      <x:c r="U1078" s="22" t="n">
        <x:f>IF(COUNT(I1078,M1078,N1078)=3,MAX(0,ROUND(I1078+M1078-N1078,2)),"n.a.")</x:f>
        <x:v>0</x:v>
      </x:c>
    </x:row>
    <x:row r="1079" ht="22" customHeight="1">
      <x:c r="A1079" s="2"/>
      <x:c r="B1079" s="2"/>
      <x:c r="C1079" s="27" t="n">
        <x:f>215</x:f>
        <x:v>215</x:v>
      </x:c>
      <x:c r="D1079" s="28" t="n">
        <x:f>IF(ISNUMBER('Inputs'!$D$7),EDATE('Inputs'!$D$7,214),"n.a.")</x:f>
        <x:v>52841</x:v>
      </x:c>
      <x:c r="E1079" s="26" t="n">
        <x:f>IF('Inputs'!$D$9&lt;&gt;"Ready","n.a.",IF(ISNUMBER('Inputs'!E233),IF('Inputs'!E233&gt;=0,'Inputs'!E233,"n.a."),IF('Inputs'!E233="",'Inputs'!$D$6,"n.a.")))</x:f>
        <x:v>500</x:v>
      </x:c>
      <x:c r="F1079" s="22" t="n">
        <x:f>IF(COUNT($N$1077:$N$1081)=5,SUM($N$1077:$N$1081),"n.a.")</x:f>
        <x:v>0</x:v>
      </x:c>
      <x:c r="G1079" s="22" t="n">
        <x:f>IF(COUNT(E1079:F1079)=2,MAX(0,E1079-F1079),"n.a.")</x:f>
        <x:v>500</x:v>
      </x:c>
      <x:c r="H1079" s="26" t="str">
        <x:f>'Inputs'!C13</x:f>
        <x:v>Loan C</x:v>
      </x:c>
      <x:c r="I1079" s="26" t="n">
        <x:f>S1074</x:f>
        <x:v>0</x:v>
      </x:c>
      <x:c r="J1079" s="29" t="n">
        <x:f>IF('Inputs'!$D$9="Ready",'Inputs'!E13,"n.a.")</x:f>
        <x:v>0.08</x:v>
      </x:c>
      <x:c r="K1079" s="26" t="n">
        <x:f>IF('Inputs'!$D$9="Ready",'Inputs'!F13,"n.a.")</x:f>
        <x:v>150</x:v>
      </x:c>
      <x:c r="L1079" s="29" t="n">
        <x:f>IF('Inputs'!$D$9="Ready",'Inputs'!G13,"n.a.")</x:f>
        <x:v>0</x:v>
      </x:c>
      <x:c r="M1079" s="22" t="n">
        <x:f>IF(COUNT(I1079:L1079)=4,ROUND(I1079*J1079/12,2),"n.a.")</x:f>
        <x:v>0</x:v>
      </x:c>
      <x:c r="N1079" s="22" t="n">
        <x:f>IF(COUNT(I1079:M1079)=5,MIN(I1079+M1079,ROUND(MAX(K1079,I1079*L1079+M1079),2)),"n.a.")</x:f>
        <x:v>0</x:v>
      </x:c>
      <x:c r="O1079" s="30" t="n">
        <x:f>IF(COUNT($I$1077:$I$1081)&lt;&gt;5,"n.a.",IF(I1079=0,6,IF('Inputs'!$D$5=1,COUNTIFS($I$1077:$I$1081,"&gt;0",$I$1077:$I$1081,"&lt;"&amp;I1079)+COUNTIFS($I$1077:I1079,I1079),COUNTIFS($I$1077:$I$1081,"&gt;0",$J$1077:$J$1081,"&gt;"&amp;J1079)+COUNTIFS($I$1077:I1079,"&gt;0",$J$1077:J1079,J1079))))</x:f>
        <x:v>6</x:v>
      </x:c>
      <x:c r="P1079" s="22" t="n">
        <x:f>IF(T1079="Ready",MIN(U1079,MAX(0,G1079-SUMIFS($U$1077:$U$1081,$O$1077:$O$1081,"&lt;"&amp;O1079))),"n.a.")</x:f>
        <x:v>0</x:v>
      </x:c>
      <x:c r="Q1079" s="22" t="n">
        <x:f>IF(T1079="Ready",ROUND(N1079+P1079,2),"n.a.")</x:f>
        <x:v>0</x:v>
      </x:c>
      <x:c r="R1079" s="22" t="n">
        <x:f>IF(T1079="Ready",ROUND(Q1079-M1079,2),"n.a.")</x:f>
        <x:v>0</x:v>
      </x:c>
      <x:c r="S1079" s="22" t="n">
        <x:f>IF(T1079="Ready",MAX(0,ROUND(I1079+M1079-Q1079,2)),"n.a.")</x:f>
        <x:v>0</x:v>
      </x:c>
      <x:c r="T1079" s="22" t="str">
        <x:f>IF(AND(COUNT($I$1077:$I$1081)=5,COUNT(E1079:F1079)=2),IF(E1079&gt;=F1079,"Ready","Budget below minima"),"Check inputs")</x:f>
        <x:v>Ready</x:v>
      </x:c>
      <x:c r="U1079" s="22" t="n">
        <x:f>IF(COUNT(I1079,M1079,N1079)=3,MAX(0,ROUND(I1079+M1079-N1079,2)),"n.a.")</x:f>
        <x:v>0</x:v>
      </x:c>
    </x:row>
    <x:row r="1080" ht="22" customHeight="1">
      <x:c r="A1080" s="2"/>
      <x:c r="B1080" s="2"/>
      <x:c r="C1080" s="27" t="n">
        <x:f>215</x:f>
        <x:v>215</x:v>
      </x:c>
      <x:c r="D1080" s="28" t="n">
        <x:f>IF(ISNUMBER('Inputs'!$D$7),EDATE('Inputs'!$D$7,214),"n.a.")</x:f>
        <x:v>52841</x:v>
      </x:c>
      <x:c r="E1080" s="26" t="n">
        <x:f>IF('Inputs'!$D$9&lt;&gt;"Ready","n.a.",IF(ISNUMBER('Inputs'!E233),IF('Inputs'!E233&gt;=0,'Inputs'!E233,"n.a."),IF('Inputs'!E233="",'Inputs'!$D$6,"n.a.")))</x:f>
        <x:v>500</x:v>
      </x:c>
      <x:c r="F1080" s="22" t="n">
        <x:f>IF(COUNT($N$1077:$N$1081)=5,SUM($N$1077:$N$1081),"n.a.")</x:f>
        <x:v>0</x:v>
      </x:c>
      <x:c r="G1080" s="22" t="n">
        <x:f>IF(COUNT(E1080:F1080)=2,MAX(0,E1080-F1080),"n.a.")</x:f>
        <x:v>500</x:v>
      </x:c>
      <x:c r="H1080" s="26" t="str">
        <x:f>'Inputs'!C14</x:f>
        <x:v>Unused 4</x:v>
      </x:c>
      <x:c r="I1080" s="26" t="n">
        <x:f>S1075</x:f>
        <x:v>0</x:v>
      </x:c>
      <x:c r="J1080" s="29" t="n">
        <x:f>IF('Inputs'!$D$9="Ready",'Inputs'!E14,"n.a.")</x:f>
        <x:v>0</x:v>
      </x:c>
      <x:c r="K1080" s="26" t="n">
        <x:f>IF('Inputs'!$D$9="Ready",'Inputs'!F14,"n.a.")</x:f>
        <x:v>0</x:v>
      </x:c>
      <x:c r="L1080" s="29" t="n">
        <x:f>IF('Inputs'!$D$9="Ready",'Inputs'!G14,"n.a.")</x:f>
        <x:v>0</x:v>
      </x:c>
      <x:c r="M1080" s="22" t="n">
        <x:f>IF(COUNT(I1080:L1080)=4,ROUND(I1080*J1080/12,2),"n.a.")</x:f>
        <x:v>0</x:v>
      </x:c>
      <x:c r="N1080" s="22" t="n">
        <x:f>IF(COUNT(I1080:M1080)=5,MIN(I1080+M1080,ROUND(MAX(K1080,I1080*L1080+M1080),2)),"n.a.")</x:f>
        <x:v>0</x:v>
      </x:c>
      <x:c r="O1080" s="30" t="n">
        <x:f>IF(COUNT($I$1077:$I$1081)&lt;&gt;5,"n.a.",IF(I1080=0,6,IF('Inputs'!$D$5=1,COUNTIFS($I$1077:$I$1081,"&gt;0",$I$1077:$I$1081,"&lt;"&amp;I1080)+COUNTIFS($I$1077:I1080,I1080),COUNTIFS($I$1077:$I$1081,"&gt;0",$J$1077:$J$1081,"&gt;"&amp;J1080)+COUNTIFS($I$1077:I1080,"&gt;0",$J$1077:J1080,J1080))))</x:f>
        <x:v>6</x:v>
      </x:c>
      <x:c r="P1080" s="22" t="n">
        <x:f>IF(T1080="Ready",MIN(U1080,MAX(0,G1080-SUMIFS($U$1077:$U$1081,$O$1077:$O$1081,"&lt;"&amp;O1080))),"n.a.")</x:f>
        <x:v>0</x:v>
      </x:c>
      <x:c r="Q1080" s="22" t="n">
        <x:f>IF(T1080="Ready",ROUND(N1080+P1080,2),"n.a.")</x:f>
        <x:v>0</x:v>
      </x:c>
      <x:c r="R1080" s="22" t="n">
        <x:f>IF(T1080="Ready",ROUND(Q1080-M1080,2),"n.a.")</x:f>
        <x:v>0</x:v>
      </x:c>
      <x:c r="S1080" s="22" t="n">
        <x:f>IF(T1080="Ready",MAX(0,ROUND(I1080+M1080-Q1080,2)),"n.a.")</x:f>
        <x:v>0</x:v>
      </x:c>
      <x:c r="T1080" s="22" t="str">
        <x:f>IF(AND(COUNT($I$1077:$I$1081)=5,COUNT(E1080:F1080)=2),IF(E1080&gt;=F1080,"Ready","Budget below minima"),"Check inputs")</x:f>
        <x:v>Ready</x:v>
      </x:c>
      <x:c r="U1080" s="22" t="n">
        <x:f>IF(COUNT(I1080,M1080,N1080)=3,MAX(0,ROUND(I1080+M1080-N1080,2)),"n.a.")</x:f>
        <x:v>0</x:v>
      </x:c>
    </x:row>
    <x:row r="1081" ht="22" customHeight="1">
      <x:c r="A1081" s="2"/>
      <x:c r="B1081" s="2"/>
      <x:c r="C1081" s="27" t="n">
        <x:f>215</x:f>
        <x:v>215</x:v>
      </x:c>
      <x:c r="D1081" s="28" t="n">
        <x:f>IF(ISNUMBER('Inputs'!$D$7),EDATE('Inputs'!$D$7,214),"n.a.")</x:f>
        <x:v>52841</x:v>
      </x:c>
      <x:c r="E1081" s="26" t="n">
        <x:f>IF('Inputs'!$D$9&lt;&gt;"Ready","n.a.",IF(ISNUMBER('Inputs'!E233),IF('Inputs'!E233&gt;=0,'Inputs'!E233,"n.a."),IF('Inputs'!E233="",'Inputs'!$D$6,"n.a.")))</x:f>
        <x:v>500</x:v>
      </x:c>
      <x:c r="F1081" s="22" t="n">
        <x:f>IF(COUNT($N$1077:$N$1081)=5,SUM($N$1077:$N$1081),"n.a.")</x:f>
        <x:v>0</x:v>
      </x:c>
      <x:c r="G1081" s="22" t="n">
        <x:f>IF(COUNT(E1081:F1081)=2,MAX(0,E1081-F1081),"n.a.")</x:f>
        <x:v>500</x:v>
      </x:c>
      <x:c r="H1081" s="26" t="str">
        <x:f>'Inputs'!C15</x:f>
        <x:v>Unused 5</x:v>
      </x:c>
      <x:c r="I1081" s="26" t="n">
        <x:f>S1076</x:f>
        <x:v>0</x:v>
      </x:c>
      <x:c r="J1081" s="29" t="n">
        <x:f>IF('Inputs'!$D$9="Ready",'Inputs'!E15,"n.a.")</x:f>
        <x:v>0</x:v>
      </x:c>
      <x:c r="K1081" s="26" t="n">
        <x:f>IF('Inputs'!$D$9="Ready",'Inputs'!F15,"n.a.")</x:f>
        <x:v>0</x:v>
      </x:c>
      <x:c r="L1081" s="29" t="n">
        <x:f>IF('Inputs'!$D$9="Ready",'Inputs'!G15,"n.a.")</x:f>
        <x:v>0</x:v>
      </x:c>
      <x:c r="M1081" s="22" t="n">
        <x:f>IF(COUNT(I1081:L1081)=4,ROUND(I1081*J1081/12,2),"n.a.")</x:f>
        <x:v>0</x:v>
      </x:c>
      <x:c r="N1081" s="22" t="n">
        <x:f>IF(COUNT(I1081:M1081)=5,MIN(I1081+M1081,ROUND(MAX(K1081,I1081*L1081+M1081),2)),"n.a.")</x:f>
        <x:v>0</x:v>
      </x:c>
      <x:c r="O1081" s="30" t="n">
        <x:f>IF(COUNT($I$1077:$I$1081)&lt;&gt;5,"n.a.",IF(I1081=0,6,IF('Inputs'!$D$5=1,COUNTIFS($I$1077:$I$1081,"&gt;0",$I$1077:$I$1081,"&lt;"&amp;I1081)+COUNTIFS($I$1077:I1081,I1081),COUNTIFS($I$1077:$I$1081,"&gt;0",$J$1077:$J$1081,"&gt;"&amp;J1081)+COUNTIFS($I$1077:I1081,"&gt;0",$J$1077:J1081,J1081))))</x:f>
        <x:v>6</x:v>
      </x:c>
      <x:c r="P1081" s="22" t="n">
        <x:f>IF(T1081="Ready",MIN(U1081,MAX(0,G1081-SUMIFS($U$1077:$U$1081,$O$1077:$O$1081,"&lt;"&amp;O1081))),"n.a.")</x:f>
        <x:v>0</x:v>
      </x:c>
      <x:c r="Q1081" s="22" t="n">
        <x:f>IF(T1081="Ready",ROUND(N1081+P1081,2),"n.a.")</x:f>
        <x:v>0</x:v>
      </x:c>
      <x:c r="R1081" s="22" t="n">
        <x:f>IF(T1081="Ready",ROUND(Q1081-M1081,2),"n.a.")</x:f>
        <x:v>0</x:v>
      </x:c>
      <x:c r="S1081" s="22" t="n">
        <x:f>IF(T1081="Ready",MAX(0,ROUND(I1081+M1081-Q1081,2)),"n.a.")</x:f>
        <x:v>0</x:v>
      </x:c>
      <x:c r="T1081" s="22" t="str">
        <x:f>IF(AND(COUNT($I$1077:$I$1081)=5,COUNT(E1081:F1081)=2),IF(E1081&gt;=F1081,"Ready","Budget below minima"),"Check inputs")</x:f>
        <x:v>Ready</x:v>
      </x:c>
      <x:c r="U1081" s="22" t="n">
        <x:f>IF(COUNT(I1081,M1081,N1081)=3,MAX(0,ROUND(I1081+M1081-N1081,2)),"n.a.")</x:f>
        <x:v>0</x:v>
      </x:c>
    </x:row>
    <x:row r="1082" ht="22" customHeight="1">
      <x:c r="A1082" s="2"/>
      <x:c r="B1082" s="2"/>
      <x:c r="C1082" s="27" t="n">
        <x:f>216</x:f>
        <x:v>216</x:v>
      </x:c>
      <x:c r="D1082" s="28" t="n">
        <x:f>IF(ISNUMBER('Inputs'!$D$7),EDATE('Inputs'!$D$7,215),"n.a.")</x:f>
        <x:v>52871</x:v>
      </x:c>
      <x:c r="E1082" s="26" t="n">
        <x:f>IF('Inputs'!$D$9&lt;&gt;"Ready","n.a.",IF(ISNUMBER('Inputs'!E234),IF('Inputs'!E234&gt;=0,'Inputs'!E234,"n.a."),IF('Inputs'!E234="",'Inputs'!$D$6,"n.a.")))</x:f>
        <x:v>500</x:v>
      </x:c>
      <x:c r="F1082" s="22" t="n">
        <x:f>IF(COUNT($N$1082:$N$1086)=5,SUM($N$1082:$N$1086),"n.a.")</x:f>
        <x:v>0</x:v>
      </x:c>
      <x:c r="G1082" s="22" t="n">
        <x:f>IF(COUNT(E1082:F1082)=2,MAX(0,E1082-F1082),"n.a.")</x:f>
        <x:v>500</x:v>
      </x:c>
      <x:c r="H1082" s="26" t="str">
        <x:f>'Inputs'!C11</x:f>
        <x:v>Card A</x:v>
      </x:c>
      <x:c r="I1082" s="26" t="n">
        <x:f>S1077</x:f>
        <x:v>0</x:v>
      </x:c>
      <x:c r="J1082" s="29" t="n">
        <x:f>IF('Inputs'!$D$9="Ready",'Inputs'!E11,"n.a.")</x:f>
        <x:v>0.24</x:v>
      </x:c>
      <x:c r="K1082" s="26" t="n">
        <x:f>IF('Inputs'!$D$9="Ready",'Inputs'!F11,"n.a.")</x:f>
        <x:v>35</x:v>
      </x:c>
      <x:c r="L1082" s="29" t="n">
        <x:f>IF('Inputs'!$D$9="Ready",'Inputs'!G11,"n.a.")</x:f>
        <x:v>0.02</x:v>
      </x:c>
      <x:c r="M1082" s="22" t="n">
        <x:f>IF(COUNT(I1082:L1082)=4,ROUND(I1082*J1082/12,2),"n.a.")</x:f>
        <x:v>0</x:v>
      </x:c>
      <x:c r="N1082" s="22" t="n">
        <x:f>IF(COUNT(I1082:M1082)=5,MIN(I1082+M1082,ROUND(MAX(K1082,I1082*L1082+M1082),2)),"n.a.")</x:f>
        <x:v>0</x:v>
      </x:c>
      <x:c r="O1082" s="30" t="n">
        <x:f>IF(COUNT($I$1082:$I$1086)&lt;&gt;5,"n.a.",IF(I1082=0,6,IF('Inputs'!$D$5=1,COUNTIFS($I$1082:$I$1086,"&gt;0",$I$1082:$I$1086,"&lt;"&amp;I1082)+COUNTIFS($I$1082:I1082,I1082),COUNTIFS($I$1082:$I$1086,"&gt;0",$J$1082:$J$1086,"&gt;"&amp;J1082)+COUNTIFS($I$1082:I1082,"&gt;0",$J$1082:J1082,J1082))))</x:f>
        <x:v>6</x:v>
      </x:c>
      <x:c r="P1082" s="22" t="n">
        <x:f>IF(T1082="Ready",MIN(U1082,MAX(0,G1082-SUMIFS($U$1082:$U$1086,$O$1082:$O$1086,"&lt;"&amp;O1082))),"n.a.")</x:f>
        <x:v>0</x:v>
      </x:c>
      <x:c r="Q1082" s="22" t="n">
        <x:f>IF(T1082="Ready",ROUND(N1082+P1082,2),"n.a.")</x:f>
        <x:v>0</x:v>
      </x:c>
      <x:c r="R1082" s="22" t="n">
        <x:f>IF(T1082="Ready",ROUND(Q1082-M1082,2),"n.a.")</x:f>
        <x:v>0</x:v>
      </x:c>
      <x:c r="S1082" s="22" t="n">
        <x:f>IF(T1082="Ready",MAX(0,ROUND(I1082+M1082-Q1082,2)),"n.a.")</x:f>
        <x:v>0</x:v>
      </x:c>
      <x:c r="T1082" s="22" t="str">
        <x:f>IF(AND(COUNT($I$1082:$I$1086)=5,COUNT(E1082:F1082)=2),IF(E1082&gt;=F1082,"Ready","Budget below minima"),"Check inputs")</x:f>
        <x:v>Ready</x:v>
      </x:c>
      <x:c r="U1082" s="22" t="n">
        <x:f>IF(COUNT(I1082,M1082,N1082)=3,MAX(0,ROUND(I1082+M1082-N1082,2)),"n.a.")</x:f>
        <x:v>0</x:v>
      </x:c>
    </x:row>
    <x:row r="1083" ht="22" customHeight="1">
      <x:c r="A1083" s="2"/>
      <x:c r="B1083" s="2"/>
      <x:c r="C1083" s="27" t="n">
        <x:f>216</x:f>
        <x:v>216</x:v>
      </x:c>
      <x:c r="D1083" s="28" t="n">
        <x:f>IF(ISNUMBER('Inputs'!$D$7),EDATE('Inputs'!$D$7,215),"n.a.")</x:f>
        <x:v>52871</x:v>
      </x:c>
      <x:c r="E1083" s="26" t="n">
        <x:f>IF('Inputs'!$D$9&lt;&gt;"Ready","n.a.",IF(ISNUMBER('Inputs'!E234),IF('Inputs'!E234&gt;=0,'Inputs'!E234,"n.a."),IF('Inputs'!E234="",'Inputs'!$D$6,"n.a.")))</x:f>
        <x:v>500</x:v>
      </x:c>
      <x:c r="F1083" s="22" t="n">
        <x:f>IF(COUNT($N$1082:$N$1086)=5,SUM($N$1082:$N$1086),"n.a.")</x:f>
        <x:v>0</x:v>
      </x:c>
      <x:c r="G1083" s="22" t="n">
        <x:f>IF(COUNT(E1083:F1083)=2,MAX(0,E1083-F1083),"n.a.")</x:f>
        <x:v>500</x:v>
      </x:c>
      <x:c r="H1083" s="26" t="str">
        <x:f>'Inputs'!C12</x:f>
        <x:v>Card B</x:v>
      </x:c>
      <x:c r="I1083" s="26" t="n">
        <x:f>S1078</x:f>
        <x:v>0</x:v>
      </x:c>
      <x:c r="J1083" s="29" t="n">
        <x:f>IF('Inputs'!$D$9="Ready",'Inputs'!E12,"n.a.")</x:f>
        <x:v>0.18</x:v>
      </x:c>
      <x:c r="K1083" s="26" t="n">
        <x:f>IF('Inputs'!$D$9="Ready",'Inputs'!F12,"n.a.")</x:f>
        <x:v>60</x:v>
      </x:c>
      <x:c r="L1083" s="29" t="n">
        <x:f>IF('Inputs'!$D$9="Ready",'Inputs'!G12,"n.a.")</x:f>
        <x:v>0.02</x:v>
      </x:c>
      <x:c r="M1083" s="22" t="n">
        <x:f>IF(COUNT(I1083:L1083)=4,ROUND(I1083*J1083/12,2),"n.a.")</x:f>
        <x:v>0</x:v>
      </x:c>
      <x:c r="N1083" s="22" t="n">
        <x:f>IF(COUNT(I1083:M1083)=5,MIN(I1083+M1083,ROUND(MAX(K1083,I1083*L1083+M1083),2)),"n.a.")</x:f>
        <x:v>0</x:v>
      </x:c>
      <x:c r="O1083" s="30" t="n">
        <x:f>IF(COUNT($I$1082:$I$1086)&lt;&gt;5,"n.a.",IF(I1083=0,6,IF('Inputs'!$D$5=1,COUNTIFS($I$1082:$I$1086,"&gt;0",$I$1082:$I$1086,"&lt;"&amp;I1083)+COUNTIFS($I$1082:I1083,I1083),COUNTIFS($I$1082:$I$1086,"&gt;0",$J$1082:$J$1086,"&gt;"&amp;J1083)+COUNTIFS($I$1082:I1083,"&gt;0",$J$1082:J1083,J1083))))</x:f>
        <x:v>6</x:v>
      </x:c>
      <x:c r="P1083" s="22" t="n">
        <x:f>IF(T1083="Ready",MIN(U1083,MAX(0,G1083-SUMIFS($U$1082:$U$1086,$O$1082:$O$1086,"&lt;"&amp;O1083))),"n.a.")</x:f>
        <x:v>0</x:v>
      </x:c>
      <x:c r="Q1083" s="22" t="n">
        <x:f>IF(T1083="Ready",ROUND(N1083+P1083,2),"n.a.")</x:f>
        <x:v>0</x:v>
      </x:c>
      <x:c r="R1083" s="22" t="n">
        <x:f>IF(T1083="Ready",ROUND(Q1083-M1083,2),"n.a.")</x:f>
        <x:v>0</x:v>
      </x:c>
      <x:c r="S1083" s="22" t="n">
        <x:f>IF(T1083="Ready",MAX(0,ROUND(I1083+M1083-Q1083,2)),"n.a.")</x:f>
        <x:v>0</x:v>
      </x:c>
      <x:c r="T1083" s="22" t="str">
        <x:f>IF(AND(COUNT($I$1082:$I$1086)=5,COUNT(E1083:F1083)=2),IF(E1083&gt;=F1083,"Ready","Budget below minima"),"Check inputs")</x:f>
        <x:v>Ready</x:v>
      </x:c>
      <x:c r="U1083" s="22" t="n">
        <x:f>IF(COUNT(I1083,M1083,N1083)=3,MAX(0,ROUND(I1083+M1083-N1083,2)),"n.a.")</x:f>
        <x:v>0</x:v>
      </x:c>
    </x:row>
    <x:row r="1084" ht="22" customHeight="1">
      <x:c r="A1084" s="2"/>
      <x:c r="B1084" s="2"/>
      <x:c r="C1084" s="27" t="n">
        <x:f>216</x:f>
        <x:v>216</x:v>
      </x:c>
      <x:c r="D1084" s="28" t="n">
        <x:f>IF(ISNUMBER('Inputs'!$D$7),EDATE('Inputs'!$D$7,215),"n.a.")</x:f>
        <x:v>52871</x:v>
      </x:c>
      <x:c r="E1084" s="26" t="n">
        <x:f>IF('Inputs'!$D$9&lt;&gt;"Ready","n.a.",IF(ISNUMBER('Inputs'!E234),IF('Inputs'!E234&gt;=0,'Inputs'!E234,"n.a."),IF('Inputs'!E234="",'Inputs'!$D$6,"n.a.")))</x:f>
        <x:v>500</x:v>
      </x:c>
      <x:c r="F1084" s="22" t="n">
        <x:f>IF(COUNT($N$1082:$N$1086)=5,SUM($N$1082:$N$1086),"n.a.")</x:f>
        <x:v>0</x:v>
      </x:c>
      <x:c r="G1084" s="22" t="n">
        <x:f>IF(COUNT(E1084:F1084)=2,MAX(0,E1084-F1084),"n.a.")</x:f>
        <x:v>500</x:v>
      </x:c>
      <x:c r="H1084" s="26" t="str">
        <x:f>'Inputs'!C13</x:f>
        <x:v>Loan C</x:v>
      </x:c>
      <x:c r="I1084" s="26" t="n">
        <x:f>S1079</x:f>
        <x:v>0</x:v>
      </x:c>
      <x:c r="J1084" s="29" t="n">
        <x:f>IF('Inputs'!$D$9="Ready",'Inputs'!E13,"n.a.")</x:f>
        <x:v>0.08</x:v>
      </x:c>
      <x:c r="K1084" s="26" t="n">
        <x:f>IF('Inputs'!$D$9="Ready",'Inputs'!F13,"n.a.")</x:f>
        <x:v>150</x:v>
      </x:c>
      <x:c r="L1084" s="29" t="n">
        <x:f>IF('Inputs'!$D$9="Ready",'Inputs'!G13,"n.a.")</x:f>
        <x:v>0</x:v>
      </x:c>
      <x:c r="M1084" s="22" t="n">
        <x:f>IF(COUNT(I1084:L1084)=4,ROUND(I1084*J1084/12,2),"n.a.")</x:f>
        <x:v>0</x:v>
      </x:c>
      <x:c r="N1084" s="22" t="n">
        <x:f>IF(COUNT(I1084:M1084)=5,MIN(I1084+M1084,ROUND(MAX(K1084,I1084*L1084+M1084),2)),"n.a.")</x:f>
        <x:v>0</x:v>
      </x:c>
      <x:c r="O1084" s="30" t="n">
        <x:f>IF(COUNT($I$1082:$I$1086)&lt;&gt;5,"n.a.",IF(I1084=0,6,IF('Inputs'!$D$5=1,COUNTIFS($I$1082:$I$1086,"&gt;0",$I$1082:$I$1086,"&lt;"&amp;I1084)+COUNTIFS($I$1082:I1084,I1084),COUNTIFS($I$1082:$I$1086,"&gt;0",$J$1082:$J$1086,"&gt;"&amp;J1084)+COUNTIFS($I$1082:I1084,"&gt;0",$J$1082:J1084,J1084))))</x:f>
        <x:v>6</x:v>
      </x:c>
      <x:c r="P1084" s="22" t="n">
        <x:f>IF(T1084="Ready",MIN(U1084,MAX(0,G1084-SUMIFS($U$1082:$U$1086,$O$1082:$O$1086,"&lt;"&amp;O1084))),"n.a.")</x:f>
        <x:v>0</x:v>
      </x:c>
      <x:c r="Q1084" s="22" t="n">
        <x:f>IF(T1084="Ready",ROUND(N1084+P1084,2),"n.a.")</x:f>
        <x:v>0</x:v>
      </x:c>
      <x:c r="R1084" s="22" t="n">
        <x:f>IF(T1084="Ready",ROUND(Q1084-M1084,2),"n.a.")</x:f>
        <x:v>0</x:v>
      </x:c>
      <x:c r="S1084" s="22" t="n">
        <x:f>IF(T1084="Ready",MAX(0,ROUND(I1084+M1084-Q1084,2)),"n.a.")</x:f>
        <x:v>0</x:v>
      </x:c>
      <x:c r="T1084" s="22" t="str">
        <x:f>IF(AND(COUNT($I$1082:$I$1086)=5,COUNT(E1084:F1084)=2),IF(E1084&gt;=F1084,"Ready","Budget below minima"),"Check inputs")</x:f>
        <x:v>Ready</x:v>
      </x:c>
      <x:c r="U1084" s="22" t="n">
        <x:f>IF(COUNT(I1084,M1084,N1084)=3,MAX(0,ROUND(I1084+M1084-N1084,2)),"n.a.")</x:f>
        <x:v>0</x:v>
      </x:c>
    </x:row>
    <x:row r="1085" ht="22" customHeight="1">
      <x:c r="A1085" s="2"/>
      <x:c r="B1085" s="2"/>
      <x:c r="C1085" s="27" t="n">
        <x:f>216</x:f>
        <x:v>216</x:v>
      </x:c>
      <x:c r="D1085" s="28" t="n">
        <x:f>IF(ISNUMBER('Inputs'!$D$7),EDATE('Inputs'!$D$7,215),"n.a.")</x:f>
        <x:v>52871</x:v>
      </x:c>
      <x:c r="E1085" s="26" t="n">
        <x:f>IF('Inputs'!$D$9&lt;&gt;"Ready","n.a.",IF(ISNUMBER('Inputs'!E234),IF('Inputs'!E234&gt;=0,'Inputs'!E234,"n.a."),IF('Inputs'!E234="",'Inputs'!$D$6,"n.a.")))</x:f>
        <x:v>500</x:v>
      </x:c>
      <x:c r="F1085" s="22" t="n">
        <x:f>IF(COUNT($N$1082:$N$1086)=5,SUM($N$1082:$N$1086),"n.a.")</x:f>
        <x:v>0</x:v>
      </x:c>
      <x:c r="G1085" s="22" t="n">
        <x:f>IF(COUNT(E1085:F1085)=2,MAX(0,E1085-F1085),"n.a.")</x:f>
        <x:v>500</x:v>
      </x:c>
      <x:c r="H1085" s="26" t="str">
        <x:f>'Inputs'!C14</x:f>
        <x:v>Unused 4</x:v>
      </x:c>
      <x:c r="I1085" s="26" t="n">
        <x:f>S1080</x:f>
        <x:v>0</x:v>
      </x:c>
      <x:c r="J1085" s="29" t="n">
        <x:f>IF('Inputs'!$D$9="Ready",'Inputs'!E14,"n.a.")</x:f>
        <x:v>0</x:v>
      </x:c>
      <x:c r="K1085" s="26" t="n">
        <x:f>IF('Inputs'!$D$9="Ready",'Inputs'!F14,"n.a.")</x:f>
        <x:v>0</x:v>
      </x:c>
      <x:c r="L1085" s="29" t="n">
        <x:f>IF('Inputs'!$D$9="Ready",'Inputs'!G14,"n.a.")</x:f>
        <x:v>0</x:v>
      </x:c>
      <x:c r="M1085" s="22" t="n">
        <x:f>IF(COUNT(I1085:L1085)=4,ROUND(I1085*J1085/12,2),"n.a.")</x:f>
        <x:v>0</x:v>
      </x:c>
      <x:c r="N1085" s="22" t="n">
        <x:f>IF(COUNT(I1085:M1085)=5,MIN(I1085+M1085,ROUND(MAX(K1085,I1085*L1085+M1085),2)),"n.a.")</x:f>
        <x:v>0</x:v>
      </x:c>
      <x:c r="O1085" s="30" t="n">
        <x:f>IF(COUNT($I$1082:$I$1086)&lt;&gt;5,"n.a.",IF(I1085=0,6,IF('Inputs'!$D$5=1,COUNTIFS($I$1082:$I$1086,"&gt;0",$I$1082:$I$1086,"&lt;"&amp;I1085)+COUNTIFS($I$1082:I1085,I1085),COUNTIFS($I$1082:$I$1086,"&gt;0",$J$1082:$J$1086,"&gt;"&amp;J1085)+COUNTIFS($I$1082:I1085,"&gt;0",$J$1082:J1085,J1085))))</x:f>
        <x:v>6</x:v>
      </x:c>
      <x:c r="P1085" s="22" t="n">
        <x:f>IF(T1085="Ready",MIN(U1085,MAX(0,G1085-SUMIFS($U$1082:$U$1086,$O$1082:$O$1086,"&lt;"&amp;O1085))),"n.a.")</x:f>
        <x:v>0</x:v>
      </x:c>
      <x:c r="Q1085" s="22" t="n">
        <x:f>IF(T1085="Ready",ROUND(N1085+P1085,2),"n.a.")</x:f>
        <x:v>0</x:v>
      </x:c>
      <x:c r="R1085" s="22" t="n">
        <x:f>IF(T1085="Ready",ROUND(Q1085-M1085,2),"n.a.")</x:f>
        <x:v>0</x:v>
      </x:c>
      <x:c r="S1085" s="22" t="n">
        <x:f>IF(T1085="Ready",MAX(0,ROUND(I1085+M1085-Q1085,2)),"n.a.")</x:f>
        <x:v>0</x:v>
      </x:c>
      <x:c r="T1085" s="22" t="str">
        <x:f>IF(AND(COUNT($I$1082:$I$1086)=5,COUNT(E1085:F1085)=2),IF(E1085&gt;=F1085,"Ready","Budget below minima"),"Check inputs")</x:f>
        <x:v>Ready</x:v>
      </x:c>
      <x:c r="U1085" s="22" t="n">
        <x:f>IF(COUNT(I1085,M1085,N1085)=3,MAX(0,ROUND(I1085+M1085-N1085,2)),"n.a.")</x:f>
        <x:v>0</x:v>
      </x:c>
    </x:row>
    <x:row r="1086" ht="22" customHeight="1">
      <x:c r="A1086" s="2"/>
      <x:c r="B1086" s="2"/>
      <x:c r="C1086" s="27" t="n">
        <x:f>216</x:f>
        <x:v>216</x:v>
      </x:c>
      <x:c r="D1086" s="28" t="n">
        <x:f>IF(ISNUMBER('Inputs'!$D$7),EDATE('Inputs'!$D$7,215),"n.a.")</x:f>
        <x:v>52871</x:v>
      </x:c>
      <x:c r="E1086" s="26" t="n">
        <x:f>IF('Inputs'!$D$9&lt;&gt;"Ready","n.a.",IF(ISNUMBER('Inputs'!E234),IF('Inputs'!E234&gt;=0,'Inputs'!E234,"n.a."),IF('Inputs'!E234="",'Inputs'!$D$6,"n.a.")))</x:f>
        <x:v>500</x:v>
      </x:c>
      <x:c r="F1086" s="22" t="n">
        <x:f>IF(COUNT($N$1082:$N$1086)=5,SUM($N$1082:$N$1086),"n.a.")</x:f>
        <x:v>0</x:v>
      </x:c>
      <x:c r="G1086" s="22" t="n">
        <x:f>IF(COUNT(E1086:F1086)=2,MAX(0,E1086-F1086),"n.a.")</x:f>
        <x:v>500</x:v>
      </x:c>
      <x:c r="H1086" s="26" t="str">
        <x:f>'Inputs'!C15</x:f>
        <x:v>Unused 5</x:v>
      </x:c>
      <x:c r="I1086" s="26" t="n">
        <x:f>S1081</x:f>
        <x:v>0</x:v>
      </x:c>
      <x:c r="J1086" s="29" t="n">
        <x:f>IF('Inputs'!$D$9="Ready",'Inputs'!E15,"n.a.")</x:f>
        <x:v>0</x:v>
      </x:c>
      <x:c r="K1086" s="26" t="n">
        <x:f>IF('Inputs'!$D$9="Ready",'Inputs'!F15,"n.a.")</x:f>
        <x:v>0</x:v>
      </x:c>
      <x:c r="L1086" s="29" t="n">
        <x:f>IF('Inputs'!$D$9="Ready",'Inputs'!G15,"n.a.")</x:f>
        <x:v>0</x:v>
      </x:c>
      <x:c r="M1086" s="22" t="n">
        <x:f>IF(COUNT(I1086:L1086)=4,ROUND(I1086*J1086/12,2),"n.a.")</x:f>
        <x:v>0</x:v>
      </x:c>
      <x:c r="N1086" s="22" t="n">
        <x:f>IF(COUNT(I1086:M1086)=5,MIN(I1086+M1086,ROUND(MAX(K1086,I1086*L1086+M1086),2)),"n.a.")</x:f>
        <x:v>0</x:v>
      </x:c>
      <x:c r="O1086" s="30" t="n">
        <x:f>IF(COUNT($I$1082:$I$1086)&lt;&gt;5,"n.a.",IF(I1086=0,6,IF('Inputs'!$D$5=1,COUNTIFS($I$1082:$I$1086,"&gt;0",$I$1082:$I$1086,"&lt;"&amp;I1086)+COUNTIFS($I$1082:I1086,I1086),COUNTIFS($I$1082:$I$1086,"&gt;0",$J$1082:$J$1086,"&gt;"&amp;J1086)+COUNTIFS($I$1082:I1086,"&gt;0",$J$1082:J1086,J1086))))</x:f>
        <x:v>6</x:v>
      </x:c>
      <x:c r="P1086" s="22" t="n">
        <x:f>IF(T1086="Ready",MIN(U1086,MAX(0,G1086-SUMIFS($U$1082:$U$1086,$O$1082:$O$1086,"&lt;"&amp;O1086))),"n.a.")</x:f>
        <x:v>0</x:v>
      </x:c>
      <x:c r="Q1086" s="22" t="n">
        <x:f>IF(T1086="Ready",ROUND(N1086+P1086,2),"n.a.")</x:f>
        <x:v>0</x:v>
      </x:c>
      <x:c r="R1086" s="22" t="n">
        <x:f>IF(T1086="Ready",ROUND(Q1086-M1086,2),"n.a.")</x:f>
        <x:v>0</x:v>
      </x:c>
      <x:c r="S1086" s="22" t="n">
        <x:f>IF(T1086="Ready",MAX(0,ROUND(I1086+M1086-Q1086,2)),"n.a.")</x:f>
        <x:v>0</x:v>
      </x:c>
      <x:c r="T1086" s="22" t="str">
        <x:f>IF(AND(COUNT($I$1082:$I$1086)=5,COUNT(E1086:F1086)=2),IF(E1086&gt;=F1086,"Ready","Budget below minima"),"Check inputs")</x:f>
        <x:v>Ready</x:v>
      </x:c>
      <x:c r="U1086" s="22" t="n">
        <x:f>IF(COUNT(I1086,M1086,N1086)=3,MAX(0,ROUND(I1086+M1086-N1086,2)),"n.a.")</x:f>
        <x:v>0</x:v>
      </x:c>
    </x:row>
    <x:row r="1087" ht="22" customHeight="1">
      <x:c r="A1087" s="2"/>
      <x:c r="B1087" s="2"/>
      <x:c r="C1087" s="27" t="n">
        <x:f>217</x:f>
        <x:v>217</x:v>
      </x:c>
      <x:c r="D1087" s="28" t="n">
        <x:f>IF(ISNUMBER('Inputs'!$D$7),EDATE('Inputs'!$D$7,216),"n.a.")</x:f>
        <x:v>52902</x:v>
      </x:c>
      <x:c r="E1087" s="26" t="n">
        <x:f>IF('Inputs'!$D$9&lt;&gt;"Ready","n.a.",IF(ISNUMBER('Inputs'!E235),IF('Inputs'!E235&gt;=0,'Inputs'!E235,"n.a."),IF('Inputs'!E235="",'Inputs'!$D$6,"n.a.")))</x:f>
        <x:v>500</x:v>
      </x:c>
      <x:c r="F1087" s="22" t="n">
        <x:f>IF(COUNT($N$1087:$N$1091)=5,SUM($N$1087:$N$1091),"n.a.")</x:f>
        <x:v>0</x:v>
      </x:c>
      <x:c r="G1087" s="22" t="n">
        <x:f>IF(COUNT(E1087:F1087)=2,MAX(0,E1087-F1087),"n.a.")</x:f>
        <x:v>500</x:v>
      </x:c>
      <x:c r="H1087" s="26" t="str">
        <x:f>'Inputs'!C11</x:f>
        <x:v>Card A</x:v>
      </x:c>
      <x:c r="I1087" s="26" t="n">
        <x:f>S1082</x:f>
        <x:v>0</x:v>
      </x:c>
      <x:c r="J1087" s="29" t="n">
        <x:f>IF('Inputs'!$D$9="Ready",'Inputs'!E11,"n.a.")</x:f>
        <x:v>0.24</x:v>
      </x:c>
      <x:c r="K1087" s="26" t="n">
        <x:f>IF('Inputs'!$D$9="Ready",'Inputs'!F11,"n.a.")</x:f>
        <x:v>35</x:v>
      </x:c>
      <x:c r="L1087" s="29" t="n">
        <x:f>IF('Inputs'!$D$9="Ready",'Inputs'!G11,"n.a.")</x:f>
        <x:v>0.02</x:v>
      </x:c>
      <x:c r="M1087" s="22" t="n">
        <x:f>IF(COUNT(I1087:L1087)=4,ROUND(I1087*J1087/12,2),"n.a.")</x:f>
        <x:v>0</x:v>
      </x:c>
      <x:c r="N1087" s="22" t="n">
        <x:f>IF(COUNT(I1087:M1087)=5,MIN(I1087+M1087,ROUND(MAX(K1087,I1087*L1087+M1087),2)),"n.a.")</x:f>
        <x:v>0</x:v>
      </x:c>
      <x:c r="O1087" s="30" t="n">
        <x:f>IF(COUNT($I$1087:$I$1091)&lt;&gt;5,"n.a.",IF(I1087=0,6,IF('Inputs'!$D$5=1,COUNTIFS($I$1087:$I$1091,"&gt;0",$I$1087:$I$1091,"&lt;"&amp;I1087)+COUNTIFS($I$1087:I1087,I1087),COUNTIFS($I$1087:$I$1091,"&gt;0",$J$1087:$J$1091,"&gt;"&amp;J1087)+COUNTIFS($I$1087:I1087,"&gt;0",$J$1087:J1087,J1087))))</x:f>
        <x:v>6</x:v>
      </x:c>
      <x:c r="P1087" s="22" t="n">
        <x:f>IF(T1087="Ready",MIN(U1087,MAX(0,G1087-SUMIFS($U$1087:$U$1091,$O$1087:$O$1091,"&lt;"&amp;O1087))),"n.a.")</x:f>
        <x:v>0</x:v>
      </x:c>
      <x:c r="Q1087" s="22" t="n">
        <x:f>IF(T1087="Ready",ROUND(N1087+P1087,2),"n.a.")</x:f>
        <x:v>0</x:v>
      </x:c>
      <x:c r="R1087" s="22" t="n">
        <x:f>IF(T1087="Ready",ROUND(Q1087-M1087,2),"n.a.")</x:f>
        <x:v>0</x:v>
      </x:c>
      <x:c r="S1087" s="22" t="n">
        <x:f>IF(T1087="Ready",MAX(0,ROUND(I1087+M1087-Q1087,2)),"n.a.")</x:f>
        <x:v>0</x:v>
      </x:c>
      <x:c r="T1087" s="22" t="str">
        <x:f>IF(AND(COUNT($I$1087:$I$1091)=5,COUNT(E1087:F1087)=2),IF(E1087&gt;=F1087,"Ready","Budget below minima"),"Check inputs")</x:f>
        <x:v>Ready</x:v>
      </x:c>
      <x:c r="U1087" s="22" t="n">
        <x:f>IF(COUNT(I1087,M1087,N1087)=3,MAX(0,ROUND(I1087+M1087-N1087,2)),"n.a.")</x:f>
        <x:v>0</x:v>
      </x:c>
    </x:row>
    <x:row r="1088" ht="22" customHeight="1">
      <x:c r="A1088" s="2"/>
      <x:c r="B1088" s="2"/>
      <x:c r="C1088" s="27" t="n">
        <x:f>217</x:f>
        <x:v>217</x:v>
      </x:c>
      <x:c r="D1088" s="28" t="n">
        <x:f>IF(ISNUMBER('Inputs'!$D$7),EDATE('Inputs'!$D$7,216),"n.a.")</x:f>
        <x:v>52902</x:v>
      </x:c>
      <x:c r="E1088" s="26" t="n">
        <x:f>IF('Inputs'!$D$9&lt;&gt;"Ready","n.a.",IF(ISNUMBER('Inputs'!E235),IF('Inputs'!E235&gt;=0,'Inputs'!E235,"n.a."),IF('Inputs'!E235="",'Inputs'!$D$6,"n.a.")))</x:f>
        <x:v>500</x:v>
      </x:c>
      <x:c r="F1088" s="22" t="n">
        <x:f>IF(COUNT($N$1087:$N$1091)=5,SUM($N$1087:$N$1091),"n.a.")</x:f>
        <x:v>0</x:v>
      </x:c>
      <x:c r="G1088" s="22" t="n">
        <x:f>IF(COUNT(E1088:F1088)=2,MAX(0,E1088-F1088),"n.a.")</x:f>
        <x:v>500</x:v>
      </x:c>
      <x:c r="H1088" s="26" t="str">
        <x:f>'Inputs'!C12</x:f>
        <x:v>Card B</x:v>
      </x:c>
      <x:c r="I1088" s="26" t="n">
        <x:f>S1083</x:f>
        <x:v>0</x:v>
      </x:c>
      <x:c r="J1088" s="29" t="n">
        <x:f>IF('Inputs'!$D$9="Ready",'Inputs'!E12,"n.a.")</x:f>
        <x:v>0.18</x:v>
      </x:c>
      <x:c r="K1088" s="26" t="n">
        <x:f>IF('Inputs'!$D$9="Ready",'Inputs'!F12,"n.a.")</x:f>
        <x:v>60</x:v>
      </x:c>
      <x:c r="L1088" s="29" t="n">
        <x:f>IF('Inputs'!$D$9="Ready",'Inputs'!G12,"n.a.")</x:f>
        <x:v>0.02</x:v>
      </x:c>
      <x:c r="M1088" s="22" t="n">
        <x:f>IF(COUNT(I1088:L1088)=4,ROUND(I1088*J1088/12,2),"n.a.")</x:f>
        <x:v>0</x:v>
      </x:c>
      <x:c r="N1088" s="22" t="n">
        <x:f>IF(COUNT(I1088:M1088)=5,MIN(I1088+M1088,ROUND(MAX(K1088,I1088*L1088+M1088),2)),"n.a.")</x:f>
        <x:v>0</x:v>
      </x:c>
      <x:c r="O1088" s="30" t="n">
        <x:f>IF(COUNT($I$1087:$I$1091)&lt;&gt;5,"n.a.",IF(I1088=0,6,IF('Inputs'!$D$5=1,COUNTIFS($I$1087:$I$1091,"&gt;0",$I$1087:$I$1091,"&lt;"&amp;I1088)+COUNTIFS($I$1087:I1088,I1088),COUNTIFS($I$1087:$I$1091,"&gt;0",$J$1087:$J$1091,"&gt;"&amp;J1088)+COUNTIFS($I$1087:I1088,"&gt;0",$J$1087:J1088,J1088))))</x:f>
        <x:v>6</x:v>
      </x:c>
      <x:c r="P1088" s="22" t="n">
        <x:f>IF(T1088="Ready",MIN(U1088,MAX(0,G1088-SUMIFS($U$1087:$U$1091,$O$1087:$O$1091,"&lt;"&amp;O1088))),"n.a.")</x:f>
        <x:v>0</x:v>
      </x:c>
      <x:c r="Q1088" s="22" t="n">
        <x:f>IF(T1088="Ready",ROUND(N1088+P1088,2),"n.a.")</x:f>
        <x:v>0</x:v>
      </x:c>
      <x:c r="R1088" s="22" t="n">
        <x:f>IF(T1088="Ready",ROUND(Q1088-M1088,2),"n.a.")</x:f>
        <x:v>0</x:v>
      </x:c>
      <x:c r="S1088" s="22" t="n">
        <x:f>IF(T1088="Ready",MAX(0,ROUND(I1088+M1088-Q1088,2)),"n.a.")</x:f>
        <x:v>0</x:v>
      </x:c>
      <x:c r="T1088" s="22" t="str">
        <x:f>IF(AND(COUNT($I$1087:$I$1091)=5,COUNT(E1088:F1088)=2),IF(E1088&gt;=F1088,"Ready","Budget below minima"),"Check inputs")</x:f>
        <x:v>Ready</x:v>
      </x:c>
      <x:c r="U1088" s="22" t="n">
        <x:f>IF(COUNT(I1088,M1088,N1088)=3,MAX(0,ROUND(I1088+M1088-N1088,2)),"n.a.")</x:f>
        <x:v>0</x:v>
      </x:c>
    </x:row>
    <x:row r="1089" ht="22" customHeight="1">
      <x:c r="A1089" s="2"/>
      <x:c r="B1089" s="2"/>
      <x:c r="C1089" s="27" t="n">
        <x:f>217</x:f>
        <x:v>217</x:v>
      </x:c>
      <x:c r="D1089" s="28" t="n">
        <x:f>IF(ISNUMBER('Inputs'!$D$7),EDATE('Inputs'!$D$7,216),"n.a.")</x:f>
        <x:v>52902</x:v>
      </x:c>
      <x:c r="E1089" s="26" t="n">
        <x:f>IF('Inputs'!$D$9&lt;&gt;"Ready","n.a.",IF(ISNUMBER('Inputs'!E235),IF('Inputs'!E235&gt;=0,'Inputs'!E235,"n.a."),IF('Inputs'!E235="",'Inputs'!$D$6,"n.a.")))</x:f>
        <x:v>500</x:v>
      </x:c>
      <x:c r="F1089" s="22" t="n">
        <x:f>IF(COUNT($N$1087:$N$1091)=5,SUM($N$1087:$N$1091),"n.a.")</x:f>
        <x:v>0</x:v>
      </x:c>
      <x:c r="G1089" s="22" t="n">
        <x:f>IF(COUNT(E1089:F1089)=2,MAX(0,E1089-F1089),"n.a.")</x:f>
        <x:v>500</x:v>
      </x:c>
      <x:c r="H1089" s="26" t="str">
        <x:f>'Inputs'!C13</x:f>
        <x:v>Loan C</x:v>
      </x:c>
      <x:c r="I1089" s="26" t="n">
        <x:f>S1084</x:f>
        <x:v>0</x:v>
      </x:c>
      <x:c r="J1089" s="29" t="n">
        <x:f>IF('Inputs'!$D$9="Ready",'Inputs'!E13,"n.a.")</x:f>
        <x:v>0.08</x:v>
      </x:c>
      <x:c r="K1089" s="26" t="n">
        <x:f>IF('Inputs'!$D$9="Ready",'Inputs'!F13,"n.a.")</x:f>
        <x:v>150</x:v>
      </x:c>
      <x:c r="L1089" s="29" t="n">
        <x:f>IF('Inputs'!$D$9="Ready",'Inputs'!G13,"n.a.")</x:f>
        <x:v>0</x:v>
      </x:c>
      <x:c r="M1089" s="22" t="n">
        <x:f>IF(COUNT(I1089:L1089)=4,ROUND(I1089*J1089/12,2),"n.a.")</x:f>
        <x:v>0</x:v>
      </x:c>
      <x:c r="N1089" s="22" t="n">
        <x:f>IF(COUNT(I1089:M1089)=5,MIN(I1089+M1089,ROUND(MAX(K1089,I1089*L1089+M1089),2)),"n.a.")</x:f>
        <x:v>0</x:v>
      </x:c>
      <x:c r="O1089" s="30" t="n">
        <x:f>IF(COUNT($I$1087:$I$1091)&lt;&gt;5,"n.a.",IF(I1089=0,6,IF('Inputs'!$D$5=1,COUNTIFS($I$1087:$I$1091,"&gt;0",$I$1087:$I$1091,"&lt;"&amp;I1089)+COUNTIFS($I$1087:I1089,I1089),COUNTIFS($I$1087:$I$1091,"&gt;0",$J$1087:$J$1091,"&gt;"&amp;J1089)+COUNTIFS($I$1087:I1089,"&gt;0",$J$1087:J1089,J1089))))</x:f>
        <x:v>6</x:v>
      </x:c>
      <x:c r="P1089" s="22" t="n">
        <x:f>IF(T1089="Ready",MIN(U1089,MAX(0,G1089-SUMIFS($U$1087:$U$1091,$O$1087:$O$1091,"&lt;"&amp;O1089))),"n.a.")</x:f>
        <x:v>0</x:v>
      </x:c>
      <x:c r="Q1089" s="22" t="n">
        <x:f>IF(T1089="Ready",ROUND(N1089+P1089,2),"n.a.")</x:f>
        <x:v>0</x:v>
      </x:c>
      <x:c r="R1089" s="22" t="n">
        <x:f>IF(T1089="Ready",ROUND(Q1089-M1089,2),"n.a.")</x:f>
        <x:v>0</x:v>
      </x:c>
      <x:c r="S1089" s="22" t="n">
        <x:f>IF(T1089="Ready",MAX(0,ROUND(I1089+M1089-Q1089,2)),"n.a.")</x:f>
        <x:v>0</x:v>
      </x:c>
      <x:c r="T1089" s="22" t="str">
        <x:f>IF(AND(COUNT($I$1087:$I$1091)=5,COUNT(E1089:F1089)=2),IF(E1089&gt;=F1089,"Ready","Budget below minima"),"Check inputs")</x:f>
        <x:v>Ready</x:v>
      </x:c>
      <x:c r="U1089" s="22" t="n">
        <x:f>IF(COUNT(I1089,M1089,N1089)=3,MAX(0,ROUND(I1089+M1089-N1089,2)),"n.a.")</x:f>
        <x:v>0</x:v>
      </x:c>
    </x:row>
    <x:row r="1090" ht="22" customHeight="1">
      <x:c r="A1090" s="2"/>
      <x:c r="B1090" s="2"/>
      <x:c r="C1090" s="27" t="n">
        <x:f>217</x:f>
        <x:v>217</x:v>
      </x:c>
      <x:c r="D1090" s="28" t="n">
        <x:f>IF(ISNUMBER('Inputs'!$D$7),EDATE('Inputs'!$D$7,216),"n.a.")</x:f>
        <x:v>52902</x:v>
      </x:c>
      <x:c r="E1090" s="26" t="n">
        <x:f>IF('Inputs'!$D$9&lt;&gt;"Ready","n.a.",IF(ISNUMBER('Inputs'!E235),IF('Inputs'!E235&gt;=0,'Inputs'!E235,"n.a."),IF('Inputs'!E235="",'Inputs'!$D$6,"n.a.")))</x:f>
        <x:v>500</x:v>
      </x:c>
      <x:c r="F1090" s="22" t="n">
        <x:f>IF(COUNT($N$1087:$N$1091)=5,SUM($N$1087:$N$1091),"n.a.")</x:f>
        <x:v>0</x:v>
      </x:c>
      <x:c r="G1090" s="22" t="n">
        <x:f>IF(COUNT(E1090:F1090)=2,MAX(0,E1090-F1090),"n.a.")</x:f>
        <x:v>500</x:v>
      </x:c>
      <x:c r="H1090" s="26" t="str">
        <x:f>'Inputs'!C14</x:f>
        <x:v>Unused 4</x:v>
      </x:c>
      <x:c r="I1090" s="26" t="n">
        <x:f>S1085</x:f>
        <x:v>0</x:v>
      </x:c>
      <x:c r="J1090" s="29" t="n">
        <x:f>IF('Inputs'!$D$9="Ready",'Inputs'!E14,"n.a.")</x:f>
        <x:v>0</x:v>
      </x:c>
      <x:c r="K1090" s="26" t="n">
        <x:f>IF('Inputs'!$D$9="Ready",'Inputs'!F14,"n.a.")</x:f>
        <x:v>0</x:v>
      </x:c>
      <x:c r="L1090" s="29" t="n">
        <x:f>IF('Inputs'!$D$9="Ready",'Inputs'!G14,"n.a.")</x:f>
        <x:v>0</x:v>
      </x:c>
      <x:c r="M1090" s="22" t="n">
        <x:f>IF(COUNT(I1090:L1090)=4,ROUND(I1090*J1090/12,2),"n.a.")</x:f>
        <x:v>0</x:v>
      </x:c>
      <x:c r="N1090" s="22" t="n">
        <x:f>IF(COUNT(I1090:M1090)=5,MIN(I1090+M1090,ROUND(MAX(K1090,I1090*L1090+M1090),2)),"n.a.")</x:f>
        <x:v>0</x:v>
      </x:c>
      <x:c r="O1090" s="30" t="n">
        <x:f>IF(COUNT($I$1087:$I$1091)&lt;&gt;5,"n.a.",IF(I1090=0,6,IF('Inputs'!$D$5=1,COUNTIFS($I$1087:$I$1091,"&gt;0",$I$1087:$I$1091,"&lt;"&amp;I1090)+COUNTIFS($I$1087:I1090,I1090),COUNTIFS($I$1087:$I$1091,"&gt;0",$J$1087:$J$1091,"&gt;"&amp;J1090)+COUNTIFS($I$1087:I1090,"&gt;0",$J$1087:J1090,J1090))))</x:f>
        <x:v>6</x:v>
      </x:c>
      <x:c r="P1090" s="22" t="n">
        <x:f>IF(T1090="Ready",MIN(U1090,MAX(0,G1090-SUMIFS($U$1087:$U$1091,$O$1087:$O$1091,"&lt;"&amp;O1090))),"n.a.")</x:f>
        <x:v>0</x:v>
      </x:c>
      <x:c r="Q1090" s="22" t="n">
        <x:f>IF(T1090="Ready",ROUND(N1090+P1090,2),"n.a.")</x:f>
        <x:v>0</x:v>
      </x:c>
      <x:c r="R1090" s="22" t="n">
        <x:f>IF(T1090="Ready",ROUND(Q1090-M1090,2),"n.a.")</x:f>
        <x:v>0</x:v>
      </x:c>
      <x:c r="S1090" s="22" t="n">
        <x:f>IF(T1090="Ready",MAX(0,ROUND(I1090+M1090-Q1090,2)),"n.a.")</x:f>
        <x:v>0</x:v>
      </x:c>
      <x:c r="T1090" s="22" t="str">
        <x:f>IF(AND(COUNT($I$1087:$I$1091)=5,COUNT(E1090:F1090)=2),IF(E1090&gt;=F1090,"Ready","Budget below minima"),"Check inputs")</x:f>
        <x:v>Ready</x:v>
      </x:c>
      <x:c r="U1090" s="22" t="n">
        <x:f>IF(COUNT(I1090,M1090,N1090)=3,MAX(0,ROUND(I1090+M1090-N1090,2)),"n.a.")</x:f>
        <x:v>0</x:v>
      </x:c>
    </x:row>
    <x:row r="1091" ht="22" customHeight="1">
      <x:c r="A1091" s="2"/>
      <x:c r="B1091" s="2"/>
      <x:c r="C1091" s="27" t="n">
        <x:f>217</x:f>
        <x:v>217</x:v>
      </x:c>
      <x:c r="D1091" s="28" t="n">
        <x:f>IF(ISNUMBER('Inputs'!$D$7),EDATE('Inputs'!$D$7,216),"n.a.")</x:f>
        <x:v>52902</x:v>
      </x:c>
      <x:c r="E1091" s="26" t="n">
        <x:f>IF('Inputs'!$D$9&lt;&gt;"Ready","n.a.",IF(ISNUMBER('Inputs'!E235),IF('Inputs'!E235&gt;=0,'Inputs'!E235,"n.a."),IF('Inputs'!E235="",'Inputs'!$D$6,"n.a.")))</x:f>
        <x:v>500</x:v>
      </x:c>
      <x:c r="F1091" s="22" t="n">
        <x:f>IF(COUNT($N$1087:$N$1091)=5,SUM($N$1087:$N$1091),"n.a.")</x:f>
        <x:v>0</x:v>
      </x:c>
      <x:c r="G1091" s="22" t="n">
        <x:f>IF(COUNT(E1091:F1091)=2,MAX(0,E1091-F1091),"n.a.")</x:f>
        <x:v>500</x:v>
      </x:c>
      <x:c r="H1091" s="26" t="str">
        <x:f>'Inputs'!C15</x:f>
        <x:v>Unused 5</x:v>
      </x:c>
      <x:c r="I1091" s="26" t="n">
        <x:f>S1086</x:f>
        <x:v>0</x:v>
      </x:c>
      <x:c r="J1091" s="29" t="n">
        <x:f>IF('Inputs'!$D$9="Ready",'Inputs'!E15,"n.a.")</x:f>
        <x:v>0</x:v>
      </x:c>
      <x:c r="K1091" s="26" t="n">
        <x:f>IF('Inputs'!$D$9="Ready",'Inputs'!F15,"n.a.")</x:f>
        <x:v>0</x:v>
      </x:c>
      <x:c r="L1091" s="29" t="n">
        <x:f>IF('Inputs'!$D$9="Ready",'Inputs'!G15,"n.a.")</x:f>
        <x:v>0</x:v>
      </x:c>
      <x:c r="M1091" s="22" t="n">
        <x:f>IF(COUNT(I1091:L1091)=4,ROUND(I1091*J1091/12,2),"n.a.")</x:f>
        <x:v>0</x:v>
      </x:c>
      <x:c r="N1091" s="22" t="n">
        <x:f>IF(COUNT(I1091:M1091)=5,MIN(I1091+M1091,ROUND(MAX(K1091,I1091*L1091+M1091),2)),"n.a.")</x:f>
        <x:v>0</x:v>
      </x:c>
      <x:c r="O1091" s="30" t="n">
        <x:f>IF(COUNT($I$1087:$I$1091)&lt;&gt;5,"n.a.",IF(I1091=0,6,IF('Inputs'!$D$5=1,COUNTIFS($I$1087:$I$1091,"&gt;0",$I$1087:$I$1091,"&lt;"&amp;I1091)+COUNTIFS($I$1087:I1091,I1091),COUNTIFS($I$1087:$I$1091,"&gt;0",$J$1087:$J$1091,"&gt;"&amp;J1091)+COUNTIFS($I$1087:I1091,"&gt;0",$J$1087:J1091,J1091))))</x:f>
        <x:v>6</x:v>
      </x:c>
      <x:c r="P1091" s="22" t="n">
        <x:f>IF(T1091="Ready",MIN(U1091,MAX(0,G1091-SUMIFS($U$1087:$U$1091,$O$1087:$O$1091,"&lt;"&amp;O1091))),"n.a.")</x:f>
        <x:v>0</x:v>
      </x:c>
      <x:c r="Q1091" s="22" t="n">
        <x:f>IF(T1091="Ready",ROUND(N1091+P1091,2),"n.a.")</x:f>
        <x:v>0</x:v>
      </x:c>
      <x:c r="R1091" s="22" t="n">
        <x:f>IF(T1091="Ready",ROUND(Q1091-M1091,2),"n.a.")</x:f>
        <x:v>0</x:v>
      </x:c>
      <x:c r="S1091" s="22" t="n">
        <x:f>IF(T1091="Ready",MAX(0,ROUND(I1091+M1091-Q1091,2)),"n.a.")</x:f>
        <x:v>0</x:v>
      </x:c>
      <x:c r="T1091" s="22" t="str">
        <x:f>IF(AND(COUNT($I$1087:$I$1091)=5,COUNT(E1091:F1091)=2),IF(E1091&gt;=F1091,"Ready","Budget below minima"),"Check inputs")</x:f>
        <x:v>Ready</x:v>
      </x:c>
      <x:c r="U1091" s="22" t="n">
        <x:f>IF(COUNT(I1091,M1091,N1091)=3,MAX(0,ROUND(I1091+M1091-N1091,2)),"n.a.")</x:f>
        <x:v>0</x:v>
      </x:c>
    </x:row>
    <x:row r="1092" ht="22" customHeight="1">
      <x:c r="A1092" s="2"/>
      <x:c r="B1092" s="2"/>
      <x:c r="C1092" s="27" t="n">
        <x:f>218</x:f>
        <x:v>218</x:v>
      </x:c>
      <x:c r="D1092" s="28" t="n">
        <x:f>IF(ISNUMBER('Inputs'!$D$7),EDATE('Inputs'!$D$7,217),"n.a.")</x:f>
        <x:v>52932</x:v>
      </x:c>
      <x:c r="E1092" s="26" t="n">
        <x:f>IF('Inputs'!$D$9&lt;&gt;"Ready","n.a.",IF(ISNUMBER('Inputs'!E236),IF('Inputs'!E236&gt;=0,'Inputs'!E236,"n.a."),IF('Inputs'!E236="",'Inputs'!$D$6,"n.a.")))</x:f>
        <x:v>500</x:v>
      </x:c>
      <x:c r="F1092" s="22" t="n">
        <x:f>IF(COUNT($N$1092:$N$1096)=5,SUM($N$1092:$N$1096),"n.a.")</x:f>
        <x:v>0</x:v>
      </x:c>
      <x:c r="G1092" s="22" t="n">
        <x:f>IF(COUNT(E1092:F1092)=2,MAX(0,E1092-F1092),"n.a.")</x:f>
        <x:v>500</x:v>
      </x:c>
      <x:c r="H1092" s="26" t="str">
        <x:f>'Inputs'!C11</x:f>
        <x:v>Card A</x:v>
      </x:c>
      <x:c r="I1092" s="26" t="n">
        <x:f>S1087</x:f>
        <x:v>0</x:v>
      </x:c>
      <x:c r="J1092" s="29" t="n">
        <x:f>IF('Inputs'!$D$9="Ready",'Inputs'!E11,"n.a.")</x:f>
        <x:v>0.24</x:v>
      </x:c>
      <x:c r="K1092" s="26" t="n">
        <x:f>IF('Inputs'!$D$9="Ready",'Inputs'!F11,"n.a.")</x:f>
        <x:v>35</x:v>
      </x:c>
      <x:c r="L1092" s="29" t="n">
        <x:f>IF('Inputs'!$D$9="Ready",'Inputs'!G11,"n.a.")</x:f>
        <x:v>0.02</x:v>
      </x:c>
      <x:c r="M1092" s="22" t="n">
        <x:f>IF(COUNT(I1092:L1092)=4,ROUND(I1092*J1092/12,2),"n.a.")</x:f>
        <x:v>0</x:v>
      </x:c>
      <x:c r="N1092" s="22" t="n">
        <x:f>IF(COUNT(I1092:M1092)=5,MIN(I1092+M1092,ROUND(MAX(K1092,I1092*L1092+M1092),2)),"n.a.")</x:f>
        <x:v>0</x:v>
      </x:c>
      <x:c r="O1092" s="30" t="n">
        <x:f>IF(COUNT($I$1092:$I$1096)&lt;&gt;5,"n.a.",IF(I1092=0,6,IF('Inputs'!$D$5=1,COUNTIFS($I$1092:$I$1096,"&gt;0",$I$1092:$I$1096,"&lt;"&amp;I1092)+COUNTIFS($I$1092:I1092,I1092),COUNTIFS($I$1092:$I$1096,"&gt;0",$J$1092:$J$1096,"&gt;"&amp;J1092)+COUNTIFS($I$1092:I1092,"&gt;0",$J$1092:J1092,J1092))))</x:f>
        <x:v>6</x:v>
      </x:c>
      <x:c r="P1092" s="22" t="n">
        <x:f>IF(T1092="Ready",MIN(U1092,MAX(0,G1092-SUMIFS($U$1092:$U$1096,$O$1092:$O$1096,"&lt;"&amp;O1092))),"n.a.")</x:f>
        <x:v>0</x:v>
      </x:c>
      <x:c r="Q1092" s="22" t="n">
        <x:f>IF(T1092="Ready",ROUND(N1092+P1092,2),"n.a.")</x:f>
        <x:v>0</x:v>
      </x:c>
      <x:c r="R1092" s="22" t="n">
        <x:f>IF(T1092="Ready",ROUND(Q1092-M1092,2),"n.a.")</x:f>
        <x:v>0</x:v>
      </x:c>
      <x:c r="S1092" s="22" t="n">
        <x:f>IF(T1092="Ready",MAX(0,ROUND(I1092+M1092-Q1092,2)),"n.a.")</x:f>
        <x:v>0</x:v>
      </x:c>
      <x:c r="T1092" s="22" t="str">
        <x:f>IF(AND(COUNT($I$1092:$I$1096)=5,COUNT(E1092:F1092)=2),IF(E1092&gt;=F1092,"Ready","Budget below minima"),"Check inputs")</x:f>
        <x:v>Ready</x:v>
      </x:c>
      <x:c r="U1092" s="22" t="n">
        <x:f>IF(COUNT(I1092,M1092,N1092)=3,MAX(0,ROUND(I1092+M1092-N1092,2)),"n.a.")</x:f>
        <x:v>0</x:v>
      </x:c>
    </x:row>
    <x:row r="1093" ht="22" customHeight="1">
      <x:c r="A1093" s="2"/>
      <x:c r="B1093" s="2"/>
      <x:c r="C1093" s="27" t="n">
        <x:f>218</x:f>
        <x:v>218</x:v>
      </x:c>
      <x:c r="D1093" s="28" t="n">
        <x:f>IF(ISNUMBER('Inputs'!$D$7),EDATE('Inputs'!$D$7,217),"n.a.")</x:f>
        <x:v>52932</x:v>
      </x:c>
      <x:c r="E1093" s="26" t="n">
        <x:f>IF('Inputs'!$D$9&lt;&gt;"Ready","n.a.",IF(ISNUMBER('Inputs'!E236),IF('Inputs'!E236&gt;=0,'Inputs'!E236,"n.a."),IF('Inputs'!E236="",'Inputs'!$D$6,"n.a.")))</x:f>
        <x:v>500</x:v>
      </x:c>
      <x:c r="F1093" s="22" t="n">
        <x:f>IF(COUNT($N$1092:$N$1096)=5,SUM($N$1092:$N$1096),"n.a.")</x:f>
        <x:v>0</x:v>
      </x:c>
      <x:c r="G1093" s="22" t="n">
        <x:f>IF(COUNT(E1093:F1093)=2,MAX(0,E1093-F1093),"n.a.")</x:f>
        <x:v>500</x:v>
      </x:c>
      <x:c r="H1093" s="26" t="str">
        <x:f>'Inputs'!C12</x:f>
        <x:v>Card B</x:v>
      </x:c>
      <x:c r="I1093" s="26" t="n">
        <x:f>S1088</x:f>
        <x:v>0</x:v>
      </x:c>
      <x:c r="J1093" s="29" t="n">
        <x:f>IF('Inputs'!$D$9="Ready",'Inputs'!E12,"n.a.")</x:f>
        <x:v>0.18</x:v>
      </x:c>
      <x:c r="K1093" s="26" t="n">
        <x:f>IF('Inputs'!$D$9="Ready",'Inputs'!F12,"n.a.")</x:f>
        <x:v>60</x:v>
      </x:c>
      <x:c r="L1093" s="29" t="n">
        <x:f>IF('Inputs'!$D$9="Ready",'Inputs'!G12,"n.a.")</x:f>
        <x:v>0.02</x:v>
      </x:c>
      <x:c r="M1093" s="22" t="n">
        <x:f>IF(COUNT(I1093:L1093)=4,ROUND(I1093*J1093/12,2),"n.a.")</x:f>
        <x:v>0</x:v>
      </x:c>
      <x:c r="N1093" s="22" t="n">
        <x:f>IF(COUNT(I1093:M1093)=5,MIN(I1093+M1093,ROUND(MAX(K1093,I1093*L1093+M1093),2)),"n.a.")</x:f>
        <x:v>0</x:v>
      </x:c>
      <x:c r="O1093" s="30" t="n">
        <x:f>IF(COUNT($I$1092:$I$1096)&lt;&gt;5,"n.a.",IF(I1093=0,6,IF('Inputs'!$D$5=1,COUNTIFS($I$1092:$I$1096,"&gt;0",$I$1092:$I$1096,"&lt;"&amp;I1093)+COUNTIFS($I$1092:I1093,I1093),COUNTIFS($I$1092:$I$1096,"&gt;0",$J$1092:$J$1096,"&gt;"&amp;J1093)+COUNTIFS($I$1092:I1093,"&gt;0",$J$1092:J1093,J1093))))</x:f>
        <x:v>6</x:v>
      </x:c>
      <x:c r="P1093" s="22" t="n">
        <x:f>IF(T1093="Ready",MIN(U1093,MAX(0,G1093-SUMIFS($U$1092:$U$1096,$O$1092:$O$1096,"&lt;"&amp;O1093))),"n.a.")</x:f>
        <x:v>0</x:v>
      </x:c>
      <x:c r="Q1093" s="22" t="n">
        <x:f>IF(T1093="Ready",ROUND(N1093+P1093,2),"n.a.")</x:f>
        <x:v>0</x:v>
      </x:c>
      <x:c r="R1093" s="22" t="n">
        <x:f>IF(T1093="Ready",ROUND(Q1093-M1093,2),"n.a.")</x:f>
        <x:v>0</x:v>
      </x:c>
      <x:c r="S1093" s="22" t="n">
        <x:f>IF(T1093="Ready",MAX(0,ROUND(I1093+M1093-Q1093,2)),"n.a.")</x:f>
        <x:v>0</x:v>
      </x:c>
      <x:c r="T1093" s="22" t="str">
        <x:f>IF(AND(COUNT($I$1092:$I$1096)=5,COUNT(E1093:F1093)=2),IF(E1093&gt;=F1093,"Ready","Budget below minima"),"Check inputs")</x:f>
        <x:v>Ready</x:v>
      </x:c>
      <x:c r="U1093" s="22" t="n">
        <x:f>IF(COUNT(I1093,M1093,N1093)=3,MAX(0,ROUND(I1093+M1093-N1093,2)),"n.a.")</x:f>
        <x:v>0</x:v>
      </x:c>
    </x:row>
    <x:row r="1094" ht="22" customHeight="1">
      <x:c r="A1094" s="2"/>
      <x:c r="B1094" s="2"/>
      <x:c r="C1094" s="27" t="n">
        <x:f>218</x:f>
        <x:v>218</x:v>
      </x:c>
      <x:c r="D1094" s="28" t="n">
        <x:f>IF(ISNUMBER('Inputs'!$D$7),EDATE('Inputs'!$D$7,217),"n.a.")</x:f>
        <x:v>52932</x:v>
      </x:c>
      <x:c r="E1094" s="26" t="n">
        <x:f>IF('Inputs'!$D$9&lt;&gt;"Ready","n.a.",IF(ISNUMBER('Inputs'!E236),IF('Inputs'!E236&gt;=0,'Inputs'!E236,"n.a."),IF('Inputs'!E236="",'Inputs'!$D$6,"n.a.")))</x:f>
        <x:v>500</x:v>
      </x:c>
      <x:c r="F1094" s="22" t="n">
        <x:f>IF(COUNT($N$1092:$N$1096)=5,SUM($N$1092:$N$1096),"n.a.")</x:f>
        <x:v>0</x:v>
      </x:c>
      <x:c r="G1094" s="22" t="n">
        <x:f>IF(COUNT(E1094:F1094)=2,MAX(0,E1094-F1094),"n.a.")</x:f>
        <x:v>500</x:v>
      </x:c>
      <x:c r="H1094" s="26" t="str">
        <x:f>'Inputs'!C13</x:f>
        <x:v>Loan C</x:v>
      </x:c>
      <x:c r="I1094" s="26" t="n">
        <x:f>S1089</x:f>
        <x:v>0</x:v>
      </x:c>
      <x:c r="J1094" s="29" t="n">
        <x:f>IF('Inputs'!$D$9="Ready",'Inputs'!E13,"n.a.")</x:f>
        <x:v>0.08</x:v>
      </x:c>
      <x:c r="K1094" s="26" t="n">
        <x:f>IF('Inputs'!$D$9="Ready",'Inputs'!F13,"n.a.")</x:f>
        <x:v>150</x:v>
      </x:c>
      <x:c r="L1094" s="29" t="n">
        <x:f>IF('Inputs'!$D$9="Ready",'Inputs'!G13,"n.a.")</x:f>
        <x:v>0</x:v>
      </x:c>
      <x:c r="M1094" s="22" t="n">
        <x:f>IF(COUNT(I1094:L1094)=4,ROUND(I1094*J1094/12,2),"n.a.")</x:f>
        <x:v>0</x:v>
      </x:c>
      <x:c r="N1094" s="22" t="n">
        <x:f>IF(COUNT(I1094:M1094)=5,MIN(I1094+M1094,ROUND(MAX(K1094,I1094*L1094+M1094),2)),"n.a.")</x:f>
        <x:v>0</x:v>
      </x:c>
      <x:c r="O1094" s="30" t="n">
        <x:f>IF(COUNT($I$1092:$I$1096)&lt;&gt;5,"n.a.",IF(I1094=0,6,IF('Inputs'!$D$5=1,COUNTIFS($I$1092:$I$1096,"&gt;0",$I$1092:$I$1096,"&lt;"&amp;I1094)+COUNTIFS($I$1092:I1094,I1094),COUNTIFS($I$1092:$I$1096,"&gt;0",$J$1092:$J$1096,"&gt;"&amp;J1094)+COUNTIFS($I$1092:I1094,"&gt;0",$J$1092:J1094,J1094))))</x:f>
        <x:v>6</x:v>
      </x:c>
      <x:c r="P1094" s="22" t="n">
        <x:f>IF(T1094="Ready",MIN(U1094,MAX(0,G1094-SUMIFS($U$1092:$U$1096,$O$1092:$O$1096,"&lt;"&amp;O1094))),"n.a.")</x:f>
        <x:v>0</x:v>
      </x:c>
      <x:c r="Q1094" s="22" t="n">
        <x:f>IF(T1094="Ready",ROUND(N1094+P1094,2),"n.a.")</x:f>
        <x:v>0</x:v>
      </x:c>
      <x:c r="R1094" s="22" t="n">
        <x:f>IF(T1094="Ready",ROUND(Q1094-M1094,2),"n.a.")</x:f>
        <x:v>0</x:v>
      </x:c>
      <x:c r="S1094" s="22" t="n">
        <x:f>IF(T1094="Ready",MAX(0,ROUND(I1094+M1094-Q1094,2)),"n.a.")</x:f>
        <x:v>0</x:v>
      </x:c>
      <x:c r="T1094" s="22" t="str">
        <x:f>IF(AND(COUNT($I$1092:$I$1096)=5,COUNT(E1094:F1094)=2),IF(E1094&gt;=F1094,"Ready","Budget below minima"),"Check inputs")</x:f>
        <x:v>Ready</x:v>
      </x:c>
      <x:c r="U1094" s="22" t="n">
        <x:f>IF(COUNT(I1094,M1094,N1094)=3,MAX(0,ROUND(I1094+M1094-N1094,2)),"n.a.")</x:f>
        <x:v>0</x:v>
      </x:c>
    </x:row>
    <x:row r="1095" ht="22" customHeight="1">
      <x:c r="A1095" s="2"/>
      <x:c r="B1095" s="2"/>
      <x:c r="C1095" s="27" t="n">
        <x:f>218</x:f>
        <x:v>218</x:v>
      </x:c>
      <x:c r="D1095" s="28" t="n">
        <x:f>IF(ISNUMBER('Inputs'!$D$7),EDATE('Inputs'!$D$7,217),"n.a.")</x:f>
        <x:v>52932</x:v>
      </x:c>
      <x:c r="E1095" s="26" t="n">
        <x:f>IF('Inputs'!$D$9&lt;&gt;"Ready","n.a.",IF(ISNUMBER('Inputs'!E236),IF('Inputs'!E236&gt;=0,'Inputs'!E236,"n.a."),IF('Inputs'!E236="",'Inputs'!$D$6,"n.a.")))</x:f>
        <x:v>500</x:v>
      </x:c>
      <x:c r="F1095" s="22" t="n">
        <x:f>IF(COUNT($N$1092:$N$1096)=5,SUM($N$1092:$N$1096),"n.a.")</x:f>
        <x:v>0</x:v>
      </x:c>
      <x:c r="G1095" s="22" t="n">
        <x:f>IF(COUNT(E1095:F1095)=2,MAX(0,E1095-F1095),"n.a.")</x:f>
        <x:v>500</x:v>
      </x:c>
      <x:c r="H1095" s="26" t="str">
        <x:f>'Inputs'!C14</x:f>
        <x:v>Unused 4</x:v>
      </x:c>
      <x:c r="I1095" s="26" t="n">
        <x:f>S1090</x:f>
        <x:v>0</x:v>
      </x:c>
      <x:c r="J1095" s="29" t="n">
        <x:f>IF('Inputs'!$D$9="Ready",'Inputs'!E14,"n.a.")</x:f>
        <x:v>0</x:v>
      </x:c>
      <x:c r="K1095" s="26" t="n">
        <x:f>IF('Inputs'!$D$9="Ready",'Inputs'!F14,"n.a.")</x:f>
        <x:v>0</x:v>
      </x:c>
      <x:c r="L1095" s="29" t="n">
        <x:f>IF('Inputs'!$D$9="Ready",'Inputs'!G14,"n.a.")</x:f>
        <x:v>0</x:v>
      </x:c>
      <x:c r="M1095" s="22" t="n">
        <x:f>IF(COUNT(I1095:L1095)=4,ROUND(I1095*J1095/12,2),"n.a.")</x:f>
        <x:v>0</x:v>
      </x:c>
      <x:c r="N1095" s="22" t="n">
        <x:f>IF(COUNT(I1095:M1095)=5,MIN(I1095+M1095,ROUND(MAX(K1095,I1095*L1095+M1095),2)),"n.a.")</x:f>
        <x:v>0</x:v>
      </x:c>
      <x:c r="O1095" s="30" t="n">
        <x:f>IF(COUNT($I$1092:$I$1096)&lt;&gt;5,"n.a.",IF(I1095=0,6,IF('Inputs'!$D$5=1,COUNTIFS($I$1092:$I$1096,"&gt;0",$I$1092:$I$1096,"&lt;"&amp;I1095)+COUNTIFS($I$1092:I1095,I1095),COUNTIFS($I$1092:$I$1096,"&gt;0",$J$1092:$J$1096,"&gt;"&amp;J1095)+COUNTIFS($I$1092:I1095,"&gt;0",$J$1092:J1095,J1095))))</x:f>
        <x:v>6</x:v>
      </x:c>
      <x:c r="P1095" s="22" t="n">
        <x:f>IF(T1095="Ready",MIN(U1095,MAX(0,G1095-SUMIFS($U$1092:$U$1096,$O$1092:$O$1096,"&lt;"&amp;O1095))),"n.a.")</x:f>
        <x:v>0</x:v>
      </x:c>
      <x:c r="Q1095" s="22" t="n">
        <x:f>IF(T1095="Ready",ROUND(N1095+P1095,2),"n.a.")</x:f>
        <x:v>0</x:v>
      </x:c>
      <x:c r="R1095" s="22" t="n">
        <x:f>IF(T1095="Ready",ROUND(Q1095-M1095,2),"n.a.")</x:f>
        <x:v>0</x:v>
      </x:c>
      <x:c r="S1095" s="22" t="n">
        <x:f>IF(T1095="Ready",MAX(0,ROUND(I1095+M1095-Q1095,2)),"n.a.")</x:f>
        <x:v>0</x:v>
      </x:c>
      <x:c r="T1095" s="22" t="str">
        <x:f>IF(AND(COUNT($I$1092:$I$1096)=5,COUNT(E1095:F1095)=2),IF(E1095&gt;=F1095,"Ready","Budget below minima"),"Check inputs")</x:f>
        <x:v>Ready</x:v>
      </x:c>
      <x:c r="U1095" s="22" t="n">
        <x:f>IF(COUNT(I1095,M1095,N1095)=3,MAX(0,ROUND(I1095+M1095-N1095,2)),"n.a.")</x:f>
        <x:v>0</x:v>
      </x:c>
    </x:row>
    <x:row r="1096" ht="22" customHeight="1">
      <x:c r="A1096" s="2"/>
      <x:c r="B1096" s="2"/>
      <x:c r="C1096" s="27" t="n">
        <x:f>218</x:f>
        <x:v>218</x:v>
      </x:c>
      <x:c r="D1096" s="28" t="n">
        <x:f>IF(ISNUMBER('Inputs'!$D$7),EDATE('Inputs'!$D$7,217),"n.a.")</x:f>
        <x:v>52932</x:v>
      </x:c>
      <x:c r="E1096" s="26" t="n">
        <x:f>IF('Inputs'!$D$9&lt;&gt;"Ready","n.a.",IF(ISNUMBER('Inputs'!E236),IF('Inputs'!E236&gt;=0,'Inputs'!E236,"n.a."),IF('Inputs'!E236="",'Inputs'!$D$6,"n.a.")))</x:f>
        <x:v>500</x:v>
      </x:c>
      <x:c r="F1096" s="22" t="n">
        <x:f>IF(COUNT($N$1092:$N$1096)=5,SUM($N$1092:$N$1096),"n.a.")</x:f>
        <x:v>0</x:v>
      </x:c>
      <x:c r="G1096" s="22" t="n">
        <x:f>IF(COUNT(E1096:F1096)=2,MAX(0,E1096-F1096),"n.a.")</x:f>
        <x:v>500</x:v>
      </x:c>
      <x:c r="H1096" s="26" t="str">
        <x:f>'Inputs'!C15</x:f>
        <x:v>Unused 5</x:v>
      </x:c>
      <x:c r="I1096" s="26" t="n">
        <x:f>S1091</x:f>
        <x:v>0</x:v>
      </x:c>
      <x:c r="J1096" s="29" t="n">
        <x:f>IF('Inputs'!$D$9="Ready",'Inputs'!E15,"n.a.")</x:f>
        <x:v>0</x:v>
      </x:c>
      <x:c r="K1096" s="26" t="n">
        <x:f>IF('Inputs'!$D$9="Ready",'Inputs'!F15,"n.a.")</x:f>
        <x:v>0</x:v>
      </x:c>
      <x:c r="L1096" s="29" t="n">
        <x:f>IF('Inputs'!$D$9="Ready",'Inputs'!G15,"n.a.")</x:f>
        <x:v>0</x:v>
      </x:c>
      <x:c r="M1096" s="22" t="n">
        <x:f>IF(COUNT(I1096:L1096)=4,ROUND(I1096*J1096/12,2),"n.a.")</x:f>
        <x:v>0</x:v>
      </x:c>
      <x:c r="N1096" s="22" t="n">
        <x:f>IF(COUNT(I1096:M1096)=5,MIN(I1096+M1096,ROUND(MAX(K1096,I1096*L1096+M1096),2)),"n.a.")</x:f>
        <x:v>0</x:v>
      </x:c>
      <x:c r="O1096" s="30" t="n">
        <x:f>IF(COUNT($I$1092:$I$1096)&lt;&gt;5,"n.a.",IF(I1096=0,6,IF('Inputs'!$D$5=1,COUNTIFS($I$1092:$I$1096,"&gt;0",$I$1092:$I$1096,"&lt;"&amp;I1096)+COUNTIFS($I$1092:I1096,I1096),COUNTIFS($I$1092:$I$1096,"&gt;0",$J$1092:$J$1096,"&gt;"&amp;J1096)+COUNTIFS($I$1092:I1096,"&gt;0",$J$1092:J1096,J1096))))</x:f>
        <x:v>6</x:v>
      </x:c>
      <x:c r="P1096" s="22" t="n">
        <x:f>IF(T1096="Ready",MIN(U1096,MAX(0,G1096-SUMIFS($U$1092:$U$1096,$O$1092:$O$1096,"&lt;"&amp;O1096))),"n.a.")</x:f>
        <x:v>0</x:v>
      </x:c>
      <x:c r="Q1096" s="22" t="n">
        <x:f>IF(T1096="Ready",ROUND(N1096+P1096,2),"n.a.")</x:f>
        <x:v>0</x:v>
      </x:c>
      <x:c r="R1096" s="22" t="n">
        <x:f>IF(T1096="Ready",ROUND(Q1096-M1096,2),"n.a.")</x:f>
        <x:v>0</x:v>
      </x:c>
      <x:c r="S1096" s="22" t="n">
        <x:f>IF(T1096="Ready",MAX(0,ROUND(I1096+M1096-Q1096,2)),"n.a.")</x:f>
        <x:v>0</x:v>
      </x:c>
      <x:c r="T1096" s="22" t="str">
        <x:f>IF(AND(COUNT($I$1092:$I$1096)=5,COUNT(E1096:F1096)=2),IF(E1096&gt;=F1096,"Ready","Budget below minima"),"Check inputs")</x:f>
        <x:v>Ready</x:v>
      </x:c>
      <x:c r="U1096" s="22" t="n">
        <x:f>IF(COUNT(I1096,M1096,N1096)=3,MAX(0,ROUND(I1096+M1096-N1096,2)),"n.a.")</x:f>
        <x:v>0</x:v>
      </x:c>
    </x:row>
    <x:row r="1097" ht="22" customHeight="1">
      <x:c r="A1097" s="2"/>
      <x:c r="B1097" s="2"/>
      <x:c r="C1097" s="27" t="n">
        <x:f>219</x:f>
        <x:v>219</x:v>
      </x:c>
      <x:c r="D1097" s="28" t="n">
        <x:f>IF(ISNUMBER('Inputs'!$D$7),EDATE('Inputs'!$D$7,218),"n.a.")</x:f>
        <x:v>52963</x:v>
      </x:c>
      <x:c r="E1097" s="26" t="n">
        <x:f>IF('Inputs'!$D$9&lt;&gt;"Ready","n.a.",IF(ISNUMBER('Inputs'!E237),IF('Inputs'!E237&gt;=0,'Inputs'!E237,"n.a."),IF('Inputs'!E237="",'Inputs'!$D$6,"n.a.")))</x:f>
        <x:v>500</x:v>
      </x:c>
      <x:c r="F1097" s="22" t="n">
        <x:f>IF(COUNT($N$1097:$N$1101)=5,SUM($N$1097:$N$1101),"n.a.")</x:f>
        <x:v>0</x:v>
      </x:c>
      <x:c r="G1097" s="22" t="n">
        <x:f>IF(COUNT(E1097:F1097)=2,MAX(0,E1097-F1097),"n.a.")</x:f>
        <x:v>500</x:v>
      </x:c>
      <x:c r="H1097" s="26" t="str">
        <x:f>'Inputs'!C11</x:f>
        <x:v>Card A</x:v>
      </x:c>
      <x:c r="I1097" s="26" t="n">
        <x:f>S1092</x:f>
        <x:v>0</x:v>
      </x:c>
      <x:c r="J1097" s="29" t="n">
        <x:f>IF('Inputs'!$D$9="Ready",'Inputs'!E11,"n.a.")</x:f>
        <x:v>0.24</x:v>
      </x:c>
      <x:c r="K1097" s="26" t="n">
        <x:f>IF('Inputs'!$D$9="Ready",'Inputs'!F11,"n.a.")</x:f>
        <x:v>35</x:v>
      </x:c>
      <x:c r="L1097" s="29" t="n">
        <x:f>IF('Inputs'!$D$9="Ready",'Inputs'!G11,"n.a.")</x:f>
        <x:v>0.02</x:v>
      </x:c>
      <x:c r="M1097" s="22" t="n">
        <x:f>IF(COUNT(I1097:L1097)=4,ROUND(I1097*J1097/12,2),"n.a.")</x:f>
        <x:v>0</x:v>
      </x:c>
      <x:c r="N1097" s="22" t="n">
        <x:f>IF(COUNT(I1097:M1097)=5,MIN(I1097+M1097,ROUND(MAX(K1097,I1097*L1097+M1097),2)),"n.a.")</x:f>
        <x:v>0</x:v>
      </x:c>
      <x:c r="O1097" s="30" t="n">
        <x:f>IF(COUNT($I$1097:$I$1101)&lt;&gt;5,"n.a.",IF(I1097=0,6,IF('Inputs'!$D$5=1,COUNTIFS($I$1097:$I$1101,"&gt;0",$I$1097:$I$1101,"&lt;"&amp;I1097)+COUNTIFS($I$1097:I1097,I1097),COUNTIFS($I$1097:$I$1101,"&gt;0",$J$1097:$J$1101,"&gt;"&amp;J1097)+COUNTIFS($I$1097:I1097,"&gt;0",$J$1097:J1097,J1097))))</x:f>
        <x:v>6</x:v>
      </x:c>
      <x:c r="P1097" s="22" t="n">
        <x:f>IF(T1097="Ready",MIN(U1097,MAX(0,G1097-SUMIFS($U$1097:$U$1101,$O$1097:$O$1101,"&lt;"&amp;O1097))),"n.a.")</x:f>
        <x:v>0</x:v>
      </x:c>
      <x:c r="Q1097" s="22" t="n">
        <x:f>IF(T1097="Ready",ROUND(N1097+P1097,2),"n.a.")</x:f>
        <x:v>0</x:v>
      </x:c>
      <x:c r="R1097" s="22" t="n">
        <x:f>IF(T1097="Ready",ROUND(Q1097-M1097,2),"n.a.")</x:f>
        <x:v>0</x:v>
      </x:c>
      <x:c r="S1097" s="22" t="n">
        <x:f>IF(T1097="Ready",MAX(0,ROUND(I1097+M1097-Q1097,2)),"n.a.")</x:f>
        <x:v>0</x:v>
      </x:c>
      <x:c r="T1097" s="22" t="str">
        <x:f>IF(AND(COUNT($I$1097:$I$1101)=5,COUNT(E1097:F1097)=2),IF(E1097&gt;=F1097,"Ready","Budget below minima"),"Check inputs")</x:f>
        <x:v>Ready</x:v>
      </x:c>
      <x:c r="U1097" s="22" t="n">
        <x:f>IF(COUNT(I1097,M1097,N1097)=3,MAX(0,ROUND(I1097+M1097-N1097,2)),"n.a.")</x:f>
        <x:v>0</x:v>
      </x:c>
    </x:row>
    <x:row r="1098" ht="22" customHeight="1">
      <x:c r="A1098" s="2"/>
      <x:c r="B1098" s="2"/>
      <x:c r="C1098" s="27" t="n">
        <x:f>219</x:f>
        <x:v>219</x:v>
      </x:c>
      <x:c r="D1098" s="28" t="n">
        <x:f>IF(ISNUMBER('Inputs'!$D$7),EDATE('Inputs'!$D$7,218),"n.a.")</x:f>
        <x:v>52963</x:v>
      </x:c>
      <x:c r="E1098" s="26" t="n">
        <x:f>IF('Inputs'!$D$9&lt;&gt;"Ready","n.a.",IF(ISNUMBER('Inputs'!E237),IF('Inputs'!E237&gt;=0,'Inputs'!E237,"n.a."),IF('Inputs'!E237="",'Inputs'!$D$6,"n.a.")))</x:f>
        <x:v>500</x:v>
      </x:c>
      <x:c r="F1098" s="22" t="n">
        <x:f>IF(COUNT($N$1097:$N$1101)=5,SUM($N$1097:$N$1101),"n.a.")</x:f>
        <x:v>0</x:v>
      </x:c>
      <x:c r="G1098" s="22" t="n">
        <x:f>IF(COUNT(E1098:F1098)=2,MAX(0,E1098-F1098),"n.a.")</x:f>
        <x:v>500</x:v>
      </x:c>
      <x:c r="H1098" s="26" t="str">
        <x:f>'Inputs'!C12</x:f>
        <x:v>Card B</x:v>
      </x:c>
      <x:c r="I1098" s="26" t="n">
        <x:f>S1093</x:f>
        <x:v>0</x:v>
      </x:c>
      <x:c r="J1098" s="29" t="n">
        <x:f>IF('Inputs'!$D$9="Ready",'Inputs'!E12,"n.a.")</x:f>
        <x:v>0.18</x:v>
      </x:c>
      <x:c r="K1098" s="26" t="n">
        <x:f>IF('Inputs'!$D$9="Ready",'Inputs'!F12,"n.a.")</x:f>
        <x:v>60</x:v>
      </x:c>
      <x:c r="L1098" s="29" t="n">
        <x:f>IF('Inputs'!$D$9="Ready",'Inputs'!G12,"n.a.")</x:f>
        <x:v>0.02</x:v>
      </x:c>
      <x:c r="M1098" s="22" t="n">
        <x:f>IF(COUNT(I1098:L1098)=4,ROUND(I1098*J1098/12,2),"n.a.")</x:f>
        <x:v>0</x:v>
      </x:c>
      <x:c r="N1098" s="22" t="n">
        <x:f>IF(COUNT(I1098:M1098)=5,MIN(I1098+M1098,ROUND(MAX(K1098,I1098*L1098+M1098),2)),"n.a.")</x:f>
        <x:v>0</x:v>
      </x:c>
      <x:c r="O1098" s="30" t="n">
        <x:f>IF(COUNT($I$1097:$I$1101)&lt;&gt;5,"n.a.",IF(I1098=0,6,IF('Inputs'!$D$5=1,COUNTIFS($I$1097:$I$1101,"&gt;0",$I$1097:$I$1101,"&lt;"&amp;I1098)+COUNTIFS($I$1097:I1098,I1098),COUNTIFS($I$1097:$I$1101,"&gt;0",$J$1097:$J$1101,"&gt;"&amp;J1098)+COUNTIFS($I$1097:I1098,"&gt;0",$J$1097:J1098,J1098))))</x:f>
        <x:v>6</x:v>
      </x:c>
      <x:c r="P1098" s="22" t="n">
        <x:f>IF(T1098="Ready",MIN(U1098,MAX(0,G1098-SUMIFS($U$1097:$U$1101,$O$1097:$O$1101,"&lt;"&amp;O1098))),"n.a.")</x:f>
        <x:v>0</x:v>
      </x:c>
      <x:c r="Q1098" s="22" t="n">
        <x:f>IF(T1098="Ready",ROUND(N1098+P1098,2),"n.a.")</x:f>
        <x:v>0</x:v>
      </x:c>
      <x:c r="R1098" s="22" t="n">
        <x:f>IF(T1098="Ready",ROUND(Q1098-M1098,2),"n.a.")</x:f>
        <x:v>0</x:v>
      </x:c>
      <x:c r="S1098" s="22" t="n">
        <x:f>IF(T1098="Ready",MAX(0,ROUND(I1098+M1098-Q1098,2)),"n.a.")</x:f>
        <x:v>0</x:v>
      </x:c>
      <x:c r="T1098" s="22" t="str">
        <x:f>IF(AND(COUNT($I$1097:$I$1101)=5,COUNT(E1098:F1098)=2),IF(E1098&gt;=F1098,"Ready","Budget below minima"),"Check inputs")</x:f>
        <x:v>Ready</x:v>
      </x:c>
      <x:c r="U1098" s="22" t="n">
        <x:f>IF(COUNT(I1098,M1098,N1098)=3,MAX(0,ROUND(I1098+M1098-N1098,2)),"n.a.")</x:f>
        <x:v>0</x:v>
      </x:c>
    </x:row>
    <x:row r="1099" ht="22" customHeight="1">
      <x:c r="A1099" s="2"/>
      <x:c r="B1099" s="2"/>
      <x:c r="C1099" s="27" t="n">
        <x:f>219</x:f>
        <x:v>219</x:v>
      </x:c>
      <x:c r="D1099" s="28" t="n">
        <x:f>IF(ISNUMBER('Inputs'!$D$7),EDATE('Inputs'!$D$7,218),"n.a.")</x:f>
        <x:v>52963</x:v>
      </x:c>
      <x:c r="E1099" s="26" t="n">
        <x:f>IF('Inputs'!$D$9&lt;&gt;"Ready","n.a.",IF(ISNUMBER('Inputs'!E237),IF('Inputs'!E237&gt;=0,'Inputs'!E237,"n.a."),IF('Inputs'!E237="",'Inputs'!$D$6,"n.a.")))</x:f>
        <x:v>500</x:v>
      </x:c>
      <x:c r="F1099" s="22" t="n">
        <x:f>IF(COUNT($N$1097:$N$1101)=5,SUM($N$1097:$N$1101),"n.a.")</x:f>
        <x:v>0</x:v>
      </x:c>
      <x:c r="G1099" s="22" t="n">
        <x:f>IF(COUNT(E1099:F1099)=2,MAX(0,E1099-F1099),"n.a.")</x:f>
        <x:v>500</x:v>
      </x:c>
      <x:c r="H1099" s="26" t="str">
        <x:f>'Inputs'!C13</x:f>
        <x:v>Loan C</x:v>
      </x:c>
      <x:c r="I1099" s="26" t="n">
        <x:f>S1094</x:f>
        <x:v>0</x:v>
      </x:c>
      <x:c r="J1099" s="29" t="n">
        <x:f>IF('Inputs'!$D$9="Ready",'Inputs'!E13,"n.a.")</x:f>
        <x:v>0.08</x:v>
      </x:c>
      <x:c r="K1099" s="26" t="n">
        <x:f>IF('Inputs'!$D$9="Ready",'Inputs'!F13,"n.a.")</x:f>
        <x:v>150</x:v>
      </x:c>
      <x:c r="L1099" s="29" t="n">
        <x:f>IF('Inputs'!$D$9="Ready",'Inputs'!G13,"n.a.")</x:f>
        <x:v>0</x:v>
      </x:c>
      <x:c r="M1099" s="22" t="n">
        <x:f>IF(COUNT(I1099:L1099)=4,ROUND(I1099*J1099/12,2),"n.a.")</x:f>
        <x:v>0</x:v>
      </x:c>
      <x:c r="N1099" s="22" t="n">
        <x:f>IF(COUNT(I1099:M1099)=5,MIN(I1099+M1099,ROUND(MAX(K1099,I1099*L1099+M1099),2)),"n.a.")</x:f>
        <x:v>0</x:v>
      </x:c>
      <x:c r="O1099" s="30" t="n">
        <x:f>IF(COUNT($I$1097:$I$1101)&lt;&gt;5,"n.a.",IF(I1099=0,6,IF('Inputs'!$D$5=1,COUNTIFS($I$1097:$I$1101,"&gt;0",$I$1097:$I$1101,"&lt;"&amp;I1099)+COUNTIFS($I$1097:I1099,I1099),COUNTIFS($I$1097:$I$1101,"&gt;0",$J$1097:$J$1101,"&gt;"&amp;J1099)+COUNTIFS($I$1097:I1099,"&gt;0",$J$1097:J1099,J1099))))</x:f>
        <x:v>6</x:v>
      </x:c>
      <x:c r="P1099" s="22" t="n">
        <x:f>IF(T1099="Ready",MIN(U1099,MAX(0,G1099-SUMIFS($U$1097:$U$1101,$O$1097:$O$1101,"&lt;"&amp;O1099))),"n.a.")</x:f>
        <x:v>0</x:v>
      </x:c>
      <x:c r="Q1099" s="22" t="n">
        <x:f>IF(T1099="Ready",ROUND(N1099+P1099,2),"n.a.")</x:f>
        <x:v>0</x:v>
      </x:c>
      <x:c r="R1099" s="22" t="n">
        <x:f>IF(T1099="Ready",ROUND(Q1099-M1099,2),"n.a.")</x:f>
        <x:v>0</x:v>
      </x:c>
      <x:c r="S1099" s="22" t="n">
        <x:f>IF(T1099="Ready",MAX(0,ROUND(I1099+M1099-Q1099,2)),"n.a.")</x:f>
        <x:v>0</x:v>
      </x:c>
      <x:c r="T1099" s="22" t="str">
        <x:f>IF(AND(COUNT($I$1097:$I$1101)=5,COUNT(E1099:F1099)=2),IF(E1099&gt;=F1099,"Ready","Budget below minima"),"Check inputs")</x:f>
        <x:v>Ready</x:v>
      </x:c>
      <x:c r="U1099" s="22" t="n">
        <x:f>IF(COUNT(I1099,M1099,N1099)=3,MAX(0,ROUND(I1099+M1099-N1099,2)),"n.a.")</x:f>
        <x:v>0</x:v>
      </x:c>
    </x:row>
    <x:row r="1100" ht="22" customHeight="1">
      <x:c r="A1100" s="2"/>
      <x:c r="B1100" s="2"/>
      <x:c r="C1100" s="27" t="n">
        <x:f>219</x:f>
        <x:v>219</x:v>
      </x:c>
      <x:c r="D1100" s="28" t="n">
        <x:f>IF(ISNUMBER('Inputs'!$D$7),EDATE('Inputs'!$D$7,218),"n.a.")</x:f>
        <x:v>52963</x:v>
      </x:c>
      <x:c r="E1100" s="26" t="n">
        <x:f>IF('Inputs'!$D$9&lt;&gt;"Ready","n.a.",IF(ISNUMBER('Inputs'!E237),IF('Inputs'!E237&gt;=0,'Inputs'!E237,"n.a."),IF('Inputs'!E237="",'Inputs'!$D$6,"n.a.")))</x:f>
        <x:v>500</x:v>
      </x:c>
      <x:c r="F1100" s="22" t="n">
        <x:f>IF(COUNT($N$1097:$N$1101)=5,SUM($N$1097:$N$1101),"n.a.")</x:f>
        <x:v>0</x:v>
      </x:c>
      <x:c r="G1100" s="22" t="n">
        <x:f>IF(COUNT(E1100:F1100)=2,MAX(0,E1100-F1100),"n.a.")</x:f>
        <x:v>500</x:v>
      </x:c>
      <x:c r="H1100" s="26" t="str">
        <x:f>'Inputs'!C14</x:f>
        <x:v>Unused 4</x:v>
      </x:c>
      <x:c r="I1100" s="26" t="n">
        <x:f>S1095</x:f>
        <x:v>0</x:v>
      </x:c>
      <x:c r="J1100" s="29" t="n">
        <x:f>IF('Inputs'!$D$9="Ready",'Inputs'!E14,"n.a.")</x:f>
        <x:v>0</x:v>
      </x:c>
      <x:c r="K1100" s="26" t="n">
        <x:f>IF('Inputs'!$D$9="Ready",'Inputs'!F14,"n.a.")</x:f>
        <x:v>0</x:v>
      </x:c>
      <x:c r="L1100" s="29" t="n">
        <x:f>IF('Inputs'!$D$9="Ready",'Inputs'!G14,"n.a.")</x:f>
        <x:v>0</x:v>
      </x:c>
      <x:c r="M1100" s="22" t="n">
        <x:f>IF(COUNT(I1100:L1100)=4,ROUND(I1100*J1100/12,2),"n.a.")</x:f>
        <x:v>0</x:v>
      </x:c>
      <x:c r="N1100" s="22" t="n">
        <x:f>IF(COUNT(I1100:M1100)=5,MIN(I1100+M1100,ROUND(MAX(K1100,I1100*L1100+M1100),2)),"n.a.")</x:f>
        <x:v>0</x:v>
      </x:c>
      <x:c r="O1100" s="30" t="n">
        <x:f>IF(COUNT($I$1097:$I$1101)&lt;&gt;5,"n.a.",IF(I1100=0,6,IF('Inputs'!$D$5=1,COUNTIFS($I$1097:$I$1101,"&gt;0",$I$1097:$I$1101,"&lt;"&amp;I1100)+COUNTIFS($I$1097:I1100,I1100),COUNTIFS($I$1097:$I$1101,"&gt;0",$J$1097:$J$1101,"&gt;"&amp;J1100)+COUNTIFS($I$1097:I1100,"&gt;0",$J$1097:J1100,J1100))))</x:f>
        <x:v>6</x:v>
      </x:c>
      <x:c r="P1100" s="22" t="n">
        <x:f>IF(T1100="Ready",MIN(U1100,MAX(0,G1100-SUMIFS($U$1097:$U$1101,$O$1097:$O$1101,"&lt;"&amp;O1100))),"n.a.")</x:f>
        <x:v>0</x:v>
      </x:c>
      <x:c r="Q1100" s="22" t="n">
        <x:f>IF(T1100="Ready",ROUND(N1100+P1100,2),"n.a.")</x:f>
        <x:v>0</x:v>
      </x:c>
      <x:c r="R1100" s="22" t="n">
        <x:f>IF(T1100="Ready",ROUND(Q1100-M1100,2),"n.a.")</x:f>
        <x:v>0</x:v>
      </x:c>
      <x:c r="S1100" s="22" t="n">
        <x:f>IF(T1100="Ready",MAX(0,ROUND(I1100+M1100-Q1100,2)),"n.a.")</x:f>
        <x:v>0</x:v>
      </x:c>
      <x:c r="T1100" s="22" t="str">
        <x:f>IF(AND(COUNT($I$1097:$I$1101)=5,COUNT(E1100:F1100)=2),IF(E1100&gt;=F1100,"Ready","Budget below minima"),"Check inputs")</x:f>
        <x:v>Ready</x:v>
      </x:c>
      <x:c r="U1100" s="22" t="n">
        <x:f>IF(COUNT(I1100,M1100,N1100)=3,MAX(0,ROUND(I1100+M1100-N1100,2)),"n.a.")</x:f>
        <x:v>0</x:v>
      </x:c>
    </x:row>
    <x:row r="1101" ht="22" customHeight="1">
      <x:c r="A1101" s="2"/>
      <x:c r="B1101" s="2"/>
      <x:c r="C1101" s="27" t="n">
        <x:f>219</x:f>
        <x:v>219</x:v>
      </x:c>
      <x:c r="D1101" s="28" t="n">
        <x:f>IF(ISNUMBER('Inputs'!$D$7),EDATE('Inputs'!$D$7,218),"n.a.")</x:f>
        <x:v>52963</x:v>
      </x:c>
      <x:c r="E1101" s="26" t="n">
        <x:f>IF('Inputs'!$D$9&lt;&gt;"Ready","n.a.",IF(ISNUMBER('Inputs'!E237),IF('Inputs'!E237&gt;=0,'Inputs'!E237,"n.a."),IF('Inputs'!E237="",'Inputs'!$D$6,"n.a.")))</x:f>
        <x:v>500</x:v>
      </x:c>
      <x:c r="F1101" s="22" t="n">
        <x:f>IF(COUNT($N$1097:$N$1101)=5,SUM($N$1097:$N$1101),"n.a.")</x:f>
        <x:v>0</x:v>
      </x:c>
      <x:c r="G1101" s="22" t="n">
        <x:f>IF(COUNT(E1101:F1101)=2,MAX(0,E1101-F1101),"n.a.")</x:f>
        <x:v>500</x:v>
      </x:c>
      <x:c r="H1101" s="26" t="str">
        <x:f>'Inputs'!C15</x:f>
        <x:v>Unused 5</x:v>
      </x:c>
      <x:c r="I1101" s="26" t="n">
        <x:f>S1096</x:f>
        <x:v>0</x:v>
      </x:c>
      <x:c r="J1101" s="29" t="n">
        <x:f>IF('Inputs'!$D$9="Ready",'Inputs'!E15,"n.a.")</x:f>
        <x:v>0</x:v>
      </x:c>
      <x:c r="K1101" s="26" t="n">
        <x:f>IF('Inputs'!$D$9="Ready",'Inputs'!F15,"n.a.")</x:f>
        <x:v>0</x:v>
      </x:c>
      <x:c r="L1101" s="29" t="n">
        <x:f>IF('Inputs'!$D$9="Ready",'Inputs'!G15,"n.a.")</x:f>
        <x:v>0</x:v>
      </x:c>
      <x:c r="M1101" s="22" t="n">
        <x:f>IF(COUNT(I1101:L1101)=4,ROUND(I1101*J1101/12,2),"n.a.")</x:f>
        <x:v>0</x:v>
      </x:c>
      <x:c r="N1101" s="22" t="n">
        <x:f>IF(COUNT(I1101:M1101)=5,MIN(I1101+M1101,ROUND(MAX(K1101,I1101*L1101+M1101),2)),"n.a.")</x:f>
        <x:v>0</x:v>
      </x:c>
      <x:c r="O1101" s="30" t="n">
        <x:f>IF(COUNT($I$1097:$I$1101)&lt;&gt;5,"n.a.",IF(I1101=0,6,IF('Inputs'!$D$5=1,COUNTIFS($I$1097:$I$1101,"&gt;0",$I$1097:$I$1101,"&lt;"&amp;I1101)+COUNTIFS($I$1097:I1101,I1101),COUNTIFS($I$1097:$I$1101,"&gt;0",$J$1097:$J$1101,"&gt;"&amp;J1101)+COUNTIFS($I$1097:I1101,"&gt;0",$J$1097:J1101,J1101))))</x:f>
        <x:v>6</x:v>
      </x:c>
      <x:c r="P1101" s="22" t="n">
        <x:f>IF(T1101="Ready",MIN(U1101,MAX(0,G1101-SUMIFS($U$1097:$U$1101,$O$1097:$O$1101,"&lt;"&amp;O1101))),"n.a.")</x:f>
        <x:v>0</x:v>
      </x:c>
      <x:c r="Q1101" s="22" t="n">
        <x:f>IF(T1101="Ready",ROUND(N1101+P1101,2),"n.a.")</x:f>
        <x:v>0</x:v>
      </x:c>
      <x:c r="R1101" s="22" t="n">
        <x:f>IF(T1101="Ready",ROUND(Q1101-M1101,2),"n.a.")</x:f>
        <x:v>0</x:v>
      </x:c>
      <x:c r="S1101" s="22" t="n">
        <x:f>IF(T1101="Ready",MAX(0,ROUND(I1101+M1101-Q1101,2)),"n.a.")</x:f>
        <x:v>0</x:v>
      </x:c>
      <x:c r="T1101" s="22" t="str">
        <x:f>IF(AND(COUNT($I$1097:$I$1101)=5,COUNT(E1101:F1101)=2),IF(E1101&gt;=F1101,"Ready","Budget below minima"),"Check inputs")</x:f>
        <x:v>Ready</x:v>
      </x:c>
      <x:c r="U1101" s="22" t="n">
        <x:f>IF(COUNT(I1101,M1101,N1101)=3,MAX(0,ROUND(I1101+M1101-N1101,2)),"n.a.")</x:f>
        <x:v>0</x:v>
      </x:c>
    </x:row>
    <x:row r="1102" ht="22" customHeight="1">
      <x:c r="A1102" s="2"/>
      <x:c r="B1102" s="2"/>
      <x:c r="C1102" s="27" t="n">
        <x:f>220</x:f>
        <x:v>220</x:v>
      </x:c>
      <x:c r="D1102" s="28" t="n">
        <x:f>IF(ISNUMBER('Inputs'!$D$7),EDATE('Inputs'!$D$7,219),"n.a.")</x:f>
        <x:v>52994</x:v>
      </x:c>
      <x:c r="E1102" s="26" t="n">
        <x:f>IF('Inputs'!$D$9&lt;&gt;"Ready","n.a.",IF(ISNUMBER('Inputs'!E238),IF('Inputs'!E238&gt;=0,'Inputs'!E238,"n.a."),IF('Inputs'!E238="",'Inputs'!$D$6,"n.a.")))</x:f>
        <x:v>500</x:v>
      </x:c>
      <x:c r="F1102" s="22" t="n">
        <x:f>IF(COUNT($N$1102:$N$1106)=5,SUM($N$1102:$N$1106),"n.a.")</x:f>
        <x:v>0</x:v>
      </x:c>
      <x:c r="G1102" s="22" t="n">
        <x:f>IF(COUNT(E1102:F1102)=2,MAX(0,E1102-F1102),"n.a.")</x:f>
        <x:v>500</x:v>
      </x:c>
      <x:c r="H1102" s="26" t="str">
        <x:f>'Inputs'!C11</x:f>
        <x:v>Card A</x:v>
      </x:c>
      <x:c r="I1102" s="26" t="n">
        <x:f>S1097</x:f>
        <x:v>0</x:v>
      </x:c>
      <x:c r="J1102" s="29" t="n">
        <x:f>IF('Inputs'!$D$9="Ready",'Inputs'!E11,"n.a.")</x:f>
        <x:v>0.24</x:v>
      </x:c>
      <x:c r="K1102" s="26" t="n">
        <x:f>IF('Inputs'!$D$9="Ready",'Inputs'!F11,"n.a.")</x:f>
        <x:v>35</x:v>
      </x:c>
      <x:c r="L1102" s="29" t="n">
        <x:f>IF('Inputs'!$D$9="Ready",'Inputs'!G11,"n.a.")</x:f>
        <x:v>0.02</x:v>
      </x:c>
      <x:c r="M1102" s="22" t="n">
        <x:f>IF(COUNT(I1102:L1102)=4,ROUND(I1102*J1102/12,2),"n.a.")</x:f>
        <x:v>0</x:v>
      </x:c>
      <x:c r="N1102" s="22" t="n">
        <x:f>IF(COUNT(I1102:M1102)=5,MIN(I1102+M1102,ROUND(MAX(K1102,I1102*L1102+M1102),2)),"n.a.")</x:f>
        <x:v>0</x:v>
      </x:c>
      <x:c r="O1102" s="30" t="n">
        <x:f>IF(COUNT($I$1102:$I$1106)&lt;&gt;5,"n.a.",IF(I1102=0,6,IF('Inputs'!$D$5=1,COUNTIFS($I$1102:$I$1106,"&gt;0",$I$1102:$I$1106,"&lt;"&amp;I1102)+COUNTIFS($I$1102:I1102,I1102),COUNTIFS($I$1102:$I$1106,"&gt;0",$J$1102:$J$1106,"&gt;"&amp;J1102)+COUNTIFS($I$1102:I1102,"&gt;0",$J$1102:J1102,J1102))))</x:f>
        <x:v>6</x:v>
      </x:c>
      <x:c r="P1102" s="22" t="n">
        <x:f>IF(T1102="Ready",MIN(U1102,MAX(0,G1102-SUMIFS($U$1102:$U$1106,$O$1102:$O$1106,"&lt;"&amp;O1102))),"n.a.")</x:f>
        <x:v>0</x:v>
      </x:c>
      <x:c r="Q1102" s="22" t="n">
        <x:f>IF(T1102="Ready",ROUND(N1102+P1102,2),"n.a.")</x:f>
        <x:v>0</x:v>
      </x:c>
      <x:c r="R1102" s="22" t="n">
        <x:f>IF(T1102="Ready",ROUND(Q1102-M1102,2),"n.a.")</x:f>
        <x:v>0</x:v>
      </x:c>
      <x:c r="S1102" s="22" t="n">
        <x:f>IF(T1102="Ready",MAX(0,ROUND(I1102+M1102-Q1102,2)),"n.a.")</x:f>
        <x:v>0</x:v>
      </x:c>
      <x:c r="T1102" s="22" t="str">
        <x:f>IF(AND(COUNT($I$1102:$I$1106)=5,COUNT(E1102:F1102)=2),IF(E1102&gt;=F1102,"Ready","Budget below minima"),"Check inputs")</x:f>
        <x:v>Ready</x:v>
      </x:c>
      <x:c r="U1102" s="22" t="n">
        <x:f>IF(COUNT(I1102,M1102,N1102)=3,MAX(0,ROUND(I1102+M1102-N1102,2)),"n.a.")</x:f>
        <x:v>0</x:v>
      </x:c>
    </x:row>
    <x:row r="1103" ht="22" customHeight="1">
      <x:c r="A1103" s="2"/>
      <x:c r="B1103" s="2"/>
      <x:c r="C1103" s="27" t="n">
        <x:f>220</x:f>
        <x:v>220</x:v>
      </x:c>
      <x:c r="D1103" s="28" t="n">
        <x:f>IF(ISNUMBER('Inputs'!$D$7),EDATE('Inputs'!$D$7,219),"n.a.")</x:f>
        <x:v>52994</x:v>
      </x:c>
      <x:c r="E1103" s="26" t="n">
        <x:f>IF('Inputs'!$D$9&lt;&gt;"Ready","n.a.",IF(ISNUMBER('Inputs'!E238),IF('Inputs'!E238&gt;=0,'Inputs'!E238,"n.a."),IF('Inputs'!E238="",'Inputs'!$D$6,"n.a.")))</x:f>
        <x:v>500</x:v>
      </x:c>
      <x:c r="F1103" s="22" t="n">
        <x:f>IF(COUNT($N$1102:$N$1106)=5,SUM($N$1102:$N$1106),"n.a.")</x:f>
        <x:v>0</x:v>
      </x:c>
      <x:c r="G1103" s="22" t="n">
        <x:f>IF(COUNT(E1103:F1103)=2,MAX(0,E1103-F1103),"n.a.")</x:f>
        <x:v>500</x:v>
      </x:c>
      <x:c r="H1103" s="26" t="str">
        <x:f>'Inputs'!C12</x:f>
        <x:v>Card B</x:v>
      </x:c>
      <x:c r="I1103" s="26" t="n">
        <x:f>S1098</x:f>
        <x:v>0</x:v>
      </x:c>
      <x:c r="J1103" s="29" t="n">
        <x:f>IF('Inputs'!$D$9="Ready",'Inputs'!E12,"n.a.")</x:f>
        <x:v>0.18</x:v>
      </x:c>
      <x:c r="K1103" s="26" t="n">
        <x:f>IF('Inputs'!$D$9="Ready",'Inputs'!F12,"n.a.")</x:f>
        <x:v>60</x:v>
      </x:c>
      <x:c r="L1103" s="29" t="n">
        <x:f>IF('Inputs'!$D$9="Ready",'Inputs'!G12,"n.a.")</x:f>
        <x:v>0.02</x:v>
      </x:c>
      <x:c r="M1103" s="22" t="n">
        <x:f>IF(COUNT(I1103:L1103)=4,ROUND(I1103*J1103/12,2),"n.a.")</x:f>
        <x:v>0</x:v>
      </x:c>
      <x:c r="N1103" s="22" t="n">
        <x:f>IF(COUNT(I1103:M1103)=5,MIN(I1103+M1103,ROUND(MAX(K1103,I1103*L1103+M1103),2)),"n.a.")</x:f>
        <x:v>0</x:v>
      </x:c>
      <x:c r="O1103" s="30" t="n">
        <x:f>IF(COUNT($I$1102:$I$1106)&lt;&gt;5,"n.a.",IF(I1103=0,6,IF('Inputs'!$D$5=1,COUNTIFS($I$1102:$I$1106,"&gt;0",$I$1102:$I$1106,"&lt;"&amp;I1103)+COUNTIFS($I$1102:I1103,I1103),COUNTIFS($I$1102:$I$1106,"&gt;0",$J$1102:$J$1106,"&gt;"&amp;J1103)+COUNTIFS($I$1102:I1103,"&gt;0",$J$1102:J1103,J1103))))</x:f>
        <x:v>6</x:v>
      </x:c>
      <x:c r="P1103" s="22" t="n">
        <x:f>IF(T1103="Ready",MIN(U1103,MAX(0,G1103-SUMIFS($U$1102:$U$1106,$O$1102:$O$1106,"&lt;"&amp;O1103))),"n.a.")</x:f>
        <x:v>0</x:v>
      </x:c>
      <x:c r="Q1103" s="22" t="n">
        <x:f>IF(T1103="Ready",ROUND(N1103+P1103,2),"n.a.")</x:f>
        <x:v>0</x:v>
      </x:c>
      <x:c r="R1103" s="22" t="n">
        <x:f>IF(T1103="Ready",ROUND(Q1103-M1103,2),"n.a.")</x:f>
        <x:v>0</x:v>
      </x:c>
      <x:c r="S1103" s="22" t="n">
        <x:f>IF(T1103="Ready",MAX(0,ROUND(I1103+M1103-Q1103,2)),"n.a.")</x:f>
        <x:v>0</x:v>
      </x:c>
      <x:c r="T1103" s="22" t="str">
        <x:f>IF(AND(COUNT($I$1102:$I$1106)=5,COUNT(E1103:F1103)=2),IF(E1103&gt;=F1103,"Ready","Budget below minima"),"Check inputs")</x:f>
        <x:v>Ready</x:v>
      </x:c>
      <x:c r="U1103" s="22" t="n">
        <x:f>IF(COUNT(I1103,M1103,N1103)=3,MAX(0,ROUND(I1103+M1103-N1103,2)),"n.a.")</x:f>
        <x:v>0</x:v>
      </x:c>
    </x:row>
    <x:row r="1104" ht="22" customHeight="1">
      <x:c r="A1104" s="2"/>
      <x:c r="B1104" s="2"/>
      <x:c r="C1104" s="27" t="n">
        <x:f>220</x:f>
        <x:v>220</x:v>
      </x:c>
      <x:c r="D1104" s="28" t="n">
        <x:f>IF(ISNUMBER('Inputs'!$D$7),EDATE('Inputs'!$D$7,219),"n.a.")</x:f>
        <x:v>52994</x:v>
      </x:c>
      <x:c r="E1104" s="26" t="n">
        <x:f>IF('Inputs'!$D$9&lt;&gt;"Ready","n.a.",IF(ISNUMBER('Inputs'!E238),IF('Inputs'!E238&gt;=0,'Inputs'!E238,"n.a."),IF('Inputs'!E238="",'Inputs'!$D$6,"n.a.")))</x:f>
        <x:v>500</x:v>
      </x:c>
      <x:c r="F1104" s="22" t="n">
        <x:f>IF(COUNT($N$1102:$N$1106)=5,SUM($N$1102:$N$1106),"n.a.")</x:f>
        <x:v>0</x:v>
      </x:c>
      <x:c r="G1104" s="22" t="n">
        <x:f>IF(COUNT(E1104:F1104)=2,MAX(0,E1104-F1104),"n.a.")</x:f>
        <x:v>500</x:v>
      </x:c>
      <x:c r="H1104" s="26" t="str">
        <x:f>'Inputs'!C13</x:f>
        <x:v>Loan C</x:v>
      </x:c>
      <x:c r="I1104" s="26" t="n">
        <x:f>S1099</x:f>
        <x:v>0</x:v>
      </x:c>
      <x:c r="J1104" s="29" t="n">
        <x:f>IF('Inputs'!$D$9="Ready",'Inputs'!E13,"n.a.")</x:f>
        <x:v>0.08</x:v>
      </x:c>
      <x:c r="K1104" s="26" t="n">
        <x:f>IF('Inputs'!$D$9="Ready",'Inputs'!F13,"n.a.")</x:f>
        <x:v>150</x:v>
      </x:c>
      <x:c r="L1104" s="29" t="n">
        <x:f>IF('Inputs'!$D$9="Ready",'Inputs'!G13,"n.a.")</x:f>
        <x:v>0</x:v>
      </x:c>
      <x:c r="M1104" s="22" t="n">
        <x:f>IF(COUNT(I1104:L1104)=4,ROUND(I1104*J1104/12,2),"n.a.")</x:f>
        <x:v>0</x:v>
      </x:c>
      <x:c r="N1104" s="22" t="n">
        <x:f>IF(COUNT(I1104:M1104)=5,MIN(I1104+M1104,ROUND(MAX(K1104,I1104*L1104+M1104),2)),"n.a.")</x:f>
        <x:v>0</x:v>
      </x:c>
      <x:c r="O1104" s="30" t="n">
        <x:f>IF(COUNT($I$1102:$I$1106)&lt;&gt;5,"n.a.",IF(I1104=0,6,IF('Inputs'!$D$5=1,COUNTIFS($I$1102:$I$1106,"&gt;0",$I$1102:$I$1106,"&lt;"&amp;I1104)+COUNTIFS($I$1102:I1104,I1104),COUNTIFS($I$1102:$I$1106,"&gt;0",$J$1102:$J$1106,"&gt;"&amp;J1104)+COUNTIFS($I$1102:I1104,"&gt;0",$J$1102:J1104,J1104))))</x:f>
        <x:v>6</x:v>
      </x:c>
      <x:c r="P1104" s="22" t="n">
        <x:f>IF(T1104="Ready",MIN(U1104,MAX(0,G1104-SUMIFS($U$1102:$U$1106,$O$1102:$O$1106,"&lt;"&amp;O1104))),"n.a.")</x:f>
        <x:v>0</x:v>
      </x:c>
      <x:c r="Q1104" s="22" t="n">
        <x:f>IF(T1104="Ready",ROUND(N1104+P1104,2),"n.a.")</x:f>
        <x:v>0</x:v>
      </x:c>
      <x:c r="R1104" s="22" t="n">
        <x:f>IF(T1104="Ready",ROUND(Q1104-M1104,2),"n.a.")</x:f>
        <x:v>0</x:v>
      </x:c>
      <x:c r="S1104" s="22" t="n">
        <x:f>IF(T1104="Ready",MAX(0,ROUND(I1104+M1104-Q1104,2)),"n.a.")</x:f>
        <x:v>0</x:v>
      </x:c>
      <x:c r="T1104" s="22" t="str">
        <x:f>IF(AND(COUNT($I$1102:$I$1106)=5,COUNT(E1104:F1104)=2),IF(E1104&gt;=F1104,"Ready","Budget below minima"),"Check inputs")</x:f>
        <x:v>Ready</x:v>
      </x:c>
      <x:c r="U1104" s="22" t="n">
        <x:f>IF(COUNT(I1104,M1104,N1104)=3,MAX(0,ROUND(I1104+M1104-N1104,2)),"n.a.")</x:f>
        <x:v>0</x:v>
      </x:c>
    </x:row>
    <x:row r="1105" ht="22" customHeight="1">
      <x:c r="A1105" s="2"/>
      <x:c r="B1105" s="2"/>
      <x:c r="C1105" s="27" t="n">
        <x:f>220</x:f>
        <x:v>220</x:v>
      </x:c>
      <x:c r="D1105" s="28" t="n">
        <x:f>IF(ISNUMBER('Inputs'!$D$7),EDATE('Inputs'!$D$7,219),"n.a.")</x:f>
        <x:v>52994</x:v>
      </x:c>
      <x:c r="E1105" s="26" t="n">
        <x:f>IF('Inputs'!$D$9&lt;&gt;"Ready","n.a.",IF(ISNUMBER('Inputs'!E238),IF('Inputs'!E238&gt;=0,'Inputs'!E238,"n.a."),IF('Inputs'!E238="",'Inputs'!$D$6,"n.a.")))</x:f>
        <x:v>500</x:v>
      </x:c>
      <x:c r="F1105" s="22" t="n">
        <x:f>IF(COUNT($N$1102:$N$1106)=5,SUM($N$1102:$N$1106),"n.a.")</x:f>
        <x:v>0</x:v>
      </x:c>
      <x:c r="G1105" s="22" t="n">
        <x:f>IF(COUNT(E1105:F1105)=2,MAX(0,E1105-F1105),"n.a.")</x:f>
        <x:v>500</x:v>
      </x:c>
      <x:c r="H1105" s="26" t="str">
        <x:f>'Inputs'!C14</x:f>
        <x:v>Unused 4</x:v>
      </x:c>
      <x:c r="I1105" s="26" t="n">
        <x:f>S1100</x:f>
        <x:v>0</x:v>
      </x:c>
      <x:c r="J1105" s="29" t="n">
        <x:f>IF('Inputs'!$D$9="Ready",'Inputs'!E14,"n.a.")</x:f>
        <x:v>0</x:v>
      </x:c>
      <x:c r="K1105" s="26" t="n">
        <x:f>IF('Inputs'!$D$9="Ready",'Inputs'!F14,"n.a.")</x:f>
        <x:v>0</x:v>
      </x:c>
      <x:c r="L1105" s="29" t="n">
        <x:f>IF('Inputs'!$D$9="Ready",'Inputs'!G14,"n.a.")</x:f>
        <x:v>0</x:v>
      </x:c>
      <x:c r="M1105" s="22" t="n">
        <x:f>IF(COUNT(I1105:L1105)=4,ROUND(I1105*J1105/12,2),"n.a.")</x:f>
        <x:v>0</x:v>
      </x:c>
      <x:c r="N1105" s="22" t="n">
        <x:f>IF(COUNT(I1105:M1105)=5,MIN(I1105+M1105,ROUND(MAX(K1105,I1105*L1105+M1105),2)),"n.a.")</x:f>
        <x:v>0</x:v>
      </x:c>
      <x:c r="O1105" s="30" t="n">
        <x:f>IF(COUNT($I$1102:$I$1106)&lt;&gt;5,"n.a.",IF(I1105=0,6,IF('Inputs'!$D$5=1,COUNTIFS($I$1102:$I$1106,"&gt;0",$I$1102:$I$1106,"&lt;"&amp;I1105)+COUNTIFS($I$1102:I1105,I1105),COUNTIFS($I$1102:$I$1106,"&gt;0",$J$1102:$J$1106,"&gt;"&amp;J1105)+COUNTIFS($I$1102:I1105,"&gt;0",$J$1102:J1105,J1105))))</x:f>
        <x:v>6</x:v>
      </x:c>
      <x:c r="P1105" s="22" t="n">
        <x:f>IF(T1105="Ready",MIN(U1105,MAX(0,G1105-SUMIFS($U$1102:$U$1106,$O$1102:$O$1106,"&lt;"&amp;O1105))),"n.a.")</x:f>
        <x:v>0</x:v>
      </x:c>
      <x:c r="Q1105" s="22" t="n">
        <x:f>IF(T1105="Ready",ROUND(N1105+P1105,2),"n.a.")</x:f>
        <x:v>0</x:v>
      </x:c>
      <x:c r="R1105" s="22" t="n">
        <x:f>IF(T1105="Ready",ROUND(Q1105-M1105,2),"n.a.")</x:f>
        <x:v>0</x:v>
      </x:c>
      <x:c r="S1105" s="22" t="n">
        <x:f>IF(T1105="Ready",MAX(0,ROUND(I1105+M1105-Q1105,2)),"n.a.")</x:f>
        <x:v>0</x:v>
      </x:c>
      <x:c r="T1105" s="22" t="str">
        <x:f>IF(AND(COUNT($I$1102:$I$1106)=5,COUNT(E1105:F1105)=2),IF(E1105&gt;=F1105,"Ready","Budget below minima"),"Check inputs")</x:f>
        <x:v>Ready</x:v>
      </x:c>
      <x:c r="U1105" s="22" t="n">
        <x:f>IF(COUNT(I1105,M1105,N1105)=3,MAX(0,ROUND(I1105+M1105-N1105,2)),"n.a.")</x:f>
        <x:v>0</x:v>
      </x:c>
    </x:row>
    <x:row r="1106" ht="22" customHeight="1">
      <x:c r="A1106" s="2"/>
      <x:c r="B1106" s="2"/>
      <x:c r="C1106" s="27" t="n">
        <x:f>220</x:f>
        <x:v>220</x:v>
      </x:c>
      <x:c r="D1106" s="28" t="n">
        <x:f>IF(ISNUMBER('Inputs'!$D$7),EDATE('Inputs'!$D$7,219),"n.a.")</x:f>
        <x:v>52994</x:v>
      </x:c>
      <x:c r="E1106" s="26" t="n">
        <x:f>IF('Inputs'!$D$9&lt;&gt;"Ready","n.a.",IF(ISNUMBER('Inputs'!E238),IF('Inputs'!E238&gt;=0,'Inputs'!E238,"n.a."),IF('Inputs'!E238="",'Inputs'!$D$6,"n.a.")))</x:f>
        <x:v>500</x:v>
      </x:c>
      <x:c r="F1106" s="22" t="n">
        <x:f>IF(COUNT($N$1102:$N$1106)=5,SUM($N$1102:$N$1106),"n.a.")</x:f>
        <x:v>0</x:v>
      </x:c>
      <x:c r="G1106" s="22" t="n">
        <x:f>IF(COUNT(E1106:F1106)=2,MAX(0,E1106-F1106),"n.a.")</x:f>
        <x:v>500</x:v>
      </x:c>
      <x:c r="H1106" s="26" t="str">
        <x:f>'Inputs'!C15</x:f>
        <x:v>Unused 5</x:v>
      </x:c>
      <x:c r="I1106" s="26" t="n">
        <x:f>S1101</x:f>
        <x:v>0</x:v>
      </x:c>
      <x:c r="J1106" s="29" t="n">
        <x:f>IF('Inputs'!$D$9="Ready",'Inputs'!E15,"n.a.")</x:f>
        <x:v>0</x:v>
      </x:c>
      <x:c r="K1106" s="26" t="n">
        <x:f>IF('Inputs'!$D$9="Ready",'Inputs'!F15,"n.a.")</x:f>
        <x:v>0</x:v>
      </x:c>
      <x:c r="L1106" s="29" t="n">
        <x:f>IF('Inputs'!$D$9="Ready",'Inputs'!G15,"n.a.")</x:f>
        <x:v>0</x:v>
      </x:c>
      <x:c r="M1106" s="22" t="n">
        <x:f>IF(COUNT(I1106:L1106)=4,ROUND(I1106*J1106/12,2),"n.a.")</x:f>
        <x:v>0</x:v>
      </x:c>
      <x:c r="N1106" s="22" t="n">
        <x:f>IF(COUNT(I1106:M1106)=5,MIN(I1106+M1106,ROUND(MAX(K1106,I1106*L1106+M1106),2)),"n.a.")</x:f>
        <x:v>0</x:v>
      </x:c>
      <x:c r="O1106" s="30" t="n">
        <x:f>IF(COUNT($I$1102:$I$1106)&lt;&gt;5,"n.a.",IF(I1106=0,6,IF('Inputs'!$D$5=1,COUNTIFS($I$1102:$I$1106,"&gt;0",$I$1102:$I$1106,"&lt;"&amp;I1106)+COUNTIFS($I$1102:I1106,I1106),COUNTIFS($I$1102:$I$1106,"&gt;0",$J$1102:$J$1106,"&gt;"&amp;J1106)+COUNTIFS($I$1102:I1106,"&gt;0",$J$1102:J1106,J1106))))</x:f>
        <x:v>6</x:v>
      </x:c>
      <x:c r="P1106" s="22" t="n">
        <x:f>IF(T1106="Ready",MIN(U1106,MAX(0,G1106-SUMIFS($U$1102:$U$1106,$O$1102:$O$1106,"&lt;"&amp;O1106))),"n.a.")</x:f>
        <x:v>0</x:v>
      </x:c>
      <x:c r="Q1106" s="22" t="n">
        <x:f>IF(T1106="Ready",ROUND(N1106+P1106,2),"n.a.")</x:f>
        <x:v>0</x:v>
      </x:c>
      <x:c r="R1106" s="22" t="n">
        <x:f>IF(T1106="Ready",ROUND(Q1106-M1106,2),"n.a.")</x:f>
        <x:v>0</x:v>
      </x:c>
      <x:c r="S1106" s="22" t="n">
        <x:f>IF(T1106="Ready",MAX(0,ROUND(I1106+M1106-Q1106,2)),"n.a.")</x:f>
        <x:v>0</x:v>
      </x:c>
      <x:c r="T1106" s="22" t="str">
        <x:f>IF(AND(COUNT($I$1102:$I$1106)=5,COUNT(E1106:F1106)=2),IF(E1106&gt;=F1106,"Ready","Budget below minima"),"Check inputs")</x:f>
        <x:v>Ready</x:v>
      </x:c>
      <x:c r="U1106" s="22" t="n">
        <x:f>IF(COUNT(I1106,M1106,N1106)=3,MAX(0,ROUND(I1106+M1106-N1106,2)),"n.a.")</x:f>
        <x:v>0</x:v>
      </x:c>
    </x:row>
    <x:row r="1107" ht="22" customHeight="1">
      <x:c r="A1107" s="2"/>
      <x:c r="B1107" s="2"/>
      <x:c r="C1107" s="27" t="n">
        <x:f>221</x:f>
        <x:v>221</x:v>
      </x:c>
      <x:c r="D1107" s="28" t="n">
        <x:f>IF(ISNUMBER('Inputs'!$D$7),EDATE('Inputs'!$D$7,220),"n.a.")</x:f>
        <x:v>53022</x:v>
      </x:c>
      <x:c r="E1107" s="26" t="n">
        <x:f>IF('Inputs'!$D$9&lt;&gt;"Ready","n.a.",IF(ISNUMBER('Inputs'!E239),IF('Inputs'!E239&gt;=0,'Inputs'!E239,"n.a."),IF('Inputs'!E239="",'Inputs'!$D$6,"n.a.")))</x:f>
        <x:v>500</x:v>
      </x:c>
      <x:c r="F1107" s="22" t="n">
        <x:f>IF(COUNT($N$1107:$N$1111)=5,SUM($N$1107:$N$1111),"n.a.")</x:f>
        <x:v>0</x:v>
      </x:c>
      <x:c r="G1107" s="22" t="n">
        <x:f>IF(COUNT(E1107:F1107)=2,MAX(0,E1107-F1107),"n.a.")</x:f>
        <x:v>500</x:v>
      </x:c>
      <x:c r="H1107" s="26" t="str">
        <x:f>'Inputs'!C11</x:f>
        <x:v>Card A</x:v>
      </x:c>
      <x:c r="I1107" s="26" t="n">
        <x:f>S1102</x:f>
        <x:v>0</x:v>
      </x:c>
      <x:c r="J1107" s="29" t="n">
        <x:f>IF('Inputs'!$D$9="Ready",'Inputs'!E11,"n.a.")</x:f>
        <x:v>0.24</x:v>
      </x:c>
      <x:c r="K1107" s="26" t="n">
        <x:f>IF('Inputs'!$D$9="Ready",'Inputs'!F11,"n.a.")</x:f>
        <x:v>35</x:v>
      </x:c>
      <x:c r="L1107" s="29" t="n">
        <x:f>IF('Inputs'!$D$9="Ready",'Inputs'!G11,"n.a.")</x:f>
        <x:v>0.02</x:v>
      </x:c>
      <x:c r="M1107" s="22" t="n">
        <x:f>IF(COUNT(I1107:L1107)=4,ROUND(I1107*J1107/12,2),"n.a.")</x:f>
        <x:v>0</x:v>
      </x:c>
      <x:c r="N1107" s="22" t="n">
        <x:f>IF(COUNT(I1107:M1107)=5,MIN(I1107+M1107,ROUND(MAX(K1107,I1107*L1107+M1107),2)),"n.a.")</x:f>
        <x:v>0</x:v>
      </x:c>
      <x:c r="O1107" s="30" t="n">
        <x:f>IF(COUNT($I$1107:$I$1111)&lt;&gt;5,"n.a.",IF(I1107=0,6,IF('Inputs'!$D$5=1,COUNTIFS($I$1107:$I$1111,"&gt;0",$I$1107:$I$1111,"&lt;"&amp;I1107)+COUNTIFS($I$1107:I1107,I1107),COUNTIFS($I$1107:$I$1111,"&gt;0",$J$1107:$J$1111,"&gt;"&amp;J1107)+COUNTIFS($I$1107:I1107,"&gt;0",$J$1107:J1107,J1107))))</x:f>
        <x:v>6</x:v>
      </x:c>
      <x:c r="P1107" s="22" t="n">
        <x:f>IF(T1107="Ready",MIN(U1107,MAX(0,G1107-SUMIFS($U$1107:$U$1111,$O$1107:$O$1111,"&lt;"&amp;O1107))),"n.a.")</x:f>
        <x:v>0</x:v>
      </x:c>
      <x:c r="Q1107" s="22" t="n">
        <x:f>IF(T1107="Ready",ROUND(N1107+P1107,2),"n.a.")</x:f>
        <x:v>0</x:v>
      </x:c>
      <x:c r="R1107" s="22" t="n">
        <x:f>IF(T1107="Ready",ROUND(Q1107-M1107,2),"n.a.")</x:f>
        <x:v>0</x:v>
      </x:c>
      <x:c r="S1107" s="22" t="n">
        <x:f>IF(T1107="Ready",MAX(0,ROUND(I1107+M1107-Q1107,2)),"n.a.")</x:f>
        <x:v>0</x:v>
      </x:c>
      <x:c r="T1107" s="22" t="str">
        <x:f>IF(AND(COUNT($I$1107:$I$1111)=5,COUNT(E1107:F1107)=2),IF(E1107&gt;=F1107,"Ready","Budget below minima"),"Check inputs")</x:f>
        <x:v>Ready</x:v>
      </x:c>
      <x:c r="U1107" s="22" t="n">
        <x:f>IF(COUNT(I1107,M1107,N1107)=3,MAX(0,ROUND(I1107+M1107-N1107,2)),"n.a.")</x:f>
        <x:v>0</x:v>
      </x:c>
    </x:row>
    <x:row r="1108" ht="22" customHeight="1">
      <x:c r="A1108" s="2"/>
      <x:c r="B1108" s="2"/>
      <x:c r="C1108" s="27" t="n">
        <x:f>221</x:f>
        <x:v>221</x:v>
      </x:c>
      <x:c r="D1108" s="28" t="n">
        <x:f>IF(ISNUMBER('Inputs'!$D$7),EDATE('Inputs'!$D$7,220),"n.a.")</x:f>
        <x:v>53022</x:v>
      </x:c>
      <x:c r="E1108" s="26" t="n">
        <x:f>IF('Inputs'!$D$9&lt;&gt;"Ready","n.a.",IF(ISNUMBER('Inputs'!E239),IF('Inputs'!E239&gt;=0,'Inputs'!E239,"n.a."),IF('Inputs'!E239="",'Inputs'!$D$6,"n.a.")))</x:f>
        <x:v>500</x:v>
      </x:c>
      <x:c r="F1108" s="22" t="n">
        <x:f>IF(COUNT($N$1107:$N$1111)=5,SUM($N$1107:$N$1111),"n.a.")</x:f>
        <x:v>0</x:v>
      </x:c>
      <x:c r="G1108" s="22" t="n">
        <x:f>IF(COUNT(E1108:F1108)=2,MAX(0,E1108-F1108),"n.a.")</x:f>
        <x:v>500</x:v>
      </x:c>
      <x:c r="H1108" s="26" t="str">
        <x:f>'Inputs'!C12</x:f>
        <x:v>Card B</x:v>
      </x:c>
      <x:c r="I1108" s="26" t="n">
        <x:f>S1103</x:f>
        <x:v>0</x:v>
      </x:c>
      <x:c r="J1108" s="29" t="n">
        <x:f>IF('Inputs'!$D$9="Ready",'Inputs'!E12,"n.a.")</x:f>
        <x:v>0.18</x:v>
      </x:c>
      <x:c r="K1108" s="26" t="n">
        <x:f>IF('Inputs'!$D$9="Ready",'Inputs'!F12,"n.a.")</x:f>
        <x:v>60</x:v>
      </x:c>
      <x:c r="L1108" s="29" t="n">
        <x:f>IF('Inputs'!$D$9="Ready",'Inputs'!G12,"n.a.")</x:f>
        <x:v>0.02</x:v>
      </x:c>
      <x:c r="M1108" s="22" t="n">
        <x:f>IF(COUNT(I1108:L1108)=4,ROUND(I1108*J1108/12,2),"n.a.")</x:f>
        <x:v>0</x:v>
      </x:c>
      <x:c r="N1108" s="22" t="n">
        <x:f>IF(COUNT(I1108:M1108)=5,MIN(I1108+M1108,ROUND(MAX(K1108,I1108*L1108+M1108),2)),"n.a.")</x:f>
        <x:v>0</x:v>
      </x:c>
      <x:c r="O1108" s="30" t="n">
        <x:f>IF(COUNT($I$1107:$I$1111)&lt;&gt;5,"n.a.",IF(I1108=0,6,IF('Inputs'!$D$5=1,COUNTIFS($I$1107:$I$1111,"&gt;0",$I$1107:$I$1111,"&lt;"&amp;I1108)+COUNTIFS($I$1107:I1108,I1108),COUNTIFS($I$1107:$I$1111,"&gt;0",$J$1107:$J$1111,"&gt;"&amp;J1108)+COUNTIFS($I$1107:I1108,"&gt;0",$J$1107:J1108,J1108))))</x:f>
        <x:v>6</x:v>
      </x:c>
      <x:c r="P1108" s="22" t="n">
        <x:f>IF(T1108="Ready",MIN(U1108,MAX(0,G1108-SUMIFS($U$1107:$U$1111,$O$1107:$O$1111,"&lt;"&amp;O1108))),"n.a.")</x:f>
        <x:v>0</x:v>
      </x:c>
      <x:c r="Q1108" s="22" t="n">
        <x:f>IF(T1108="Ready",ROUND(N1108+P1108,2),"n.a.")</x:f>
        <x:v>0</x:v>
      </x:c>
      <x:c r="R1108" s="22" t="n">
        <x:f>IF(T1108="Ready",ROUND(Q1108-M1108,2),"n.a.")</x:f>
        <x:v>0</x:v>
      </x:c>
      <x:c r="S1108" s="22" t="n">
        <x:f>IF(T1108="Ready",MAX(0,ROUND(I1108+M1108-Q1108,2)),"n.a.")</x:f>
        <x:v>0</x:v>
      </x:c>
      <x:c r="T1108" s="22" t="str">
        <x:f>IF(AND(COUNT($I$1107:$I$1111)=5,COUNT(E1108:F1108)=2),IF(E1108&gt;=F1108,"Ready","Budget below minima"),"Check inputs")</x:f>
        <x:v>Ready</x:v>
      </x:c>
      <x:c r="U1108" s="22" t="n">
        <x:f>IF(COUNT(I1108,M1108,N1108)=3,MAX(0,ROUND(I1108+M1108-N1108,2)),"n.a.")</x:f>
        <x:v>0</x:v>
      </x:c>
    </x:row>
    <x:row r="1109" ht="22" customHeight="1">
      <x:c r="A1109" s="2"/>
      <x:c r="B1109" s="2"/>
      <x:c r="C1109" s="27" t="n">
        <x:f>221</x:f>
        <x:v>221</x:v>
      </x:c>
      <x:c r="D1109" s="28" t="n">
        <x:f>IF(ISNUMBER('Inputs'!$D$7),EDATE('Inputs'!$D$7,220),"n.a.")</x:f>
        <x:v>53022</x:v>
      </x:c>
      <x:c r="E1109" s="26" t="n">
        <x:f>IF('Inputs'!$D$9&lt;&gt;"Ready","n.a.",IF(ISNUMBER('Inputs'!E239),IF('Inputs'!E239&gt;=0,'Inputs'!E239,"n.a."),IF('Inputs'!E239="",'Inputs'!$D$6,"n.a.")))</x:f>
        <x:v>500</x:v>
      </x:c>
      <x:c r="F1109" s="22" t="n">
        <x:f>IF(COUNT($N$1107:$N$1111)=5,SUM($N$1107:$N$1111),"n.a.")</x:f>
        <x:v>0</x:v>
      </x:c>
      <x:c r="G1109" s="22" t="n">
        <x:f>IF(COUNT(E1109:F1109)=2,MAX(0,E1109-F1109),"n.a.")</x:f>
        <x:v>500</x:v>
      </x:c>
      <x:c r="H1109" s="26" t="str">
        <x:f>'Inputs'!C13</x:f>
        <x:v>Loan C</x:v>
      </x:c>
      <x:c r="I1109" s="26" t="n">
        <x:f>S1104</x:f>
        <x:v>0</x:v>
      </x:c>
      <x:c r="J1109" s="29" t="n">
        <x:f>IF('Inputs'!$D$9="Ready",'Inputs'!E13,"n.a.")</x:f>
        <x:v>0.08</x:v>
      </x:c>
      <x:c r="K1109" s="26" t="n">
        <x:f>IF('Inputs'!$D$9="Ready",'Inputs'!F13,"n.a.")</x:f>
        <x:v>150</x:v>
      </x:c>
      <x:c r="L1109" s="29" t="n">
        <x:f>IF('Inputs'!$D$9="Ready",'Inputs'!G13,"n.a.")</x:f>
        <x:v>0</x:v>
      </x:c>
      <x:c r="M1109" s="22" t="n">
        <x:f>IF(COUNT(I1109:L1109)=4,ROUND(I1109*J1109/12,2),"n.a.")</x:f>
        <x:v>0</x:v>
      </x:c>
      <x:c r="N1109" s="22" t="n">
        <x:f>IF(COUNT(I1109:M1109)=5,MIN(I1109+M1109,ROUND(MAX(K1109,I1109*L1109+M1109),2)),"n.a.")</x:f>
        <x:v>0</x:v>
      </x:c>
      <x:c r="O1109" s="30" t="n">
        <x:f>IF(COUNT($I$1107:$I$1111)&lt;&gt;5,"n.a.",IF(I1109=0,6,IF('Inputs'!$D$5=1,COUNTIFS($I$1107:$I$1111,"&gt;0",$I$1107:$I$1111,"&lt;"&amp;I1109)+COUNTIFS($I$1107:I1109,I1109),COUNTIFS($I$1107:$I$1111,"&gt;0",$J$1107:$J$1111,"&gt;"&amp;J1109)+COUNTIFS($I$1107:I1109,"&gt;0",$J$1107:J1109,J1109))))</x:f>
        <x:v>6</x:v>
      </x:c>
      <x:c r="P1109" s="22" t="n">
        <x:f>IF(T1109="Ready",MIN(U1109,MAX(0,G1109-SUMIFS($U$1107:$U$1111,$O$1107:$O$1111,"&lt;"&amp;O1109))),"n.a.")</x:f>
        <x:v>0</x:v>
      </x:c>
      <x:c r="Q1109" s="22" t="n">
        <x:f>IF(T1109="Ready",ROUND(N1109+P1109,2),"n.a.")</x:f>
        <x:v>0</x:v>
      </x:c>
      <x:c r="R1109" s="22" t="n">
        <x:f>IF(T1109="Ready",ROUND(Q1109-M1109,2),"n.a.")</x:f>
        <x:v>0</x:v>
      </x:c>
      <x:c r="S1109" s="22" t="n">
        <x:f>IF(T1109="Ready",MAX(0,ROUND(I1109+M1109-Q1109,2)),"n.a.")</x:f>
        <x:v>0</x:v>
      </x:c>
      <x:c r="T1109" s="22" t="str">
        <x:f>IF(AND(COUNT($I$1107:$I$1111)=5,COUNT(E1109:F1109)=2),IF(E1109&gt;=F1109,"Ready","Budget below minima"),"Check inputs")</x:f>
        <x:v>Ready</x:v>
      </x:c>
      <x:c r="U1109" s="22" t="n">
        <x:f>IF(COUNT(I1109,M1109,N1109)=3,MAX(0,ROUND(I1109+M1109-N1109,2)),"n.a.")</x:f>
        <x:v>0</x:v>
      </x:c>
    </x:row>
    <x:row r="1110" ht="22" customHeight="1">
      <x:c r="A1110" s="2"/>
      <x:c r="B1110" s="2"/>
      <x:c r="C1110" s="27" t="n">
        <x:f>221</x:f>
        <x:v>221</x:v>
      </x:c>
      <x:c r="D1110" s="28" t="n">
        <x:f>IF(ISNUMBER('Inputs'!$D$7),EDATE('Inputs'!$D$7,220),"n.a.")</x:f>
        <x:v>53022</x:v>
      </x:c>
      <x:c r="E1110" s="26" t="n">
        <x:f>IF('Inputs'!$D$9&lt;&gt;"Ready","n.a.",IF(ISNUMBER('Inputs'!E239),IF('Inputs'!E239&gt;=0,'Inputs'!E239,"n.a."),IF('Inputs'!E239="",'Inputs'!$D$6,"n.a.")))</x:f>
        <x:v>500</x:v>
      </x:c>
      <x:c r="F1110" s="22" t="n">
        <x:f>IF(COUNT($N$1107:$N$1111)=5,SUM($N$1107:$N$1111),"n.a.")</x:f>
        <x:v>0</x:v>
      </x:c>
      <x:c r="G1110" s="22" t="n">
        <x:f>IF(COUNT(E1110:F1110)=2,MAX(0,E1110-F1110),"n.a.")</x:f>
        <x:v>500</x:v>
      </x:c>
      <x:c r="H1110" s="26" t="str">
        <x:f>'Inputs'!C14</x:f>
        <x:v>Unused 4</x:v>
      </x:c>
      <x:c r="I1110" s="26" t="n">
        <x:f>S1105</x:f>
        <x:v>0</x:v>
      </x:c>
      <x:c r="J1110" s="29" t="n">
        <x:f>IF('Inputs'!$D$9="Ready",'Inputs'!E14,"n.a.")</x:f>
        <x:v>0</x:v>
      </x:c>
      <x:c r="K1110" s="26" t="n">
        <x:f>IF('Inputs'!$D$9="Ready",'Inputs'!F14,"n.a.")</x:f>
        <x:v>0</x:v>
      </x:c>
      <x:c r="L1110" s="29" t="n">
        <x:f>IF('Inputs'!$D$9="Ready",'Inputs'!G14,"n.a.")</x:f>
        <x:v>0</x:v>
      </x:c>
      <x:c r="M1110" s="22" t="n">
        <x:f>IF(COUNT(I1110:L1110)=4,ROUND(I1110*J1110/12,2),"n.a.")</x:f>
        <x:v>0</x:v>
      </x:c>
      <x:c r="N1110" s="22" t="n">
        <x:f>IF(COUNT(I1110:M1110)=5,MIN(I1110+M1110,ROUND(MAX(K1110,I1110*L1110+M1110),2)),"n.a.")</x:f>
        <x:v>0</x:v>
      </x:c>
      <x:c r="O1110" s="30" t="n">
        <x:f>IF(COUNT($I$1107:$I$1111)&lt;&gt;5,"n.a.",IF(I1110=0,6,IF('Inputs'!$D$5=1,COUNTIFS($I$1107:$I$1111,"&gt;0",$I$1107:$I$1111,"&lt;"&amp;I1110)+COUNTIFS($I$1107:I1110,I1110),COUNTIFS($I$1107:$I$1111,"&gt;0",$J$1107:$J$1111,"&gt;"&amp;J1110)+COUNTIFS($I$1107:I1110,"&gt;0",$J$1107:J1110,J1110))))</x:f>
        <x:v>6</x:v>
      </x:c>
      <x:c r="P1110" s="22" t="n">
        <x:f>IF(T1110="Ready",MIN(U1110,MAX(0,G1110-SUMIFS($U$1107:$U$1111,$O$1107:$O$1111,"&lt;"&amp;O1110))),"n.a.")</x:f>
        <x:v>0</x:v>
      </x:c>
      <x:c r="Q1110" s="22" t="n">
        <x:f>IF(T1110="Ready",ROUND(N1110+P1110,2),"n.a.")</x:f>
        <x:v>0</x:v>
      </x:c>
      <x:c r="R1110" s="22" t="n">
        <x:f>IF(T1110="Ready",ROUND(Q1110-M1110,2),"n.a.")</x:f>
        <x:v>0</x:v>
      </x:c>
      <x:c r="S1110" s="22" t="n">
        <x:f>IF(T1110="Ready",MAX(0,ROUND(I1110+M1110-Q1110,2)),"n.a.")</x:f>
        <x:v>0</x:v>
      </x:c>
      <x:c r="T1110" s="22" t="str">
        <x:f>IF(AND(COUNT($I$1107:$I$1111)=5,COUNT(E1110:F1110)=2),IF(E1110&gt;=F1110,"Ready","Budget below minima"),"Check inputs")</x:f>
        <x:v>Ready</x:v>
      </x:c>
      <x:c r="U1110" s="22" t="n">
        <x:f>IF(COUNT(I1110,M1110,N1110)=3,MAX(0,ROUND(I1110+M1110-N1110,2)),"n.a.")</x:f>
        <x:v>0</x:v>
      </x:c>
    </x:row>
    <x:row r="1111" ht="22" customHeight="1">
      <x:c r="A1111" s="2"/>
      <x:c r="B1111" s="2"/>
      <x:c r="C1111" s="27" t="n">
        <x:f>221</x:f>
        <x:v>221</x:v>
      </x:c>
      <x:c r="D1111" s="28" t="n">
        <x:f>IF(ISNUMBER('Inputs'!$D$7),EDATE('Inputs'!$D$7,220),"n.a.")</x:f>
        <x:v>53022</x:v>
      </x:c>
      <x:c r="E1111" s="26" t="n">
        <x:f>IF('Inputs'!$D$9&lt;&gt;"Ready","n.a.",IF(ISNUMBER('Inputs'!E239),IF('Inputs'!E239&gt;=0,'Inputs'!E239,"n.a."),IF('Inputs'!E239="",'Inputs'!$D$6,"n.a.")))</x:f>
        <x:v>500</x:v>
      </x:c>
      <x:c r="F1111" s="22" t="n">
        <x:f>IF(COUNT($N$1107:$N$1111)=5,SUM($N$1107:$N$1111),"n.a.")</x:f>
        <x:v>0</x:v>
      </x:c>
      <x:c r="G1111" s="22" t="n">
        <x:f>IF(COUNT(E1111:F1111)=2,MAX(0,E1111-F1111),"n.a.")</x:f>
        <x:v>500</x:v>
      </x:c>
      <x:c r="H1111" s="26" t="str">
        <x:f>'Inputs'!C15</x:f>
        <x:v>Unused 5</x:v>
      </x:c>
      <x:c r="I1111" s="26" t="n">
        <x:f>S1106</x:f>
        <x:v>0</x:v>
      </x:c>
      <x:c r="J1111" s="29" t="n">
        <x:f>IF('Inputs'!$D$9="Ready",'Inputs'!E15,"n.a.")</x:f>
        <x:v>0</x:v>
      </x:c>
      <x:c r="K1111" s="26" t="n">
        <x:f>IF('Inputs'!$D$9="Ready",'Inputs'!F15,"n.a.")</x:f>
        <x:v>0</x:v>
      </x:c>
      <x:c r="L1111" s="29" t="n">
        <x:f>IF('Inputs'!$D$9="Ready",'Inputs'!G15,"n.a.")</x:f>
        <x:v>0</x:v>
      </x:c>
      <x:c r="M1111" s="22" t="n">
        <x:f>IF(COUNT(I1111:L1111)=4,ROUND(I1111*J1111/12,2),"n.a.")</x:f>
        <x:v>0</x:v>
      </x:c>
      <x:c r="N1111" s="22" t="n">
        <x:f>IF(COUNT(I1111:M1111)=5,MIN(I1111+M1111,ROUND(MAX(K1111,I1111*L1111+M1111),2)),"n.a.")</x:f>
        <x:v>0</x:v>
      </x:c>
      <x:c r="O1111" s="30" t="n">
        <x:f>IF(COUNT($I$1107:$I$1111)&lt;&gt;5,"n.a.",IF(I1111=0,6,IF('Inputs'!$D$5=1,COUNTIFS($I$1107:$I$1111,"&gt;0",$I$1107:$I$1111,"&lt;"&amp;I1111)+COUNTIFS($I$1107:I1111,I1111),COUNTIFS($I$1107:$I$1111,"&gt;0",$J$1107:$J$1111,"&gt;"&amp;J1111)+COUNTIFS($I$1107:I1111,"&gt;0",$J$1107:J1111,J1111))))</x:f>
        <x:v>6</x:v>
      </x:c>
      <x:c r="P1111" s="22" t="n">
        <x:f>IF(T1111="Ready",MIN(U1111,MAX(0,G1111-SUMIFS($U$1107:$U$1111,$O$1107:$O$1111,"&lt;"&amp;O1111))),"n.a.")</x:f>
        <x:v>0</x:v>
      </x:c>
      <x:c r="Q1111" s="22" t="n">
        <x:f>IF(T1111="Ready",ROUND(N1111+P1111,2),"n.a.")</x:f>
        <x:v>0</x:v>
      </x:c>
      <x:c r="R1111" s="22" t="n">
        <x:f>IF(T1111="Ready",ROUND(Q1111-M1111,2),"n.a.")</x:f>
        <x:v>0</x:v>
      </x:c>
      <x:c r="S1111" s="22" t="n">
        <x:f>IF(T1111="Ready",MAX(0,ROUND(I1111+M1111-Q1111,2)),"n.a.")</x:f>
        <x:v>0</x:v>
      </x:c>
      <x:c r="T1111" s="22" t="str">
        <x:f>IF(AND(COUNT($I$1107:$I$1111)=5,COUNT(E1111:F1111)=2),IF(E1111&gt;=F1111,"Ready","Budget below minima"),"Check inputs")</x:f>
        <x:v>Ready</x:v>
      </x:c>
      <x:c r="U1111" s="22" t="n">
        <x:f>IF(COUNT(I1111,M1111,N1111)=3,MAX(0,ROUND(I1111+M1111-N1111,2)),"n.a.")</x:f>
        <x:v>0</x:v>
      </x:c>
    </x:row>
    <x:row r="1112" ht="22" customHeight="1">
      <x:c r="A1112" s="2"/>
      <x:c r="B1112" s="2"/>
      <x:c r="C1112" s="27" t="n">
        <x:f>222</x:f>
        <x:v>222</x:v>
      </x:c>
      <x:c r="D1112" s="28" t="n">
        <x:f>IF(ISNUMBER('Inputs'!$D$7),EDATE('Inputs'!$D$7,221),"n.a.")</x:f>
        <x:v>53053</x:v>
      </x:c>
      <x:c r="E1112" s="26" t="n">
        <x:f>IF('Inputs'!$D$9&lt;&gt;"Ready","n.a.",IF(ISNUMBER('Inputs'!E240),IF('Inputs'!E240&gt;=0,'Inputs'!E240,"n.a."),IF('Inputs'!E240="",'Inputs'!$D$6,"n.a.")))</x:f>
        <x:v>500</x:v>
      </x:c>
      <x:c r="F1112" s="22" t="n">
        <x:f>IF(COUNT($N$1112:$N$1116)=5,SUM($N$1112:$N$1116),"n.a.")</x:f>
        <x:v>0</x:v>
      </x:c>
      <x:c r="G1112" s="22" t="n">
        <x:f>IF(COUNT(E1112:F1112)=2,MAX(0,E1112-F1112),"n.a.")</x:f>
        <x:v>500</x:v>
      </x:c>
      <x:c r="H1112" s="26" t="str">
        <x:f>'Inputs'!C11</x:f>
        <x:v>Card A</x:v>
      </x:c>
      <x:c r="I1112" s="26" t="n">
        <x:f>S1107</x:f>
        <x:v>0</x:v>
      </x:c>
      <x:c r="J1112" s="29" t="n">
        <x:f>IF('Inputs'!$D$9="Ready",'Inputs'!E11,"n.a.")</x:f>
        <x:v>0.24</x:v>
      </x:c>
      <x:c r="K1112" s="26" t="n">
        <x:f>IF('Inputs'!$D$9="Ready",'Inputs'!F11,"n.a.")</x:f>
        <x:v>35</x:v>
      </x:c>
      <x:c r="L1112" s="29" t="n">
        <x:f>IF('Inputs'!$D$9="Ready",'Inputs'!G11,"n.a.")</x:f>
        <x:v>0.02</x:v>
      </x:c>
      <x:c r="M1112" s="22" t="n">
        <x:f>IF(COUNT(I1112:L1112)=4,ROUND(I1112*J1112/12,2),"n.a.")</x:f>
        <x:v>0</x:v>
      </x:c>
      <x:c r="N1112" s="22" t="n">
        <x:f>IF(COUNT(I1112:M1112)=5,MIN(I1112+M1112,ROUND(MAX(K1112,I1112*L1112+M1112),2)),"n.a.")</x:f>
        <x:v>0</x:v>
      </x:c>
      <x:c r="O1112" s="30" t="n">
        <x:f>IF(COUNT($I$1112:$I$1116)&lt;&gt;5,"n.a.",IF(I1112=0,6,IF('Inputs'!$D$5=1,COUNTIFS($I$1112:$I$1116,"&gt;0",$I$1112:$I$1116,"&lt;"&amp;I1112)+COUNTIFS($I$1112:I1112,I1112),COUNTIFS($I$1112:$I$1116,"&gt;0",$J$1112:$J$1116,"&gt;"&amp;J1112)+COUNTIFS($I$1112:I1112,"&gt;0",$J$1112:J1112,J1112))))</x:f>
        <x:v>6</x:v>
      </x:c>
      <x:c r="P1112" s="22" t="n">
        <x:f>IF(T1112="Ready",MIN(U1112,MAX(0,G1112-SUMIFS($U$1112:$U$1116,$O$1112:$O$1116,"&lt;"&amp;O1112))),"n.a.")</x:f>
        <x:v>0</x:v>
      </x:c>
      <x:c r="Q1112" s="22" t="n">
        <x:f>IF(T1112="Ready",ROUND(N1112+P1112,2),"n.a.")</x:f>
        <x:v>0</x:v>
      </x:c>
      <x:c r="R1112" s="22" t="n">
        <x:f>IF(T1112="Ready",ROUND(Q1112-M1112,2),"n.a.")</x:f>
        <x:v>0</x:v>
      </x:c>
      <x:c r="S1112" s="22" t="n">
        <x:f>IF(T1112="Ready",MAX(0,ROUND(I1112+M1112-Q1112,2)),"n.a.")</x:f>
        <x:v>0</x:v>
      </x:c>
      <x:c r="T1112" s="22" t="str">
        <x:f>IF(AND(COUNT($I$1112:$I$1116)=5,COUNT(E1112:F1112)=2),IF(E1112&gt;=F1112,"Ready","Budget below minima"),"Check inputs")</x:f>
        <x:v>Ready</x:v>
      </x:c>
      <x:c r="U1112" s="22" t="n">
        <x:f>IF(COUNT(I1112,M1112,N1112)=3,MAX(0,ROUND(I1112+M1112-N1112,2)),"n.a.")</x:f>
        <x:v>0</x:v>
      </x:c>
    </x:row>
    <x:row r="1113" ht="22" customHeight="1">
      <x:c r="A1113" s="2"/>
      <x:c r="B1113" s="2"/>
      <x:c r="C1113" s="27" t="n">
        <x:f>222</x:f>
        <x:v>222</x:v>
      </x:c>
      <x:c r="D1113" s="28" t="n">
        <x:f>IF(ISNUMBER('Inputs'!$D$7),EDATE('Inputs'!$D$7,221),"n.a.")</x:f>
        <x:v>53053</x:v>
      </x:c>
      <x:c r="E1113" s="26" t="n">
        <x:f>IF('Inputs'!$D$9&lt;&gt;"Ready","n.a.",IF(ISNUMBER('Inputs'!E240),IF('Inputs'!E240&gt;=0,'Inputs'!E240,"n.a."),IF('Inputs'!E240="",'Inputs'!$D$6,"n.a.")))</x:f>
        <x:v>500</x:v>
      </x:c>
      <x:c r="F1113" s="22" t="n">
        <x:f>IF(COUNT($N$1112:$N$1116)=5,SUM($N$1112:$N$1116),"n.a.")</x:f>
        <x:v>0</x:v>
      </x:c>
      <x:c r="G1113" s="22" t="n">
        <x:f>IF(COUNT(E1113:F1113)=2,MAX(0,E1113-F1113),"n.a.")</x:f>
        <x:v>500</x:v>
      </x:c>
      <x:c r="H1113" s="26" t="str">
        <x:f>'Inputs'!C12</x:f>
        <x:v>Card B</x:v>
      </x:c>
      <x:c r="I1113" s="26" t="n">
        <x:f>S1108</x:f>
        <x:v>0</x:v>
      </x:c>
      <x:c r="J1113" s="29" t="n">
        <x:f>IF('Inputs'!$D$9="Ready",'Inputs'!E12,"n.a.")</x:f>
        <x:v>0.18</x:v>
      </x:c>
      <x:c r="K1113" s="26" t="n">
        <x:f>IF('Inputs'!$D$9="Ready",'Inputs'!F12,"n.a.")</x:f>
        <x:v>60</x:v>
      </x:c>
      <x:c r="L1113" s="29" t="n">
        <x:f>IF('Inputs'!$D$9="Ready",'Inputs'!G12,"n.a.")</x:f>
        <x:v>0.02</x:v>
      </x:c>
      <x:c r="M1113" s="22" t="n">
        <x:f>IF(COUNT(I1113:L1113)=4,ROUND(I1113*J1113/12,2),"n.a.")</x:f>
        <x:v>0</x:v>
      </x:c>
      <x:c r="N1113" s="22" t="n">
        <x:f>IF(COUNT(I1113:M1113)=5,MIN(I1113+M1113,ROUND(MAX(K1113,I1113*L1113+M1113),2)),"n.a.")</x:f>
        <x:v>0</x:v>
      </x:c>
      <x:c r="O1113" s="30" t="n">
        <x:f>IF(COUNT($I$1112:$I$1116)&lt;&gt;5,"n.a.",IF(I1113=0,6,IF('Inputs'!$D$5=1,COUNTIFS($I$1112:$I$1116,"&gt;0",$I$1112:$I$1116,"&lt;"&amp;I1113)+COUNTIFS($I$1112:I1113,I1113),COUNTIFS($I$1112:$I$1116,"&gt;0",$J$1112:$J$1116,"&gt;"&amp;J1113)+COUNTIFS($I$1112:I1113,"&gt;0",$J$1112:J1113,J1113))))</x:f>
        <x:v>6</x:v>
      </x:c>
      <x:c r="P1113" s="22" t="n">
        <x:f>IF(T1113="Ready",MIN(U1113,MAX(0,G1113-SUMIFS($U$1112:$U$1116,$O$1112:$O$1116,"&lt;"&amp;O1113))),"n.a.")</x:f>
        <x:v>0</x:v>
      </x:c>
      <x:c r="Q1113" s="22" t="n">
        <x:f>IF(T1113="Ready",ROUND(N1113+P1113,2),"n.a.")</x:f>
        <x:v>0</x:v>
      </x:c>
      <x:c r="R1113" s="22" t="n">
        <x:f>IF(T1113="Ready",ROUND(Q1113-M1113,2),"n.a.")</x:f>
        <x:v>0</x:v>
      </x:c>
      <x:c r="S1113" s="22" t="n">
        <x:f>IF(T1113="Ready",MAX(0,ROUND(I1113+M1113-Q1113,2)),"n.a.")</x:f>
        <x:v>0</x:v>
      </x:c>
      <x:c r="T1113" s="22" t="str">
        <x:f>IF(AND(COUNT($I$1112:$I$1116)=5,COUNT(E1113:F1113)=2),IF(E1113&gt;=F1113,"Ready","Budget below minima"),"Check inputs")</x:f>
        <x:v>Ready</x:v>
      </x:c>
      <x:c r="U1113" s="22" t="n">
        <x:f>IF(COUNT(I1113,M1113,N1113)=3,MAX(0,ROUND(I1113+M1113-N1113,2)),"n.a.")</x:f>
        <x:v>0</x:v>
      </x:c>
    </x:row>
    <x:row r="1114" ht="22" customHeight="1">
      <x:c r="A1114" s="2"/>
      <x:c r="B1114" s="2"/>
      <x:c r="C1114" s="27" t="n">
        <x:f>222</x:f>
        <x:v>222</x:v>
      </x:c>
      <x:c r="D1114" s="28" t="n">
        <x:f>IF(ISNUMBER('Inputs'!$D$7),EDATE('Inputs'!$D$7,221),"n.a.")</x:f>
        <x:v>53053</x:v>
      </x:c>
      <x:c r="E1114" s="26" t="n">
        <x:f>IF('Inputs'!$D$9&lt;&gt;"Ready","n.a.",IF(ISNUMBER('Inputs'!E240),IF('Inputs'!E240&gt;=0,'Inputs'!E240,"n.a."),IF('Inputs'!E240="",'Inputs'!$D$6,"n.a.")))</x:f>
        <x:v>500</x:v>
      </x:c>
      <x:c r="F1114" s="22" t="n">
        <x:f>IF(COUNT($N$1112:$N$1116)=5,SUM($N$1112:$N$1116),"n.a.")</x:f>
        <x:v>0</x:v>
      </x:c>
      <x:c r="G1114" s="22" t="n">
        <x:f>IF(COUNT(E1114:F1114)=2,MAX(0,E1114-F1114),"n.a.")</x:f>
        <x:v>500</x:v>
      </x:c>
      <x:c r="H1114" s="26" t="str">
        <x:f>'Inputs'!C13</x:f>
        <x:v>Loan C</x:v>
      </x:c>
      <x:c r="I1114" s="26" t="n">
        <x:f>S1109</x:f>
        <x:v>0</x:v>
      </x:c>
      <x:c r="J1114" s="29" t="n">
        <x:f>IF('Inputs'!$D$9="Ready",'Inputs'!E13,"n.a.")</x:f>
        <x:v>0.08</x:v>
      </x:c>
      <x:c r="K1114" s="26" t="n">
        <x:f>IF('Inputs'!$D$9="Ready",'Inputs'!F13,"n.a.")</x:f>
        <x:v>150</x:v>
      </x:c>
      <x:c r="L1114" s="29" t="n">
        <x:f>IF('Inputs'!$D$9="Ready",'Inputs'!G13,"n.a.")</x:f>
        <x:v>0</x:v>
      </x:c>
      <x:c r="M1114" s="22" t="n">
        <x:f>IF(COUNT(I1114:L1114)=4,ROUND(I1114*J1114/12,2),"n.a.")</x:f>
        <x:v>0</x:v>
      </x:c>
      <x:c r="N1114" s="22" t="n">
        <x:f>IF(COUNT(I1114:M1114)=5,MIN(I1114+M1114,ROUND(MAX(K1114,I1114*L1114+M1114),2)),"n.a.")</x:f>
        <x:v>0</x:v>
      </x:c>
      <x:c r="O1114" s="30" t="n">
        <x:f>IF(COUNT($I$1112:$I$1116)&lt;&gt;5,"n.a.",IF(I1114=0,6,IF('Inputs'!$D$5=1,COUNTIFS($I$1112:$I$1116,"&gt;0",$I$1112:$I$1116,"&lt;"&amp;I1114)+COUNTIFS($I$1112:I1114,I1114),COUNTIFS($I$1112:$I$1116,"&gt;0",$J$1112:$J$1116,"&gt;"&amp;J1114)+COUNTIFS($I$1112:I1114,"&gt;0",$J$1112:J1114,J1114))))</x:f>
        <x:v>6</x:v>
      </x:c>
      <x:c r="P1114" s="22" t="n">
        <x:f>IF(T1114="Ready",MIN(U1114,MAX(0,G1114-SUMIFS($U$1112:$U$1116,$O$1112:$O$1116,"&lt;"&amp;O1114))),"n.a.")</x:f>
        <x:v>0</x:v>
      </x:c>
      <x:c r="Q1114" s="22" t="n">
        <x:f>IF(T1114="Ready",ROUND(N1114+P1114,2),"n.a.")</x:f>
        <x:v>0</x:v>
      </x:c>
      <x:c r="R1114" s="22" t="n">
        <x:f>IF(T1114="Ready",ROUND(Q1114-M1114,2),"n.a.")</x:f>
        <x:v>0</x:v>
      </x:c>
      <x:c r="S1114" s="22" t="n">
        <x:f>IF(T1114="Ready",MAX(0,ROUND(I1114+M1114-Q1114,2)),"n.a.")</x:f>
        <x:v>0</x:v>
      </x:c>
      <x:c r="T1114" s="22" t="str">
        <x:f>IF(AND(COUNT($I$1112:$I$1116)=5,COUNT(E1114:F1114)=2),IF(E1114&gt;=F1114,"Ready","Budget below minima"),"Check inputs")</x:f>
        <x:v>Ready</x:v>
      </x:c>
      <x:c r="U1114" s="22" t="n">
        <x:f>IF(COUNT(I1114,M1114,N1114)=3,MAX(0,ROUND(I1114+M1114-N1114,2)),"n.a.")</x:f>
        <x:v>0</x:v>
      </x:c>
    </x:row>
    <x:row r="1115" ht="22" customHeight="1">
      <x:c r="A1115" s="2"/>
      <x:c r="B1115" s="2"/>
      <x:c r="C1115" s="27" t="n">
        <x:f>222</x:f>
        <x:v>222</x:v>
      </x:c>
      <x:c r="D1115" s="28" t="n">
        <x:f>IF(ISNUMBER('Inputs'!$D$7),EDATE('Inputs'!$D$7,221),"n.a.")</x:f>
        <x:v>53053</x:v>
      </x:c>
      <x:c r="E1115" s="26" t="n">
        <x:f>IF('Inputs'!$D$9&lt;&gt;"Ready","n.a.",IF(ISNUMBER('Inputs'!E240),IF('Inputs'!E240&gt;=0,'Inputs'!E240,"n.a."),IF('Inputs'!E240="",'Inputs'!$D$6,"n.a.")))</x:f>
        <x:v>500</x:v>
      </x:c>
      <x:c r="F1115" s="22" t="n">
        <x:f>IF(COUNT($N$1112:$N$1116)=5,SUM($N$1112:$N$1116),"n.a.")</x:f>
        <x:v>0</x:v>
      </x:c>
      <x:c r="G1115" s="22" t="n">
        <x:f>IF(COUNT(E1115:F1115)=2,MAX(0,E1115-F1115),"n.a.")</x:f>
        <x:v>500</x:v>
      </x:c>
      <x:c r="H1115" s="26" t="str">
        <x:f>'Inputs'!C14</x:f>
        <x:v>Unused 4</x:v>
      </x:c>
      <x:c r="I1115" s="26" t="n">
        <x:f>S1110</x:f>
        <x:v>0</x:v>
      </x:c>
      <x:c r="J1115" s="29" t="n">
        <x:f>IF('Inputs'!$D$9="Ready",'Inputs'!E14,"n.a.")</x:f>
        <x:v>0</x:v>
      </x:c>
      <x:c r="K1115" s="26" t="n">
        <x:f>IF('Inputs'!$D$9="Ready",'Inputs'!F14,"n.a.")</x:f>
        <x:v>0</x:v>
      </x:c>
      <x:c r="L1115" s="29" t="n">
        <x:f>IF('Inputs'!$D$9="Ready",'Inputs'!G14,"n.a.")</x:f>
        <x:v>0</x:v>
      </x:c>
      <x:c r="M1115" s="22" t="n">
        <x:f>IF(COUNT(I1115:L1115)=4,ROUND(I1115*J1115/12,2),"n.a.")</x:f>
        <x:v>0</x:v>
      </x:c>
      <x:c r="N1115" s="22" t="n">
        <x:f>IF(COUNT(I1115:M1115)=5,MIN(I1115+M1115,ROUND(MAX(K1115,I1115*L1115+M1115),2)),"n.a.")</x:f>
        <x:v>0</x:v>
      </x:c>
      <x:c r="O1115" s="30" t="n">
        <x:f>IF(COUNT($I$1112:$I$1116)&lt;&gt;5,"n.a.",IF(I1115=0,6,IF('Inputs'!$D$5=1,COUNTIFS($I$1112:$I$1116,"&gt;0",$I$1112:$I$1116,"&lt;"&amp;I1115)+COUNTIFS($I$1112:I1115,I1115),COUNTIFS($I$1112:$I$1116,"&gt;0",$J$1112:$J$1116,"&gt;"&amp;J1115)+COUNTIFS($I$1112:I1115,"&gt;0",$J$1112:J1115,J1115))))</x:f>
        <x:v>6</x:v>
      </x:c>
      <x:c r="P1115" s="22" t="n">
        <x:f>IF(T1115="Ready",MIN(U1115,MAX(0,G1115-SUMIFS($U$1112:$U$1116,$O$1112:$O$1116,"&lt;"&amp;O1115))),"n.a.")</x:f>
        <x:v>0</x:v>
      </x:c>
      <x:c r="Q1115" s="22" t="n">
        <x:f>IF(T1115="Ready",ROUND(N1115+P1115,2),"n.a.")</x:f>
        <x:v>0</x:v>
      </x:c>
      <x:c r="R1115" s="22" t="n">
        <x:f>IF(T1115="Ready",ROUND(Q1115-M1115,2),"n.a.")</x:f>
        <x:v>0</x:v>
      </x:c>
      <x:c r="S1115" s="22" t="n">
        <x:f>IF(T1115="Ready",MAX(0,ROUND(I1115+M1115-Q1115,2)),"n.a.")</x:f>
        <x:v>0</x:v>
      </x:c>
      <x:c r="T1115" s="22" t="str">
        <x:f>IF(AND(COUNT($I$1112:$I$1116)=5,COUNT(E1115:F1115)=2),IF(E1115&gt;=F1115,"Ready","Budget below minima"),"Check inputs")</x:f>
        <x:v>Ready</x:v>
      </x:c>
      <x:c r="U1115" s="22" t="n">
        <x:f>IF(COUNT(I1115,M1115,N1115)=3,MAX(0,ROUND(I1115+M1115-N1115,2)),"n.a.")</x:f>
        <x:v>0</x:v>
      </x:c>
    </x:row>
    <x:row r="1116" ht="22" customHeight="1">
      <x:c r="A1116" s="2"/>
      <x:c r="B1116" s="2"/>
      <x:c r="C1116" s="27" t="n">
        <x:f>222</x:f>
        <x:v>222</x:v>
      </x:c>
      <x:c r="D1116" s="28" t="n">
        <x:f>IF(ISNUMBER('Inputs'!$D$7),EDATE('Inputs'!$D$7,221),"n.a.")</x:f>
        <x:v>53053</x:v>
      </x:c>
      <x:c r="E1116" s="26" t="n">
        <x:f>IF('Inputs'!$D$9&lt;&gt;"Ready","n.a.",IF(ISNUMBER('Inputs'!E240),IF('Inputs'!E240&gt;=0,'Inputs'!E240,"n.a."),IF('Inputs'!E240="",'Inputs'!$D$6,"n.a.")))</x:f>
        <x:v>500</x:v>
      </x:c>
      <x:c r="F1116" s="22" t="n">
        <x:f>IF(COUNT($N$1112:$N$1116)=5,SUM($N$1112:$N$1116),"n.a.")</x:f>
        <x:v>0</x:v>
      </x:c>
      <x:c r="G1116" s="22" t="n">
        <x:f>IF(COUNT(E1116:F1116)=2,MAX(0,E1116-F1116),"n.a.")</x:f>
        <x:v>500</x:v>
      </x:c>
      <x:c r="H1116" s="26" t="str">
        <x:f>'Inputs'!C15</x:f>
        <x:v>Unused 5</x:v>
      </x:c>
      <x:c r="I1116" s="26" t="n">
        <x:f>S1111</x:f>
        <x:v>0</x:v>
      </x:c>
      <x:c r="J1116" s="29" t="n">
        <x:f>IF('Inputs'!$D$9="Ready",'Inputs'!E15,"n.a.")</x:f>
        <x:v>0</x:v>
      </x:c>
      <x:c r="K1116" s="26" t="n">
        <x:f>IF('Inputs'!$D$9="Ready",'Inputs'!F15,"n.a.")</x:f>
        <x:v>0</x:v>
      </x:c>
      <x:c r="L1116" s="29" t="n">
        <x:f>IF('Inputs'!$D$9="Ready",'Inputs'!G15,"n.a.")</x:f>
        <x:v>0</x:v>
      </x:c>
      <x:c r="M1116" s="22" t="n">
        <x:f>IF(COUNT(I1116:L1116)=4,ROUND(I1116*J1116/12,2),"n.a.")</x:f>
        <x:v>0</x:v>
      </x:c>
      <x:c r="N1116" s="22" t="n">
        <x:f>IF(COUNT(I1116:M1116)=5,MIN(I1116+M1116,ROUND(MAX(K1116,I1116*L1116+M1116),2)),"n.a.")</x:f>
        <x:v>0</x:v>
      </x:c>
      <x:c r="O1116" s="30" t="n">
        <x:f>IF(COUNT($I$1112:$I$1116)&lt;&gt;5,"n.a.",IF(I1116=0,6,IF('Inputs'!$D$5=1,COUNTIFS($I$1112:$I$1116,"&gt;0",$I$1112:$I$1116,"&lt;"&amp;I1116)+COUNTIFS($I$1112:I1116,I1116),COUNTIFS($I$1112:$I$1116,"&gt;0",$J$1112:$J$1116,"&gt;"&amp;J1116)+COUNTIFS($I$1112:I1116,"&gt;0",$J$1112:J1116,J1116))))</x:f>
        <x:v>6</x:v>
      </x:c>
      <x:c r="P1116" s="22" t="n">
        <x:f>IF(T1116="Ready",MIN(U1116,MAX(0,G1116-SUMIFS($U$1112:$U$1116,$O$1112:$O$1116,"&lt;"&amp;O1116))),"n.a.")</x:f>
        <x:v>0</x:v>
      </x:c>
      <x:c r="Q1116" s="22" t="n">
        <x:f>IF(T1116="Ready",ROUND(N1116+P1116,2),"n.a.")</x:f>
        <x:v>0</x:v>
      </x:c>
      <x:c r="R1116" s="22" t="n">
        <x:f>IF(T1116="Ready",ROUND(Q1116-M1116,2),"n.a.")</x:f>
        <x:v>0</x:v>
      </x:c>
      <x:c r="S1116" s="22" t="n">
        <x:f>IF(T1116="Ready",MAX(0,ROUND(I1116+M1116-Q1116,2)),"n.a.")</x:f>
        <x:v>0</x:v>
      </x:c>
      <x:c r="T1116" s="22" t="str">
        <x:f>IF(AND(COUNT($I$1112:$I$1116)=5,COUNT(E1116:F1116)=2),IF(E1116&gt;=F1116,"Ready","Budget below minima"),"Check inputs")</x:f>
        <x:v>Ready</x:v>
      </x:c>
      <x:c r="U1116" s="22" t="n">
        <x:f>IF(COUNT(I1116,M1116,N1116)=3,MAX(0,ROUND(I1116+M1116-N1116,2)),"n.a.")</x:f>
        <x:v>0</x:v>
      </x:c>
    </x:row>
    <x:row r="1117" ht="22" customHeight="1">
      <x:c r="A1117" s="2"/>
      <x:c r="B1117" s="2"/>
      <x:c r="C1117" s="27" t="n">
        <x:f>223</x:f>
        <x:v>223</x:v>
      </x:c>
      <x:c r="D1117" s="28" t="n">
        <x:f>IF(ISNUMBER('Inputs'!$D$7),EDATE('Inputs'!$D$7,222),"n.a.")</x:f>
        <x:v>53083</x:v>
      </x:c>
      <x:c r="E1117" s="26" t="n">
        <x:f>IF('Inputs'!$D$9&lt;&gt;"Ready","n.a.",IF(ISNUMBER('Inputs'!E241),IF('Inputs'!E241&gt;=0,'Inputs'!E241,"n.a."),IF('Inputs'!E241="",'Inputs'!$D$6,"n.a.")))</x:f>
        <x:v>500</x:v>
      </x:c>
      <x:c r="F1117" s="22" t="n">
        <x:f>IF(COUNT($N$1117:$N$1121)=5,SUM($N$1117:$N$1121),"n.a.")</x:f>
        <x:v>0</x:v>
      </x:c>
      <x:c r="G1117" s="22" t="n">
        <x:f>IF(COUNT(E1117:F1117)=2,MAX(0,E1117-F1117),"n.a.")</x:f>
        <x:v>500</x:v>
      </x:c>
      <x:c r="H1117" s="26" t="str">
        <x:f>'Inputs'!C11</x:f>
        <x:v>Card A</x:v>
      </x:c>
      <x:c r="I1117" s="26" t="n">
        <x:f>S1112</x:f>
        <x:v>0</x:v>
      </x:c>
      <x:c r="J1117" s="29" t="n">
        <x:f>IF('Inputs'!$D$9="Ready",'Inputs'!E11,"n.a.")</x:f>
        <x:v>0.24</x:v>
      </x:c>
      <x:c r="K1117" s="26" t="n">
        <x:f>IF('Inputs'!$D$9="Ready",'Inputs'!F11,"n.a.")</x:f>
        <x:v>35</x:v>
      </x:c>
      <x:c r="L1117" s="29" t="n">
        <x:f>IF('Inputs'!$D$9="Ready",'Inputs'!G11,"n.a.")</x:f>
        <x:v>0.02</x:v>
      </x:c>
      <x:c r="M1117" s="22" t="n">
        <x:f>IF(COUNT(I1117:L1117)=4,ROUND(I1117*J1117/12,2),"n.a.")</x:f>
        <x:v>0</x:v>
      </x:c>
      <x:c r="N1117" s="22" t="n">
        <x:f>IF(COUNT(I1117:M1117)=5,MIN(I1117+M1117,ROUND(MAX(K1117,I1117*L1117+M1117),2)),"n.a.")</x:f>
        <x:v>0</x:v>
      </x:c>
      <x:c r="O1117" s="30" t="n">
        <x:f>IF(COUNT($I$1117:$I$1121)&lt;&gt;5,"n.a.",IF(I1117=0,6,IF('Inputs'!$D$5=1,COUNTIFS($I$1117:$I$1121,"&gt;0",$I$1117:$I$1121,"&lt;"&amp;I1117)+COUNTIFS($I$1117:I1117,I1117),COUNTIFS($I$1117:$I$1121,"&gt;0",$J$1117:$J$1121,"&gt;"&amp;J1117)+COUNTIFS($I$1117:I1117,"&gt;0",$J$1117:J1117,J1117))))</x:f>
        <x:v>6</x:v>
      </x:c>
      <x:c r="P1117" s="22" t="n">
        <x:f>IF(T1117="Ready",MIN(U1117,MAX(0,G1117-SUMIFS($U$1117:$U$1121,$O$1117:$O$1121,"&lt;"&amp;O1117))),"n.a.")</x:f>
        <x:v>0</x:v>
      </x:c>
      <x:c r="Q1117" s="22" t="n">
        <x:f>IF(T1117="Ready",ROUND(N1117+P1117,2),"n.a.")</x:f>
        <x:v>0</x:v>
      </x:c>
      <x:c r="R1117" s="22" t="n">
        <x:f>IF(T1117="Ready",ROUND(Q1117-M1117,2),"n.a.")</x:f>
        <x:v>0</x:v>
      </x:c>
      <x:c r="S1117" s="22" t="n">
        <x:f>IF(T1117="Ready",MAX(0,ROUND(I1117+M1117-Q1117,2)),"n.a.")</x:f>
        <x:v>0</x:v>
      </x:c>
      <x:c r="T1117" s="22" t="str">
        <x:f>IF(AND(COUNT($I$1117:$I$1121)=5,COUNT(E1117:F1117)=2),IF(E1117&gt;=F1117,"Ready","Budget below minima"),"Check inputs")</x:f>
        <x:v>Ready</x:v>
      </x:c>
      <x:c r="U1117" s="22" t="n">
        <x:f>IF(COUNT(I1117,M1117,N1117)=3,MAX(0,ROUND(I1117+M1117-N1117,2)),"n.a.")</x:f>
        <x:v>0</x:v>
      </x:c>
    </x:row>
    <x:row r="1118" ht="22" customHeight="1">
      <x:c r="A1118" s="2"/>
      <x:c r="B1118" s="2"/>
      <x:c r="C1118" s="27" t="n">
        <x:f>223</x:f>
        <x:v>223</x:v>
      </x:c>
      <x:c r="D1118" s="28" t="n">
        <x:f>IF(ISNUMBER('Inputs'!$D$7),EDATE('Inputs'!$D$7,222),"n.a.")</x:f>
        <x:v>53083</x:v>
      </x:c>
      <x:c r="E1118" s="26" t="n">
        <x:f>IF('Inputs'!$D$9&lt;&gt;"Ready","n.a.",IF(ISNUMBER('Inputs'!E241),IF('Inputs'!E241&gt;=0,'Inputs'!E241,"n.a."),IF('Inputs'!E241="",'Inputs'!$D$6,"n.a.")))</x:f>
        <x:v>500</x:v>
      </x:c>
      <x:c r="F1118" s="22" t="n">
        <x:f>IF(COUNT($N$1117:$N$1121)=5,SUM($N$1117:$N$1121),"n.a.")</x:f>
        <x:v>0</x:v>
      </x:c>
      <x:c r="G1118" s="22" t="n">
        <x:f>IF(COUNT(E1118:F1118)=2,MAX(0,E1118-F1118),"n.a.")</x:f>
        <x:v>500</x:v>
      </x:c>
      <x:c r="H1118" s="26" t="str">
        <x:f>'Inputs'!C12</x:f>
        <x:v>Card B</x:v>
      </x:c>
      <x:c r="I1118" s="26" t="n">
        <x:f>S1113</x:f>
        <x:v>0</x:v>
      </x:c>
      <x:c r="J1118" s="29" t="n">
        <x:f>IF('Inputs'!$D$9="Ready",'Inputs'!E12,"n.a.")</x:f>
        <x:v>0.18</x:v>
      </x:c>
      <x:c r="K1118" s="26" t="n">
        <x:f>IF('Inputs'!$D$9="Ready",'Inputs'!F12,"n.a.")</x:f>
        <x:v>60</x:v>
      </x:c>
      <x:c r="L1118" s="29" t="n">
        <x:f>IF('Inputs'!$D$9="Ready",'Inputs'!G12,"n.a.")</x:f>
        <x:v>0.02</x:v>
      </x:c>
      <x:c r="M1118" s="22" t="n">
        <x:f>IF(COUNT(I1118:L1118)=4,ROUND(I1118*J1118/12,2),"n.a.")</x:f>
        <x:v>0</x:v>
      </x:c>
      <x:c r="N1118" s="22" t="n">
        <x:f>IF(COUNT(I1118:M1118)=5,MIN(I1118+M1118,ROUND(MAX(K1118,I1118*L1118+M1118),2)),"n.a.")</x:f>
        <x:v>0</x:v>
      </x:c>
      <x:c r="O1118" s="30" t="n">
        <x:f>IF(COUNT($I$1117:$I$1121)&lt;&gt;5,"n.a.",IF(I1118=0,6,IF('Inputs'!$D$5=1,COUNTIFS($I$1117:$I$1121,"&gt;0",$I$1117:$I$1121,"&lt;"&amp;I1118)+COUNTIFS($I$1117:I1118,I1118),COUNTIFS($I$1117:$I$1121,"&gt;0",$J$1117:$J$1121,"&gt;"&amp;J1118)+COUNTIFS($I$1117:I1118,"&gt;0",$J$1117:J1118,J1118))))</x:f>
        <x:v>6</x:v>
      </x:c>
      <x:c r="P1118" s="22" t="n">
        <x:f>IF(T1118="Ready",MIN(U1118,MAX(0,G1118-SUMIFS($U$1117:$U$1121,$O$1117:$O$1121,"&lt;"&amp;O1118))),"n.a.")</x:f>
        <x:v>0</x:v>
      </x:c>
      <x:c r="Q1118" s="22" t="n">
        <x:f>IF(T1118="Ready",ROUND(N1118+P1118,2),"n.a.")</x:f>
        <x:v>0</x:v>
      </x:c>
      <x:c r="R1118" s="22" t="n">
        <x:f>IF(T1118="Ready",ROUND(Q1118-M1118,2),"n.a.")</x:f>
        <x:v>0</x:v>
      </x:c>
      <x:c r="S1118" s="22" t="n">
        <x:f>IF(T1118="Ready",MAX(0,ROUND(I1118+M1118-Q1118,2)),"n.a.")</x:f>
        <x:v>0</x:v>
      </x:c>
      <x:c r="T1118" s="22" t="str">
        <x:f>IF(AND(COUNT($I$1117:$I$1121)=5,COUNT(E1118:F1118)=2),IF(E1118&gt;=F1118,"Ready","Budget below minima"),"Check inputs")</x:f>
        <x:v>Ready</x:v>
      </x:c>
      <x:c r="U1118" s="22" t="n">
        <x:f>IF(COUNT(I1118,M1118,N1118)=3,MAX(0,ROUND(I1118+M1118-N1118,2)),"n.a.")</x:f>
        <x:v>0</x:v>
      </x:c>
    </x:row>
    <x:row r="1119" ht="22" customHeight="1">
      <x:c r="A1119" s="2"/>
      <x:c r="B1119" s="2"/>
      <x:c r="C1119" s="27" t="n">
        <x:f>223</x:f>
        <x:v>223</x:v>
      </x:c>
      <x:c r="D1119" s="28" t="n">
        <x:f>IF(ISNUMBER('Inputs'!$D$7),EDATE('Inputs'!$D$7,222),"n.a.")</x:f>
        <x:v>53083</x:v>
      </x:c>
      <x:c r="E1119" s="26" t="n">
        <x:f>IF('Inputs'!$D$9&lt;&gt;"Ready","n.a.",IF(ISNUMBER('Inputs'!E241),IF('Inputs'!E241&gt;=0,'Inputs'!E241,"n.a."),IF('Inputs'!E241="",'Inputs'!$D$6,"n.a.")))</x:f>
        <x:v>500</x:v>
      </x:c>
      <x:c r="F1119" s="22" t="n">
        <x:f>IF(COUNT($N$1117:$N$1121)=5,SUM($N$1117:$N$1121),"n.a.")</x:f>
        <x:v>0</x:v>
      </x:c>
      <x:c r="G1119" s="22" t="n">
        <x:f>IF(COUNT(E1119:F1119)=2,MAX(0,E1119-F1119),"n.a.")</x:f>
        <x:v>500</x:v>
      </x:c>
      <x:c r="H1119" s="26" t="str">
        <x:f>'Inputs'!C13</x:f>
        <x:v>Loan C</x:v>
      </x:c>
      <x:c r="I1119" s="26" t="n">
        <x:f>S1114</x:f>
        <x:v>0</x:v>
      </x:c>
      <x:c r="J1119" s="29" t="n">
        <x:f>IF('Inputs'!$D$9="Ready",'Inputs'!E13,"n.a.")</x:f>
        <x:v>0.08</x:v>
      </x:c>
      <x:c r="K1119" s="26" t="n">
        <x:f>IF('Inputs'!$D$9="Ready",'Inputs'!F13,"n.a.")</x:f>
        <x:v>150</x:v>
      </x:c>
      <x:c r="L1119" s="29" t="n">
        <x:f>IF('Inputs'!$D$9="Ready",'Inputs'!G13,"n.a.")</x:f>
        <x:v>0</x:v>
      </x:c>
      <x:c r="M1119" s="22" t="n">
        <x:f>IF(COUNT(I1119:L1119)=4,ROUND(I1119*J1119/12,2),"n.a.")</x:f>
        <x:v>0</x:v>
      </x:c>
      <x:c r="N1119" s="22" t="n">
        <x:f>IF(COUNT(I1119:M1119)=5,MIN(I1119+M1119,ROUND(MAX(K1119,I1119*L1119+M1119),2)),"n.a.")</x:f>
        <x:v>0</x:v>
      </x:c>
      <x:c r="O1119" s="30" t="n">
        <x:f>IF(COUNT($I$1117:$I$1121)&lt;&gt;5,"n.a.",IF(I1119=0,6,IF('Inputs'!$D$5=1,COUNTIFS($I$1117:$I$1121,"&gt;0",$I$1117:$I$1121,"&lt;"&amp;I1119)+COUNTIFS($I$1117:I1119,I1119),COUNTIFS($I$1117:$I$1121,"&gt;0",$J$1117:$J$1121,"&gt;"&amp;J1119)+COUNTIFS($I$1117:I1119,"&gt;0",$J$1117:J1119,J1119))))</x:f>
        <x:v>6</x:v>
      </x:c>
      <x:c r="P1119" s="22" t="n">
        <x:f>IF(T1119="Ready",MIN(U1119,MAX(0,G1119-SUMIFS($U$1117:$U$1121,$O$1117:$O$1121,"&lt;"&amp;O1119))),"n.a.")</x:f>
        <x:v>0</x:v>
      </x:c>
      <x:c r="Q1119" s="22" t="n">
        <x:f>IF(T1119="Ready",ROUND(N1119+P1119,2),"n.a.")</x:f>
        <x:v>0</x:v>
      </x:c>
      <x:c r="R1119" s="22" t="n">
        <x:f>IF(T1119="Ready",ROUND(Q1119-M1119,2),"n.a.")</x:f>
        <x:v>0</x:v>
      </x:c>
      <x:c r="S1119" s="22" t="n">
        <x:f>IF(T1119="Ready",MAX(0,ROUND(I1119+M1119-Q1119,2)),"n.a.")</x:f>
        <x:v>0</x:v>
      </x:c>
      <x:c r="T1119" s="22" t="str">
        <x:f>IF(AND(COUNT($I$1117:$I$1121)=5,COUNT(E1119:F1119)=2),IF(E1119&gt;=F1119,"Ready","Budget below minima"),"Check inputs")</x:f>
        <x:v>Ready</x:v>
      </x:c>
      <x:c r="U1119" s="22" t="n">
        <x:f>IF(COUNT(I1119,M1119,N1119)=3,MAX(0,ROUND(I1119+M1119-N1119,2)),"n.a.")</x:f>
        <x:v>0</x:v>
      </x:c>
    </x:row>
    <x:row r="1120" ht="22" customHeight="1">
      <x:c r="A1120" s="2"/>
      <x:c r="B1120" s="2"/>
      <x:c r="C1120" s="27" t="n">
        <x:f>223</x:f>
        <x:v>223</x:v>
      </x:c>
      <x:c r="D1120" s="28" t="n">
        <x:f>IF(ISNUMBER('Inputs'!$D$7),EDATE('Inputs'!$D$7,222),"n.a.")</x:f>
        <x:v>53083</x:v>
      </x:c>
      <x:c r="E1120" s="26" t="n">
        <x:f>IF('Inputs'!$D$9&lt;&gt;"Ready","n.a.",IF(ISNUMBER('Inputs'!E241),IF('Inputs'!E241&gt;=0,'Inputs'!E241,"n.a."),IF('Inputs'!E241="",'Inputs'!$D$6,"n.a.")))</x:f>
        <x:v>500</x:v>
      </x:c>
      <x:c r="F1120" s="22" t="n">
        <x:f>IF(COUNT($N$1117:$N$1121)=5,SUM($N$1117:$N$1121),"n.a.")</x:f>
        <x:v>0</x:v>
      </x:c>
      <x:c r="G1120" s="22" t="n">
        <x:f>IF(COUNT(E1120:F1120)=2,MAX(0,E1120-F1120),"n.a.")</x:f>
        <x:v>500</x:v>
      </x:c>
      <x:c r="H1120" s="26" t="str">
        <x:f>'Inputs'!C14</x:f>
        <x:v>Unused 4</x:v>
      </x:c>
      <x:c r="I1120" s="26" t="n">
        <x:f>S1115</x:f>
        <x:v>0</x:v>
      </x:c>
      <x:c r="J1120" s="29" t="n">
        <x:f>IF('Inputs'!$D$9="Ready",'Inputs'!E14,"n.a.")</x:f>
        <x:v>0</x:v>
      </x:c>
      <x:c r="K1120" s="26" t="n">
        <x:f>IF('Inputs'!$D$9="Ready",'Inputs'!F14,"n.a.")</x:f>
        <x:v>0</x:v>
      </x:c>
      <x:c r="L1120" s="29" t="n">
        <x:f>IF('Inputs'!$D$9="Ready",'Inputs'!G14,"n.a.")</x:f>
        <x:v>0</x:v>
      </x:c>
      <x:c r="M1120" s="22" t="n">
        <x:f>IF(COUNT(I1120:L1120)=4,ROUND(I1120*J1120/12,2),"n.a.")</x:f>
        <x:v>0</x:v>
      </x:c>
      <x:c r="N1120" s="22" t="n">
        <x:f>IF(COUNT(I1120:M1120)=5,MIN(I1120+M1120,ROUND(MAX(K1120,I1120*L1120+M1120),2)),"n.a.")</x:f>
        <x:v>0</x:v>
      </x:c>
      <x:c r="O1120" s="30" t="n">
        <x:f>IF(COUNT($I$1117:$I$1121)&lt;&gt;5,"n.a.",IF(I1120=0,6,IF('Inputs'!$D$5=1,COUNTIFS($I$1117:$I$1121,"&gt;0",$I$1117:$I$1121,"&lt;"&amp;I1120)+COUNTIFS($I$1117:I1120,I1120),COUNTIFS($I$1117:$I$1121,"&gt;0",$J$1117:$J$1121,"&gt;"&amp;J1120)+COUNTIFS($I$1117:I1120,"&gt;0",$J$1117:J1120,J1120))))</x:f>
        <x:v>6</x:v>
      </x:c>
      <x:c r="P1120" s="22" t="n">
        <x:f>IF(T1120="Ready",MIN(U1120,MAX(0,G1120-SUMIFS($U$1117:$U$1121,$O$1117:$O$1121,"&lt;"&amp;O1120))),"n.a.")</x:f>
        <x:v>0</x:v>
      </x:c>
      <x:c r="Q1120" s="22" t="n">
        <x:f>IF(T1120="Ready",ROUND(N1120+P1120,2),"n.a.")</x:f>
        <x:v>0</x:v>
      </x:c>
      <x:c r="R1120" s="22" t="n">
        <x:f>IF(T1120="Ready",ROUND(Q1120-M1120,2),"n.a.")</x:f>
        <x:v>0</x:v>
      </x:c>
      <x:c r="S1120" s="22" t="n">
        <x:f>IF(T1120="Ready",MAX(0,ROUND(I1120+M1120-Q1120,2)),"n.a.")</x:f>
        <x:v>0</x:v>
      </x:c>
      <x:c r="T1120" s="22" t="str">
        <x:f>IF(AND(COUNT($I$1117:$I$1121)=5,COUNT(E1120:F1120)=2),IF(E1120&gt;=F1120,"Ready","Budget below minima"),"Check inputs")</x:f>
        <x:v>Ready</x:v>
      </x:c>
      <x:c r="U1120" s="22" t="n">
        <x:f>IF(COUNT(I1120,M1120,N1120)=3,MAX(0,ROUND(I1120+M1120-N1120,2)),"n.a.")</x:f>
        <x:v>0</x:v>
      </x:c>
    </x:row>
    <x:row r="1121" ht="22" customHeight="1">
      <x:c r="A1121" s="2"/>
      <x:c r="B1121" s="2"/>
      <x:c r="C1121" s="27" t="n">
        <x:f>223</x:f>
        <x:v>223</x:v>
      </x:c>
      <x:c r="D1121" s="28" t="n">
        <x:f>IF(ISNUMBER('Inputs'!$D$7),EDATE('Inputs'!$D$7,222),"n.a.")</x:f>
        <x:v>53083</x:v>
      </x:c>
      <x:c r="E1121" s="26" t="n">
        <x:f>IF('Inputs'!$D$9&lt;&gt;"Ready","n.a.",IF(ISNUMBER('Inputs'!E241),IF('Inputs'!E241&gt;=0,'Inputs'!E241,"n.a."),IF('Inputs'!E241="",'Inputs'!$D$6,"n.a.")))</x:f>
        <x:v>500</x:v>
      </x:c>
      <x:c r="F1121" s="22" t="n">
        <x:f>IF(COUNT($N$1117:$N$1121)=5,SUM($N$1117:$N$1121),"n.a.")</x:f>
        <x:v>0</x:v>
      </x:c>
      <x:c r="G1121" s="22" t="n">
        <x:f>IF(COUNT(E1121:F1121)=2,MAX(0,E1121-F1121),"n.a.")</x:f>
        <x:v>500</x:v>
      </x:c>
      <x:c r="H1121" s="26" t="str">
        <x:f>'Inputs'!C15</x:f>
        <x:v>Unused 5</x:v>
      </x:c>
      <x:c r="I1121" s="26" t="n">
        <x:f>S1116</x:f>
        <x:v>0</x:v>
      </x:c>
      <x:c r="J1121" s="29" t="n">
        <x:f>IF('Inputs'!$D$9="Ready",'Inputs'!E15,"n.a.")</x:f>
        <x:v>0</x:v>
      </x:c>
      <x:c r="K1121" s="26" t="n">
        <x:f>IF('Inputs'!$D$9="Ready",'Inputs'!F15,"n.a.")</x:f>
        <x:v>0</x:v>
      </x:c>
      <x:c r="L1121" s="29" t="n">
        <x:f>IF('Inputs'!$D$9="Ready",'Inputs'!G15,"n.a.")</x:f>
        <x:v>0</x:v>
      </x:c>
      <x:c r="M1121" s="22" t="n">
        <x:f>IF(COUNT(I1121:L1121)=4,ROUND(I1121*J1121/12,2),"n.a.")</x:f>
        <x:v>0</x:v>
      </x:c>
      <x:c r="N1121" s="22" t="n">
        <x:f>IF(COUNT(I1121:M1121)=5,MIN(I1121+M1121,ROUND(MAX(K1121,I1121*L1121+M1121),2)),"n.a.")</x:f>
        <x:v>0</x:v>
      </x:c>
      <x:c r="O1121" s="30" t="n">
        <x:f>IF(COUNT($I$1117:$I$1121)&lt;&gt;5,"n.a.",IF(I1121=0,6,IF('Inputs'!$D$5=1,COUNTIFS($I$1117:$I$1121,"&gt;0",$I$1117:$I$1121,"&lt;"&amp;I1121)+COUNTIFS($I$1117:I1121,I1121),COUNTIFS($I$1117:$I$1121,"&gt;0",$J$1117:$J$1121,"&gt;"&amp;J1121)+COUNTIFS($I$1117:I1121,"&gt;0",$J$1117:J1121,J1121))))</x:f>
        <x:v>6</x:v>
      </x:c>
      <x:c r="P1121" s="22" t="n">
        <x:f>IF(T1121="Ready",MIN(U1121,MAX(0,G1121-SUMIFS($U$1117:$U$1121,$O$1117:$O$1121,"&lt;"&amp;O1121))),"n.a.")</x:f>
        <x:v>0</x:v>
      </x:c>
      <x:c r="Q1121" s="22" t="n">
        <x:f>IF(T1121="Ready",ROUND(N1121+P1121,2),"n.a.")</x:f>
        <x:v>0</x:v>
      </x:c>
      <x:c r="R1121" s="22" t="n">
        <x:f>IF(T1121="Ready",ROUND(Q1121-M1121,2),"n.a.")</x:f>
        <x:v>0</x:v>
      </x:c>
      <x:c r="S1121" s="22" t="n">
        <x:f>IF(T1121="Ready",MAX(0,ROUND(I1121+M1121-Q1121,2)),"n.a.")</x:f>
        <x:v>0</x:v>
      </x:c>
      <x:c r="T1121" s="22" t="str">
        <x:f>IF(AND(COUNT($I$1117:$I$1121)=5,COUNT(E1121:F1121)=2),IF(E1121&gt;=F1121,"Ready","Budget below minima"),"Check inputs")</x:f>
        <x:v>Ready</x:v>
      </x:c>
      <x:c r="U1121" s="22" t="n">
        <x:f>IF(COUNT(I1121,M1121,N1121)=3,MAX(0,ROUND(I1121+M1121-N1121,2)),"n.a.")</x:f>
        <x:v>0</x:v>
      </x:c>
    </x:row>
    <x:row r="1122" ht="22" customHeight="1">
      <x:c r="A1122" s="2"/>
      <x:c r="B1122" s="2"/>
      <x:c r="C1122" s="27" t="n">
        <x:f>224</x:f>
        <x:v>224</x:v>
      </x:c>
      <x:c r="D1122" s="28" t="n">
        <x:f>IF(ISNUMBER('Inputs'!$D$7),EDATE('Inputs'!$D$7,223),"n.a.")</x:f>
        <x:v>53114</x:v>
      </x:c>
      <x:c r="E1122" s="26" t="n">
        <x:f>IF('Inputs'!$D$9&lt;&gt;"Ready","n.a.",IF(ISNUMBER('Inputs'!E242),IF('Inputs'!E242&gt;=0,'Inputs'!E242,"n.a."),IF('Inputs'!E242="",'Inputs'!$D$6,"n.a.")))</x:f>
        <x:v>500</x:v>
      </x:c>
      <x:c r="F1122" s="22" t="n">
        <x:f>IF(COUNT($N$1122:$N$1126)=5,SUM($N$1122:$N$1126),"n.a.")</x:f>
        <x:v>0</x:v>
      </x:c>
      <x:c r="G1122" s="22" t="n">
        <x:f>IF(COUNT(E1122:F1122)=2,MAX(0,E1122-F1122),"n.a.")</x:f>
        <x:v>500</x:v>
      </x:c>
      <x:c r="H1122" s="26" t="str">
        <x:f>'Inputs'!C11</x:f>
        <x:v>Card A</x:v>
      </x:c>
      <x:c r="I1122" s="26" t="n">
        <x:f>S1117</x:f>
        <x:v>0</x:v>
      </x:c>
      <x:c r="J1122" s="29" t="n">
        <x:f>IF('Inputs'!$D$9="Ready",'Inputs'!E11,"n.a.")</x:f>
        <x:v>0.24</x:v>
      </x:c>
      <x:c r="K1122" s="26" t="n">
        <x:f>IF('Inputs'!$D$9="Ready",'Inputs'!F11,"n.a.")</x:f>
        <x:v>35</x:v>
      </x:c>
      <x:c r="L1122" s="29" t="n">
        <x:f>IF('Inputs'!$D$9="Ready",'Inputs'!G11,"n.a.")</x:f>
        <x:v>0.02</x:v>
      </x:c>
      <x:c r="M1122" s="22" t="n">
        <x:f>IF(COUNT(I1122:L1122)=4,ROUND(I1122*J1122/12,2),"n.a.")</x:f>
        <x:v>0</x:v>
      </x:c>
      <x:c r="N1122" s="22" t="n">
        <x:f>IF(COUNT(I1122:M1122)=5,MIN(I1122+M1122,ROUND(MAX(K1122,I1122*L1122+M1122),2)),"n.a.")</x:f>
        <x:v>0</x:v>
      </x:c>
      <x:c r="O1122" s="30" t="n">
        <x:f>IF(COUNT($I$1122:$I$1126)&lt;&gt;5,"n.a.",IF(I1122=0,6,IF('Inputs'!$D$5=1,COUNTIFS($I$1122:$I$1126,"&gt;0",$I$1122:$I$1126,"&lt;"&amp;I1122)+COUNTIFS($I$1122:I1122,I1122),COUNTIFS($I$1122:$I$1126,"&gt;0",$J$1122:$J$1126,"&gt;"&amp;J1122)+COUNTIFS($I$1122:I1122,"&gt;0",$J$1122:J1122,J1122))))</x:f>
        <x:v>6</x:v>
      </x:c>
      <x:c r="P1122" s="22" t="n">
        <x:f>IF(T1122="Ready",MIN(U1122,MAX(0,G1122-SUMIFS($U$1122:$U$1126,$O$1122:$O$1126,"&lt;"&amp;O1122))),"n.a.")</x:f>
        <x:v>0</x:v>
      </x:c>
      <x:c r="Q1122" s="22" t="n">
        <x:f>IF(T1122="Ready",ROUND(N1122+P1122,2),"n.a.")</x:f>
        <x:v>0</x:v>
      </x:c>
      <x:c r="R1122" s="22" t="n">
        <x:f>IF(T1122="Ready",ROUND(Q1122-M1122,2),"n.a.")</x:f>
        <x:v>0</x:v>
      </x:c>
      <x:c r="S1122" s="22" t="n">
        <x:f>IF(T1122="Ready",MAX(0,ROUND(I1122+M1122-Q1122,2)),"n.a.")</x:f>
        <x:v>0</x:v>
      </x:c>
      <x:c r="T1122" s="22" t="str">
        <x:f>IF(AND(COUNT($I$1122:$I$1126)=5,COUNT(E1122:F1122)=2),IF(E1122&gt;=F1122,"Ready","Budget below minima"),"Check inputs")</x:f>
        <x:v>Ready</x:v>
      </x:c>
      <x:c r="U1122" s="22" t="n">
        <x:f>IF(COUNT(I1122,M1122,N1122)=3,MAX(0,ROUND(I1122+M1122-N1122,2)),"n.a.")</x:f>
        <x:v>0</x:v>
      </x:c>
    </x:row>
    <x:row r="1123" ht="22" customHeight="1">
      <x:c r="A1123" s="2"/>
      <x:c r="B1123" s="2"/>
      <x:c r="C1123" s="27" t="n">
        <x:f>224</x:f>
        <x:v>224</x:v>
      </x:c>
      <x:c r="D1123" s="28" t="n">
        <x:f>IF(ISNUMBER('Inputs'!$D$7),EDATE('Inputs'!$D$7,223),"n.a.")</x:f>
        <x:v>53114</x:v>
      </x:c>
      <x:c r="E1123" s="26" t="n">
        <x:f>IF('Inputs'!$D$9&lt;&gt;"Ready","n.a.",IF(ISNUMBER('Inputs'!E242),IF('Inputs'!E242&gt;=0,'Inputs'!E242,"n.a."),IF('Inputs'!E242="",'Inputs'!$D$6,"n.a.")))</x:f>
        <x:v>500</x:v>
      </x:c>
      <x:c r="F1123" s="22" t="n">
        <x:f>IF(COUNT($N$1122:$N$1126)=5,SUM($N$1122:$N$1126),"n.a.")</x:f>
        <x:v>0</x:v>
      </x:c>
      <x:c r="G1123" s="22" t="n">
        <x:f>IF(COUNT(E1123:F1123)=2,MAX(0,E1123-F1123),"n.a.")</x:f>
        <x:v>500</x:v>
      </x:c>
      <x:c r="H1123" s="26" t="str">
        <x:f>'Inputs'!C12</x:f>
        <x:v>Card B</x:v>
      </x:c>
      <x:c r="I1123" s="26" t="n">
        <x:f>S1118</x:f>
        <x:v>0</x:v>
      </x:c>
      <x:c r="J1123" s="29" t="n">
        <x:f>IF('Inputs'!$D$9="Ready",'Inputs'!E12,"n.a.")</x:f>
        <x:v>0.18</x:v>
      </x:c>
      <x:c r="K1123" s="26" t="n">
        <x:f>IF('Inputs'!$D$9="Ready",'Inputs'!F12,"n.a.")</x:f>
        <x:v>60</x:v>
      </x:c>
      <x:c r="L1123" s="29" t="n">
        <x:f>IF('Inputs'!$D$9="Ready",'Inputs'!G12,"n.a.")</x:f>
        <x:v>0.02</x:v>
      </x:c>
      <x:c r="M1123" s="22" t="n">
        <x:f>IF(COUNT(I1123:L1123)=4,ROUND(I1123*J1123/12,2),"n.a.")</x:f>
        <x:v>0</x:v>
      </x:c>
      <x:c r="N1123" s="22" t="n">
        <x:f>IF(COUNT(I1123:M1123)=5,MIN(I1123+M1123,ROUND(MAX(K1123,I1123*L1123+M1123),2)),"n.a.")</x:f>
        <x:v>0</x:v>
      </x:c>
      <x:c r="O1123" s="30" t="n">
        <x:f>IF(COUNT($I$1122:$I$1126)&lt;&gt;5,"n.a.",IF(I1123=0,6,IF('Inputs'!$D$5=1,COUNTIFS($I$1122:$I$1126,"&gt;0",$I$1122:$I$1126,"&lt;"&amp;I1123)+COUNTIFS($I$1122:I1123,I1123),COUNTIFS($I$1122:$I$1126,"&gt;0",$J$1122:$J$1126,"&gt;"&amp;J1123)+COUNTIFS($I$1122:I1123,"&gt;0",$J$1122:J1123,J1123))))</x:f>
        <x:v>6</x:v>
      </x:c>
      <x:c r="P1123" s="22" t="n">
        <x:f>IF(T1123="Ready",MIN(U1123,MAX(0,G1123-SUMIFS($U$1122:$U$1126,$O$1122:$O$1126,"&lt;"&amp;O1123))),"n.a.")</x:f>
        <x:v>0</x:v>
      </x:c>
      <x:c r="Q1123" s="22" t="n">
        <x:f>IF(T1123="Ready",ROUND(N1123+P1123,2),"n.a.")</x:f>
        <x:v>0</x:v>
      </x:c>
      <x:c r="R1123" s="22" t="n">
        <x:f>IF(T1123="Ready",ROUND(Q1123-M1123,2),"n.a.")</x:f>
        <x:v>0</x:v>
      </x:c>
      <x:c r="S1123" s="22" t="n">
        <x:f>IF(T1123="Ready",MAX(0,ROUND(I1123+M1123-Q1123,2)),"n.a.")</x:f>
        <x:v>0</x:v>
      </x:c>
      <x:c r="T1123" s="22" t="str">
        <x:f>IF(AND(COUNT($I$1122:$I$1126)=5,COUNT(E1123:F1123)=2),IF(E1123&gt;=F1123,"Ready","Budget below minima"),"Check inputs")</x:f>
        <x:v>Ready</x:v>
      </x:c>
      <x:c r="U1123" s="22" t="n">
        <x:f>IF(COUNT(I1123,M1123,N1123)=3,MAX(0,ROUND(I1123+M1123-N1123,2)),"n.a.")</x:f>
        <x:v>0</x:v>
      </x:c>
    </x:row>
    <x:row r="1124" ht="22" customHeight="1">
      <x:c r="A1124" s="2"/>
      <x:c r="B1124" s="2"/>
      <x:c r="C1124" s="27" t="n">
        <x:f>224</x:f>
        <x:v>224</x:v>
      </x:c>
      <x:c r="D1124" s="28" t="n">
        <x:f>IF(ISNUMBER('Inputs'!$D$7),EDATE('Inputs'!$D$7,223),"n.a.")</x:f>
        <x:v>53114</x:v>
      </x:c>
      <x:c r="E1124" s="26" t="n">
        <x:f>IF('Inputs'!$D$9&lt;&gt;"Ready","n.a.",IF(ISNUMBER('Inputs'!E242),IF('Inputs'!E242&gt;=0,'Inputs'!E242,"n.a."),IF('Inputs'!E242="",'Inputs'!$D$6,"n.a.")))</x:f>
        <x:v>500</x:v>
      </x:c>
      <x:c r="F1124" s="22" t="n">
        <x:f>IF(COUNT($N$1122:$N$1126)=5,SUM($N$1122:$N$1126),"n.a.")</x:f>
        <x:v>0</x:v>
      </x:c>
      <x:c r="G1124" s="22" t="n">
        <x:f>IF(COUNT(E1124:F1124)=2,MAX(0,E1124-F1124),"n.a.")</x:f>
        <x:v>500</x:v>
      </x:c>
      <x:c r="H1124" s="26" t="str">
        <x:f>'Inputs'!C13</x:f>
        <x:v>Loan C</x:v>
      </x:c>
      <x:c r="I1124" s="26" t="n">
        <x:f>S1119</x:f>
        <x:v>0</x:v>
      </x:c>
      <x:c r="J1124" s="29" t="n">
        <x:f>IF('Inputs'!$D$9="Ready",'Inputs'!E13,"n.a.")</x:f>
        <x:v>0.08</x:v>
      </x:c>
      <x:c r="K1124" s="26" t="n">
        <x:f>IF('Inputs'!$D$9="Ready",'Inputs'!F13,"n.a.")</x:f>
        <x:v>150</x:v>
      </x:c>
      <x:c r="L1124" s="29" t="n">
        <x:f>IF('Inputs'!$D$9="Ready",'Inputs'!G13,"n.a.")</x:f>
        <x:v>0</x:v>
      </x:c>
      <x:c r="M1124" s="22" t="n">
        <x:f>IF(COUNT(I1124:L1124)=4,ROUND(I1124*J1124/12,2),"n.a.")</x:f>
        <x:v>0</x:v>
      </x:c>
      <x:c r="N1124" s="22" t="n">
        <x:f>IF(COUNT(I1124:M1124)=5,MIN(I1124+M1124,ROUND(MAX(K1124,I1124*L1124+M1124),2)),"n.a.")</x:f>
        <x:v>0</x:v>
      </x:c>
      <x:c r="O1124" s="30" t="n">
        <x:f>IF(COUNT($I$1122:$I$1126)&lt;&gt;5,"n.a.",IF(I1124=0,6,IF('Inputs'!$D$5=1,COUNTIFS($I$1122:$I$1126,"&gt;0",$I$1122:$I$1126,"&lt;"&amp;I1124)+COUNTIFS($I$1122:I1124,I1124),COUNTIFS($I$1122:$I$1126,"&gt;0",$J$1122:$J$1126,"&gt;"&amp;J1124)+COUNTIFS($I$1122:I1124,"&gt;0",$J$1122:J1124,J1124))))</x:f>
        <x:v>6</x:v>
      </x:c>
      <x:c r="P1124" s="22" t="n">
        <x:f>IF(T1124="Ready",MIN(U1124,MAX(0,G1124-SUMIFS($U$1122:$U$1126,$O$1122:$O$1126,"&lt;"&amp;O1124))),"n.a.")</x:f>
        <x:v>0</x:v>
      </x:c>
      <x:c r="Q1124" s="22" t="n">
        <x:f>IF(T1124="Ready",ROUND(N1124+P1124,2),"n.a.")</x:f>
        <x:v>0</x:v>
      </x:c>
      <x:c r="R1124" s="22" t="n">
        <x:f>IF(T1124="Ready",ROUND(Q1124-M1124,2),"n.a.")</x:f>
        <x:v>0</x:v>
      </x:c>
      <x:c r="S1124" s="22" t="n">
        <x:f>IF(T1124="Ready",MAX(0,ROUND(I1124+M1124-Q1124,2)),"n.a.")</x:f>
        <x:v>0</x:v>
      </x:c>
      <x:c r="T1124" s="22" t="str">
        <x:f>IF(AND(COUNT($I$1122:$I$1126)=5,COUNT(E1124:F1124)=2),IF(E1124&gt;=F1124,"Ready","Budget below minima"),"Check inputs")</x:f>
        <x:v>Ready</x:v>
      </x:c>
      <x:c r="U1124" s="22" t="n">
        <x:f>IF(COUNT(I1124,M1124,N1124)=3,MAX(0,ROUND(I1124+M1124-N1124,2)),"n.a.")</x:f>
        <x:v>0</x:v>
      </x:c>
    </x:row>
    <x:row r="1125" ht="22" customHeight="1">
      <x:c r="A1125" s="2"/>
      <x:c r="B1125" s="2"/>
      <x:c r="C1125" s="27" t="n">
        <x:f>224</x:f>
        <x:v>224</x:v>
      </x:c>
      <x:c r="D1125" s="28" t="n">
        <x:f>IF(ISNUMBER('Inputs'!$D$7),EDATE('Inputs'!$D$7,223),"n.a.")</x:f>
        <x:v>53114</x:v>
      </x:c>
      <x:c r="E1125" s="26" t="n">
        <x:f>IF('Inputs'!$D$9&lt;&gt;"Ready","n.a.",IF(ISNUMBER('Inputs'!E242),IF('Inputs'!E242&gt;=0,'Inputs'!E242,"n.a."),IF('Inputs'!E242="",'Inputs'!$D$6,"n.a.")))</x:f>
        <x:v>500</x:v>
      </x:c>
      <x:c r="F1125" s="22" t="n">
        <x:f>IF(COUNT($N$1122:$N$1126)=5,SUM($N$1122:$N$1126),"n.a.")</x:f>
        <x:v>0</x:v>
      </x:c>
      <x:c r="G1125" s="22" t="n">
        <x:f>IF(COUNT(E1125:F1125)=2,MAX(0,E1125-F1125),"n.a.")</x:f>
        <x:v>500</x:v>
      </x:c>
      <x:c r="H1125" s="26" t="str">
        <x:f>'Inputs'!C14</x:f>
        <x:v>Unused 4</x:v>
      </x:c>
      <x:c r="I1125" s="26" t="n">
        <x:f>S1120</x:f>
        <x:v>0</x:v>
      </x:c>
      <x:c r="J1125" s="29" t="n">
        <x:f>IF('Inputs'!$D$9="Ready",'Inputs'!E14,"n.a.")</x:f>
        <x:v>0</x:v>
      </x:c>
      <x:c r="K1125" s="26" t="n">
        <x:f>IF('Inputs'!$D$9="Ready",'Inputs'!F14,"n.a.")</x:f>
        <x:v>0</x:v>
      </x:c>
      <x:c r="L1125" s="29" t="n">
        <x:f>IF('Inputs'!$D$9="Ready",'Inputs'!G14,"n.a.")</x:f>
        <x:v>0</x:v>
      </x:c>
      <x:c r="M1125" s="22" t="n">
        <x:f>IF(COUNT(I1125:L1125)=4,ROUND(I1125*J1125/12,2),"n.a.")</x:f>
        <x:v>0</x:v>
      </x:c>
      <x:c r="N1125" s="22" t="n">
        <x:f>IF(COUNT(I1125:M1125)=5,MIN(I1125+M1125,ROUND(MAX(K1125,I1125*L1125+M1125),2)),"n.a.")</x:f>
        <x:v>0</x:v>
      </x:c>
      <x:c r="O1125" s="30" t="n">
        <x:f>IF(COUNT($I$1122:$I$1126)&lt;&gt;5,"n.a.",IF(I1125=0,6,IF('Inputs'!$D$5=1,COUNTIFS($I$1122:$I$1126,"&gt;0",$I$1122:$I$1126,"&lt;"&amp;I1125)+COUNTIFS($I$1122:I1125,I1125),COUNTIFS($I$1122:$I$1126,"&gt;0",$J$1122:$J$1126,"&gt;"&amp;J1125)+COUNTIFS($I$1122:I1125,"&gt;0",$J$1122:J1125,J1125))))</x:f>
        <x:v>6</x:v>
      </x:c>
      <x:c r="P1125" s="22" t="n">
        <x:f>IF(T1125="Ready",MIN(U1125,MAX(0,G1125-SUMIFS($U$1122:$U$1126,$O$1122:$O$1126,"&lt;"&amp;O1125))),"n.a.")</x:f>
        <x:v>0</x:v>
      </x:c>
      <x:c r="Q1125" s="22" t="n">
        <x:f>IF(T1125="Ready",ROUND(N1125+P1125,2),"n.a.")</x:f>
        <x:v>0</x:v>
      </x:c>
      <x:c r="R1125" s="22" t="n">
        <x:f>IF(T1125="Ready",ROUND(Q1125-M1125,2),"n.a.")</x:f>
        <x:v>0</x:v>
      </x:c>
      <x:c r="S1125" s="22" t="n">
        <x:f>IF(T1125="Ready",MAX(0,ROUND(I1125+M1125-Q1125,2)),"n.a.")</x:f>
        <x:v>0</x:v>
      </x:c>
      <x:c r="T1125" s="22" t="str">
        <x:f>IF(AND(COUNT($I$1122:$I$1126)=5,COUNT(E1125:F1125)=2),IF(E1125&gt;=F1125,"Ready","Budget below minima"),"Check inputs")</x:f>
        <x:v>Ready</x:v>
      </x:c>
      <x:c r="U1125" s="22" t="n">
        <x:f>IF(COUNT(I1125,M1125,N1125)=3,MAX(0,ROUND(I1125+M1125-N1125,2)),"n.a.")</x:f>
        <x:v>0</x:v>
      </x:c>
    </x:row>
    <x:row r="1126" ht="22" customHeight="1">
      <x:c r="A1126" s="2"/>
      <x:c r="B1126" s="2"/>
      <x:c r="C1126" s="27" t="n">
        <x:f>224</x:f>
        <x:v>224</x:v>
      </x:c>
      <x:c r="D1126" s="28" t="n">
        <x:f>IF(ISNUMBER('Inputs'!$D$7),EDATE('Inputs'!$D$7,223),"n.a.")</x:f>
        <x:v>53114</x:v>
      </x:c>
      <x:c r="E1126" s="26" t="n">
        <x:f>IF('Inputs'!$D$9&lt;&gt;"Ready","n.a.",IF(ISNUMBER('Inputs'!E242),IF('Inputs'!E242&gt;=0,'Inputs'!E242,"n.a."),IF('Inputs'!E242="",'Inputs'!$D$6,"n.a.")))</x:f>
        <x:v>500</x:v>
      </x:c>
      <x:c r="F1126" s="22" t="n">
        <x:f>IF(COUNT($N$1122:$N$1126)=5,SUM($N$1122:$N$1126),"n.a.")</x:f>
        <x:v>0</x:v>
      </x:c>
      <x:c r="G1126" s="22" t="n">
        <x:f>IF(COUNT(E1126:F1126)=2,MAX(0,E1126-F1126),"n.a.")</x:f>
        <x:v>500</x:v>
      </x:c>
      <x:c r="H1126" s="26" t="str">
        <x:f>'Inputs'!C15</x:f>
        <x:v>Unused 5</x:v>
      </x:c>
      <x:c r="I1126" s="26" t="n">
        <x:f>S1121</x:f>
        <x:v>0</x:v>
      </x:c>
      <x:c r="J1126" s="29" t="n">
        <x:f>IF('Inputs'!$D$9="Ready",'Inputs'!E15,"n.a.")</x:f>
        <x:v>0</x:v>
      </x:c>
      <x:c r="K1126" s="26" t="n">
        <x:f>IF('Inputs'!$D$9="Ready",'Inputs'!F15,"n.a.")</x:f>
        <x:v>0</x:v>
      </x:c>
      <x:c r="L1126" s="29" t="n">
        <x:f>IF('Inputs'!$D$9="Ready",'Inputs'!G15,"n.a.")</x:f>
        <x:v>0</x:v>
      </x:c>
      <x:c r="M1126" s="22" t="n">
        <x:f>IF(COUNT(I1126:L1126)=4,ROUND(I1126*J1126/12,2),"n.a.")</x:f>
        <x:v>0</x:v>
      </x:c>
      <x:c r="N1126" s="22" t="n">
        <x:f>IF(COUNT(I1126:M1126)=5,MIN(I1126+M1126,ROUND(MAX(K1126,I1126*L1126+M1126),2)),"n.a.")</x:f>
        <x:v>0</x:v>
      </x:c>
      <x:c r="O1126" s="30" t="n">
        <x:f>IF(COUNT($I$1122:$I$1126)&lt;&gt;5,"n.a.",IF(I1126=0,6,IF('Inputs'!$D$5=1,COUNTIFS($I$1122:$I$1126,"&gt;0",$I$1122:$I$1126,"&lt;"&amp;I1126)+COUNTIFS($I$1122:I1126,I1126),COUNTIFS($I$1122:$I$1126,"&gt;0",$J$1122:$J$1126,"&gt;"&amp;J1126)+COUNTIFS($I$1122:I1126,"&gt;0",$J$1122:J1126,J1126))))</x:f>
        <x:v>6</x:v>
      </x:c>
      <x:c r="P1126" s="22" t="n">
        <x:f>IF(T1126="Ready",MIN(U1126,MAX(0,G1126-SUMIFS($U$1122:$U$1126,$O$1122:$O$1126,"&lt;"&amp;O1126))),"n.a.")</x:f>
        <x:v>0</x:v>
      </x:c>
      <x:c r="Q1126" s="22" t="n">
        <x:f>IF(T1126="Ready",ROUND(N1126+P1126,2),"n.a.")</x:f>
        <x:v>0</x:v>
      </x:c>
      <x:c r="R1126" s="22" t="n">
        <x:f>IF(T1126="Ready",ROUND(Q1126-M1126,2),"n.a.")</x:f>
        <x:v>0</x:v>
      </x:c>
      <x:c r="S1126" s="22" t="n">
        <x:f>IF(T1126="Ready",MAX(0,ROUND(I1126+M1126-Q1126,2)),"n.a.")</x:f>
        <x:v>0</x:v>
      </x:c>
      <x:c r="T1126" s="22" t="str">
        <x:f>IF(AND(COUNT($I$1122:$I$1126)=5,COUNT(E1126:F1126)=2),IF(E1126&gt;=F1126,"Ready","Budget below minima"),"Check inputs")</x:f>
        <x:v>Ready</x:v>
      </x:c>
      <x:c r="U1126" s="22" t="n">
        <x:f>IF(COUNT(I1126,M1126,N1126)=3,MAX(0,ROUND(I1126+M1126-N1126,2)),"n.a.")</x:f>
        <x:v>0</x:v>
      </x:c>
    </x:row>
    <x:row r="1127" ht="22" customHeight="1">
      <x:c r="A1127" s="2"/>
      <x:c r="B1127" s="2"/>
      <x:c r="C1127" s="27" t="n">
        <x:f>225</x:f>
        <x:v>225</x:v>
      </x:c>
      <x:c r="D1127" s="28" t="n">
        <x:f>IF(ISNUMBER('Inputs'!$D$7),EDATE('Inputs'!$D$7,224),"n.a.")</x:f>
        <x:v>53144</x:v>
      </x:c>
      <x:c r="E1127" s="26" t="n">
        <x:f>IF('Inputs'!$D$9&lt;&gt;"Ready","n.a.",IF(ISNUMBER('Inputs'!E243),IF('Inputs'!E243&gt;=0,'Inputs'!E243,"n.a."),IF('Inputs'!E243="",'Inputs'!$D$6,"n.a.")))</x:f>
        <x:v>500</x:v>
      </x:c>
      <x:c r="F1127" s="22" t="n">
        <x:f>IF(COUNT($N$1127:$N$1131)=5,SUM($N$1127:$N$1131),"n.a.")</x:f>
        <x:v>0</x:v>
      </x:c>
      <x:c r="G1127" s="22" t="n">
        <x:f>IF(COUNT(E1127:F1127)=2,MAX(0,E1127-F1127),"n.a.")</x:f>
        <x:v>500</x:v>
      </x:c>
      <x:c r="H1127" s="26" t="str">
        <x:f>'Inputs'!C11</x:f>
        <x:v>Card A</x:v>
      </x:c>
      <x:c r="I1127" s="26" t="n">
        <x:f>S1122</x:f>
        <x:v>0</x:v>
      </x:c>
      <x:c r="J1127" s="29" t="n">
        <x:f>IF('Inputs'!$D$9="Ready",'Inputs'!E11,"n.a.")</x:f>
        <x:v>0.24</x:v>
      </x:c>
      <x:c r="K1127" s="26" t="n">
        <x:f>IF('Inputs'!$D$9="Ready",'Inputs'!F11,"n.a.")</x:f>
        <x:v>35</x:v>
      </x:c>
      <x:c r="L1127" s="29" t="n">
        <x:f>IF('Inputs'!$D$9="Ready",'Inputs'!G11,"n.a.")</x:f>
        <x:v>0.02</x:v>
      </x:c>
      <x:c r="M1127" s="22" t="n">
        <x:f>IF(COUNT(I1127:L1127)=4,ROUND(I1127*J1127/12,2),"n.a.")</x:f>
        <x:v>0</x:v>
      </x:c>
      <x:c r="N1127" s="22" t="n">
        <x:f>IF(COUNT(I1127:M1127)=5,MIN(I1127+M1127,ROUND(MAX(K1127,I1127*L1127+M1127),2)),"n.a.")</x:f>
        <x:v>0</x:v>
      </x:c>
      <x:c r="O1127" s="30" t="n">
        <x:f>IF(COUNT($I$1127:$I$1131)&lt;&gt;5,"n.a.",IF(I1127=0,6,IF('Inputs'!$D$5=1,COUNTIFS($I$1127:$I$1131,"&gt;0",$I$1127:$I$1131,"&lt;"&amp;I1127)+COUNTIFS($I$1127:I1127,I1127),COUNTIFS($I$1127:$I$1131,"&gt;0",$J$1127:$J$1131,"&gt;"&amp;J1127)+COUNTIFS($I$1127:I1127,"&gt;0",$J$1127:J1127,J1127))))</x:f>
        <x:v>6</x:v>
      </x:c>
      <x:c r="P1127" s="22" t="n">
        <x:f>IF(T1127="Ready",MIN(U1127,MAX(0,G1127-SUMIFS($U$1127:$U$1131,$O$1127:$O$1131,"&lt;"&amp;O1127))),"n.a.")</x:f>
        <x:v>0</x:v>
      </x:c>
      <x:c r="Q1127" s="22" t="n">
        <x:f>IF(T1127="Ready",ROUND(N1127+P1127,2),"n.a.")</x:f>
        <x:v>0</x:v>
      </x:c>
      <x:c r="R1127" s="22" t="n">
        <x:f>IF(T1127="Ready",ROUND(Q1127-M1127,2),"n.a.")</x:f>
        <x:v>0</x:v>
      </x:c>
      <x:c r="S1127" s="22" t="n">
        <x:f>IF(T1127="Ready",MAX(0,ROUND(I1127+M1127-Q1127,2)),"n.a.")</x:f>
        <x:v>0</x:v>
      </x:c>
      <x:c r="T1127" s="22" t="str">
        <x:f>IF(AND(COUNT($I$1127:$I$1131)=5,COUNT(E1127:F1127)=2),IF(E1127&gt;=F1127,"Ready","Budget below minima"),"Check inputs")</x:f>
        <x:v>Ready</x:v>
      </x:c>
      <x:c r="U1127" s="22" t="n">
        <x:f>IF(COUNT(I1127,M1127,N1127)=3,MAX(0,ROUND(I1127+M1127-N1127,2)),"n.a.")</x:f>
        <x:v>0</x:v>
      </x:c>
    </x:row>
    <x:row r="1128" ht="22" customHeight="1">
      <x:c r="A1128" s="2"/>
      <x:c r="B1128" s="2"/>
      <x:c r="C1128" s="27" t="n">
        <x:f>225</x:f>
        <x:v>225</x:v>
      </x:c>
      <x:c r="D1128" s="28" t="n">
        <x:f>IF(ISNUMBER('Inputs'!$D$7),EDATE('Inputs'!$D$7,224),"n.a.")</x:f>
        <x:v>53144</x:v>
      </x:c>
      <x:c r="E1128" s="26" t="n">
        <x:f>IF('Inputs'!$D$9&lt;&gt;"Ready","n.a.",IF(ISNUMBER('Inputs'!E243),IF('Inputs'!E243&gt;=0,'Inputs'!E243,"n.a."),IF('Inputs'!E243="",'Inputs'!$D$6,"n.a.")))</x:f>
        <x:v>500</x:v>
      </x:c>
      <x:c r="F1128" s="22" t="n">
        <x:f>IF(COUNT($N$1127:$N$1131)=5,SUM($N$1127:$N$1131),"n.a.")</x:f>
        <x:v>0</x:v>
      </x:c>
      <x:c r="G1128" s="22" t="n">
        <x:f>IF(COUNT(E1128:F1128)=2,MAX(0,E1128-F1128),"n.a.")</x:f>
        <x:v>500</x:v>
      </x:c>
      <x:c r="H1128" s="26" t="str">
        <x:f>'Inputs'!C12</x:f>
        <x:v>Card B</x:v>
      </x:c>
      <x:c r="I1128" s="26" t="n">
        <x:f>S1123</x:f>
        <x:v>0</x:v>
      </x:c>
      <x:c r="J1128" s="29" t="n">
        <x:f>IF('Inputs'!$D$9="Ready",'Inputs'!E12,"n.a.")</x:f>
        <x:v>0.18</x:v>
      </x:c>
      <x:c r="K1128" s="26" t="n">
        <x:f>IF('Inputs'!$D$9="Ready",'Inputs'!F12,"n.a.")</x:f>
        <x:v>60</x:v>
      </x:c>
      <x:c r="L1128" s="29" t="n">
        <x:f>IF('Inputs'!$D$9="Ready",'Inputs'!G12,"n.a.")</x:f>
        <x:v>0.02</x:v>
      </x:c>
      <x:c r="M1128" s="22" t="n">
        <x:f>IF(COUNT(I1128:L1128)=4,ROUND(I1128*J1128/12,2),"n.a.")</x:f>
        <x:v>0</x:v>
      </x:c>
      <x:c r="N1128" s="22" t="n">
        <x:f>IF(COUNT(I1128:M1128)=5,MIN(I1128+M1128,ROUND(MAX(K1128,I1128*L1128+M1128),2)),"n.a.")</x:f>
        <x:v>0</x:v>
      </x:c>
      <x:c r="O1128" s="30" t="n">
        <x:f>IF(COUNT($I$1127:$I$1131)&lt;&gt;5,"n.a.",IF(I1128=0,6,IF('Inputs'!$D$5=1,COUNTIFS($I$1127:$I$1131,"&gt;0",$I$1127:$I$1131,"&lt;"&amp;I1128)+COUNTIFS($I$1127:I1128,I1128),COUNTIFS($I$1127:$I$1131,"&gt;0",$J$1127:$J$1131,"&gt;"&amp;J1128)+COUNTIFS($I$1127:I1128,"&gt;0",$J$1127:J1128,J1128))))</x:f>
        <x:v>6</x:v>
      </x:c>
      <x:c r="P1128" s="22" t="n">
        <x:f>IF(T1128="Ready",MIN(U1128,MAX(0,G1128-SUMIFS($U$1127:$U$1131,$O$1127:$O$1131,"&lt;"&amp;O1128))),"n.a.")</x:f>
        <x:v>0</x:v>
      </x:c>
      <x:c r="Q1128" s="22" t="n">
        <x:f>IF(T1128="Ready",ROUND(N1128+P1128,2),"n.a.")</x:f>
        <x:v>0</x:v>
      </x:c>
      <x:c r="R1128" s="22" t="n">
        <x:f>IF(T1128="Ready",ROUND(Q1128-M1128,2),"n.a.")</x:f>
        <x:v>0</x:v>
      </x:c>
      <x:c r="S1128" s="22" t="n">
        <x:f>IF(T1128="Ready",MAX(0,ROUND(I1128+M1128-Q1128,2)),"n.a.")</x:f>
        <x:v>0</x:v>
      </x:c>
      <x:c r="T1128" s="22" t="str">
        <x:f>IF(AND(COUNT($I$1127:$I$1131)=5,COUNT(E1128:F1128)=2),IF(E1128&gt;=F1128,"Ready","Budget below minima"),"Check inputs")</x:f>
        <x:v>Ready</x:v>
      </x:c>
      <x:c r="U1128" s="22" t="n">
        <x:f>IF(COUNT(I1128,M1128,N1128)=3,MAX(0,ROUND(I1128+M1128-N1128,2)),"n.a.")</x:f>
        <x:v>0</x:v>
      </x:c>
    </x:row>
    <x:row r="1129" ht="22" customHeight="1">
      <x:c r="A1129" s="2"/>
      <x:c r="B1129" s="2"/>
      <x:c r="C1129" s="27" t="n">
        <x:f>225</x:f>
        <x:v>225</x:v>
      </x:c>
      <x:c r="D1129" s="28" t="n">
        <x:f>IF(ISNUMBER('Inputs'!$D$7),EDATE('Inputs'!$D$7,224),"n.a.")</x:f>
        <x:v>53144</x:v>
      </x:c>
      <x:c r="E1129" s="26" t="n">
        <x:f>IF('Inputs'!$D$9&lt;&gt;"Ready","n.a.",IF(ISNUMBER('Inputs'!E243),IF('Inputs'!E243&gt;=0,'Inputs'!E243,"n.a."),IF('Inputs'!E243="",'Inputs'!$D$6,"n.a.")))</x:f>
        <x:v>500</x:v>
      </x:c>
      <x:c r="F1129" s="22" t="n">
        <x:f>IF(COUNT($N$1127:$N$1131)=5,SUM($N$1127:$N$1131),"n.a.")</x:f>
        <x:v>0</x:v>
      </x:c>
      <x:c r="G1129" s="22" t="n">
        <x:f>IF(COUNT(E1129:F1129)=2,MAX(0,E1129-F1129),"n.a.")</x:f>
        <x:v>500</x:v>
      </x:c>
      <x:c r="H1129" s="26" t="str">
        <x:f>'Inputs'!C13</x:f>
        <x:v>Loan C</x:v>
      </x:c>
      <x:c r="I1129" s="26" t="n">
        <x:f>S1124</x:f>
        <x:v>0</x:v>
      </x:c>
      <x:c r="J1129" s="29" t="n">
        <x:f>IF('Inputs'!$D$9="Ready",'Inputs'!E13,"n.a.")</x:f>
        <x:v>0.08</x:v>
      </x:c>
      <x:c r="K1129" s="26" t="n">
        <x:f>IF('Inputs'!$D$9="Ready",'Inputs'!F13,"n.a.")</x:f>
        <x:v>150</x:v>
      </x:c>
      <x:c r="L1129" s="29" t="n">
        <x:f>IF('Inputs'!$D$9="Ready",'Inputs'!G13,"n.a.")</x:f>
        <x:v>0</x:v>
      </x:c>
      <x:c r="M1129" s="22" t="n">
        <x:f>IF(COUNT(I1129:L1129)=4,ROUND(I1129*J1129/12,2),"n.a.")</x:f>
        <x:v>0</x:v>
      </x:c>
      <x:c r="N1129" s="22" t="n">
        <x:f>IF(COUNT(I1129:M1129)=5,MIN(I1129+M1129,ROUND(MAX(K1129,I1129*L1129+M1129),2)),"n.a.")</x:f>
        <x:v>0</x:v>
      </x:c>
      <x:c r="O1129" s="30" t="n">
        <x:f>IF(COUNT($I$1127:$I$1131)&lt;&gt;5,"n.a.",IF(I1129=0,6,IF('Inputs'!$D$5=1,COUNTIFS($I$1127:$I$1131,"&gt;0",$I$1127:$I$1131,"&lt;"&amp;I1129)+COUNTIFS($I$1127:I1129,I1129),COUNTIFS($I$1127:$I$1131,"&gt;0",$J$1127:$J$1131,"&gt;"&amp;J1129)+COUNTIFS($I$1127:I1129,"&gt;0",$J$1127:J1129,J1129))))</x:f>
        <x:v>6</x:v>
      </x:c>
      <x:c r="P1129" s="22" t="n">
        <x:f>IF(T1129="Ready",MIN(U1129,MAX(0,G1129-SUMIFS($U$1127:$U$1131,$O$1127:$O$1131,"&lt;"&amp;O1129))),"n.a.")</x:f>
        <x:v>0</x:v>
      </x:c>
      <x:c r="Q1129" s="22" t="n">
        <x:f>IF(T1129="Ready",ROUND(N1129+P1129,2),"n.a.")</x:f>
        <x:v>0</x:v>
      </x:c>
      <x:c r="R1129" s="22" t="n">
        <x:f>IF(T1129="Ready",ROUND(Q1129-M1129,2),"n.a.")</x:f>
        <x:v>0</x:v>
      </x:c>
      <x:c r="S1129" s="22" t="n">
        <x:f>IF(T1129="Ready",MAX(0,ROUND(I1129+M1129-Q1129,2)),"n.a.")</x:f>
        <x:v>0</x:v>
      </x:c>
      <x:c r="T1129" s="22" t="str">
        <x:f>IF(AND(COUNT($I$1127:$I$1131)=5,COUNT(E1129:F1129)=2),IF(E1129&gt;=F1129,"Ready","Budget below minima"),"Check inputs")</x:f>
        <x:v>Ready</x:v>
      </x:c>
      <x:c r="U1129" s="22" t="n">
        <x:f>IF(COUNT(I1129,M1129,N1129)=3,MAX(0,ROUND(I1129+M1129-N1129,2)),"n.a.")</x:f>
        <x:v>0</x:v>
      </x:c>
    </x:row>
    <x:row r="1130" ht="22" customHeight="1">
      <x:c r="A1130" s="2"/>
      <x:c r="B1130" s="2"/>
      <x:c r="C1130" s="27" t="n">
        <x:f>225</x:f>
        <x:v>225</x:v>
      </x:c>
      <x:c r="D1130" s="28" t="n">
        <x:f>IF(ISNUMBER('Inputs'!$D$7),EDATE('Inputs'!$D$7,224),"n.a.")</x:f>
        <x:v>53144</x:v>
      </x:c>
      <x:c r="E1130" s="26" t="n">
        <x:f>IF('Inputs'!$D$9&lt;&gt;"Ready","n.a.",IF(ISNUMBER('Inputs'!E243),IF('Inputs'!E243&gt;=0,'Inputs'!E243,"n.a."),IF('Inputs'!E243="",'Inputs'!$D$6,"n.a.")))</x:f>
        <x:v>500</x:v>
      </x:c>
      <x:c r="F1130" s="22" t="n">
        <x:f>IF(COUNT($N$1127:$N$1131)=5,SUM($N$1127:$N$1131),"n.a.")</x:f>
        <x:v>0</x:v>
      </x:c>
      <x:c r="G1130" s="22" t="n">
        <x:f>IF(COUNT(E1130:F1130)=2,MAX(0,E1130-F1130),"n.a.")</x:f>
        <x:v>500</x:v>
      </x:c>
      <x:c r="H1130" s="26" t="str">
        <x:f>'Inputs'!C14</x:f>
        <x:v>Unused 4</x:v>
      </x:c>
      <x:c r="I1130" s="26" t="n">
        <x:f>S1125</x:f>
        <x:v>0</x:v>
      </x:c>
      <x:c r="J1130" s="29" t="n">
        <x:f>IF('Inputs'!$D$9="Ready",'Inputs'!E14,"n.a.")</x:f>
        <x:v>0</x:v>
      </x:c>
      <x:c r="K1130" s="26" t="n">
        <x:f>IF('Inputs'!$D$9="Ready",'Inputs'!F14,"n.a.")</x:f>
        <x:v>0</x:v>
      </x:c>
      <x:c r="L1130" s="29" t="n">
        <x:f>IF('Inputs'!$D$9="Ready",'Inputs'!G14,"n.a.")</x:f>
        <x:v>0</x:v>
      </x:c>
      <x:c r="M1130" s="22" t="n">
        <x:f>IF(COUNT(I1130:L1130)=4,ROUND(I1130*J1130/12,2),"n.a.")</x:f>
        <x:v>0</x:v>
      </x:c>
      <x:c r="N1130" s="22" t="n">
        <x:f>IF(COUNT(I1130:M1130)=5,MIN(I1130+M1130,ROUND(MAX(K1130,I1130*L1130+M1130),2)),"n.a.")</x:f>
        <x:v>0</x:v>
      </x:c>
      <x:c r="O1130" s="30" t="n">
        <x:f>IF(COUNT($I$1127:$I$1131)&lt;&gt;5,"n.a.",IF(I1130=0,6,IF('Inputs'!$D$5=1,COUNTIFS($I$1127:$I$1131,"&gt;0",$I$1127:$I$1131,"&lt;"&amp;I1130)+COUNTIFS($I$1127:I1130,I1130),COUNTIFS($I$1127:$I$1131,"&gt;0",$J$1127:$J$1131,"&gt;"&amp;J1130)+COUNTIFS($I$1127:I1130,"&gt;0",$J$1127:J1130,J1130))))</x:f>
        <x:v>6</x:v>
      </x:c>
      <x:c r="P1130" s="22" t="n">
        <x:f>IF(T1130="Ready",MIN(U1130,MAX(0,G1130-SUMIFS($U$1127:$U$1131,$O$1127:$O$1131,"&lt;"&amp;O1130))),"n.a.")</x:f>
        <x:v>0</x:v>
      </x:c>
      <x:c r="Q1130" s="22" t="n">
        <x:f>IF(T1130="Ready",ROUND(N1130+P1130,2),"n.a.")</x:f>
        <x:v>0</x:v>
      </x:c>
      <x:c r="R1130" s="22" t="n">
        <x:f>IF(T1130="Ready",ROUND(Q1130-M1130,2),"n.a.")</x:f>
        <x:v>0</x:v>
      </x:c>
      <x:c r="S1130" s="22" t="n">
        <x:f>IF(T1130="Ready",MAX(0,ROUND(I1130+M1130-Q1130,2)),"n.a.")</x:f>
        <x:v>0</x:v>
      </x:c>
      <x:c r="T1130" s="22" t="str">
        <x:f>IF(AND(COUNT($I$1127:$I$1131)=5,COUNT(E1130:F1130)=2),IF(E1130&gt;=F1130,"Ready","Budget below minima"),"Check inputs")</x:f>
        <x:v>Ready</x:v>
      </x:c>
      <x:c r="U1130" s="22" t="n">
        <x:f>IF(COUNT(I1130,M1130,N1130)=3,MAX(0,ROUND(I1130+M1130-N1130,2)),"n.a.")</x:f>
        <x:v>0</x:v>
      </x:c>
    </x:row>
    <x:row r="1131" ht="22" customHeight="1">
      <x:c r="A1131" s="2"/>
      <x:c r="B1131" s="2"/>
      <x:c r="C1131" s="27" t="n">
        <x:f>225</x:f>
        <x:v>225</x:v>
      </x:c>
      <x:c r="D1131" s="28" t="n">
        <x:f>IF(ISNUMBER('Inputs'!$D$7),EDATE('Inputs'!$D$7,224),"n.a.")</x:f>
        <x:v>53144</x:v>
      </x:c>
      <x:c r="E1131" s="26" t="n">
        <x:f>IF('Inputs'!$D$9&lt;&gt;"Ready","n.a.",IF(ISNUMBER('Inputs'!E243),IF('Inputs'!E243&gt;=0,'Inputs'!E243,"n.a."),IF('Inputs'!E243="",'Inputs'!$D$6,"n.a.")))</x:f>
        <x:v>500</x:v>
      </x:c>
      <x:c r="F1131" s="22" t="n">
        <x:f>IF(COUNT($N$1127:$N$1131)=5,SUM($N$1127:$N$1131),"n.a.")</x:f>
        <x:v>0</x:v>
      </x:c>
      <x:c r="G1131" s="22" t="n">
        <x:f>IF(COUNT(E1131:F1131)=2,MAX(0,E1131-F1131),"n.a.")</x:f>
        <x:v>500</x:v>
      </x:c>
      <x:c r="H1131" s="26" t="str">
        <x:f>'Inputs'!C15</x:f>
        <x:v>Unused 5</x:v>
      </x:c>
      <x:c r="I1131" s="26" t="n">
        <x:f>S1126</x:f>
        <x:v>0</x:v>
      </x:c>
      <x:c r="J1131" s="29" t="n">
        <x:f>IF('Inputs'!$D$9="Ready",'Inputs'!E15,"n.a.")</x:f>
        <x:v>0</x:v>
      </x:c>
      <x:c r="K1131" s="26" t="n">
        <x:f>IF('Inputs'!$D$9="Ready",'Inputs'!F15,"n.a.")</x:f>
        <x:v>0</x:v>
      </x:c>
      <x:c r="L1131" s="29" t="n">
        <x:f>IF('Inputs'!$D$9="Ready",'Inputs'!G15,"n.a.")</x:f>
        <x:v>0</x:v>
      </x:c>
      <x:c r="M1131" s="22" t="n">
        <x:f>IF(COUNT(I1131:L1131)=4,ROUND(I1131*J1131/12,2),"n.a.")</x:f>
        <x:v>0</x:v>
      </x:c>
      <x:c r="N1131" s="22" t="n">
        <x:f>IF(COUNT(I1131:M1131)=5,MIN(I1131+M1131,ROUND(MAX(K1131,I1131*L1131+M1131),2)),"n.a.")</x:f>
        <x:v>0</x:v>
      </x:c>
      <x:c r="O1131" s="30" t="n">
        <x:f>IF(COUNT($I$1127:$I$1131)&lt;&gt;5,"n.a.",IF(I1131=0,6,IF('Inputs'!$D$5=1,COUNTIFS($I$1127:$I$1131,"&gt;0",$I$1127:$I$1131,"&lt;"&amp;I1131)+COUNTIFS($I$1127:I1131,I1131),COUNTIFS($I$1127:$I$1131,"&gt;0",$J$1127:$J$1131,"&gt;"&amp;J1131)+COUNTIFS($I$1127:I1131,"&gt;0",$J$1127:J1131,J1131))))</x:f>
        <x:v>6</x:v>
      </x:c>
      <x:c r="P1131" s="22" t="n">
        <x:f>IF(T1131="Ready",MIN(U1131,MAX(0,G1131-SUMIFS($U$1127:$U$1131,$O$1127:$O$1131,"&lt;"&amp;O1131))),"n.a.")</x:f>
        <x:v>0</x:v>
      </x:c>
      <x:c r="Q1131" s="22" t="n">
        <x:f>IF(T1131="Ready",ROUND(N1131+P1131,2),"n.a.")</x:f>
        <x:v>0</x:v>
      </x:c>
      <x:c r="R1131" s="22" t="n">
        <x:f>IF(T1131="Ready",ROUND(Q1131-M1131,2),"n.a.")</x:f>
        <x:v>0</x:v>
      </x:c>
      <x:c r="S1131" s="22" t="n">
        <x:f>IF(T1131="Ready",MAX(0,ROUND(I1131+M1131-Q1131,2)),"n.a.")</x:f>
        <x:v>0</x:v>
      </x:c>
      <x:c r="T1131" s="22" t="str">
        <x:f>IF(AND(COUNT($I$1127:$I$1131)=5,COUNT(E1131:F1131)=2),IF(E1131&gt;=F1131,"Ready","Budget below minima"),"Check inputs")</x:f>
        <x:v>Ready</x:v>
      </x:c>
      <x:c r="U1131" s="22" t="n">
        <x:f>IF(COUNT(I1131,M1131,N1131)=3,MAX(0,ROUND(I1131+M1131-N1131,2)),"n.a.")</x:f>
        <x:v>0</x:v>
      </x:c>
    </x:row>
    <x:row r="1132" ht="22" customHeight="1">
      <x:c r="A1132" s="2"/>
      <x:c r="B1132" s="2"/>
      <x:c r="C1132" s="27" t="n">
        <x:f>226</x:f>
        <x:v>226</x:v>
      </x:c>
      <x:c r="D1132" s="28" t="n">
        <x:f>IF(ISNUMBER('Inputs'!$D$7),EDATE('Inputs'!$D$7,225),"n.a.")</x:f>
        <x:v>53175</x:v>
      </x:c>
      <x:c r="E1132" s="26" t="n">
        <x:f>IF('Inputs'!$D$9&lt;&gt;"Ready","n.a.",IF(ISNUMBER('Inputs'!E244),IF('Inputs'!E244&gt;=0,'Inputs'!E244,"n.a."),IF('Inputs'!E244="",'Inputs'!$D$6,"n.a.")))</x:f>
        <x:v>500</x:v>
      </x:c>
      <x:c r="F1132" s="22" t="n">
        <x:f>IF(COUNT($N$1132:$N$1136)=5,SUM($N$1132:$N$1136),"n.a.")</x:f>
        <x:v>0</x:v>
      </x:c>
      <x:c r="G1132" s="22" t="n">
        <x:f>IF(COUNT(E1132:F1132)=2,MAX(0,E1132-F1132),"n.a.")</x:f>
        <x:v>500</x:v>
      </x:c>
      <x:c r="H1132" s="26" t="str">
        <x:f>'Inputs'!C11</x:f>
        <x:v>Card A</x:v>
      </x:c>
      <x:c r="I1132" s="26" t="n">
        <x:f>S1127</x:f>
        <x:v>0</x:v>
      </x:c>
      <x:c r="J1132" s="29" t="n">
        <x:f>IF('Inputs'!$D$9="Ready",'Inputs'!E11,"n.a.")</x:f>
        <x:v>0.24</x:v>
      </x:c>
      <x:c r="K1132" s="26" t="n">
        <x:f>IF('Inputs'!$D$9="Ready",'Inputs'!F11,"n.a.")</x:f>
        <x:v>35</x:v>
      </x:c>
      <x:c r="L1132" s="29" t="n">
        <x:f>IF('Inputs'!$D$9="Ready",'Inputs'!G11,"n.a.")</x:f>
        <x:v>0.02</x:v>
      </x:c>
      <x:c r="M1132" s="22" t="n">
        <x:f>IF(COUNT(I1132:L1132)=4,ROUND(I1132*J1132/12,2),"n.a.")</x:f>
        <x:v>0</x:v>
      </x:c>
      <x:c r="N1132" s="22" t="n">
        <x:f>IF(COUNT(I1132:M1132)=5,MIN(I1132+M1132,ROUND(MAX(K1132,I1132*L1132+M1132),2)),"n.a.")</x:f>
        <x:v>0</x:v>
      </x:c>
      <x:c r="O1132" s="30" t="n">
        <x:f>IF(COUNT($I$1132:$I$1136)&lt;&gt;5,"n.a.",IF(I1132=0,6,IF('Inputs'!$D$5=1,COUNTIFS($I$1132:$I$1136,"&gt;0",$I$1132:$I$1136,"&lt;"&amp;I1132)+COUNTIFS($I$1132:I1132,I1132),COUNTIFS($I$1132:$I$1136,"&gt;0",$J$1132:$J$1136,"&gt;"&amp;J1132)+COUNTIFS($I$1132:I1132,"&gt;0",$J$1132:J1132,J1132))))</x:f>
        <x:v>6</x:v>
      </x:c>
      <x:c r="P1132" s="22" t="n">
        <x:f>IF(T1132="Ready",MIN(U1132,MAX(0,G1132-SUMIFS($U$1132:$U$1136,$O$1132:$O$1136,"&lt;"&amp;O1132))),"n.a.")</x:f>
        <x:v>0</x:v>
      </x:c>
      <x:c r="Q1132" s="22" t="n">
        <x:f>IF(T1132="Ready",ROUND(N1132+P1132,2),"n.a.")</x:f>
        <x:v>0</x:v>
      </x:c>
      <x:c r="R1132" s="22" t="n">
        <x:f>IF(T1132="Ready",ROUND(Q1132-M1132,2),"n.a.")</x:f>
        <x:v>0</x:v>
      </x:c>
      <x:c r="S1132" s="22" t="n">
        <x:f>IF(T1132="Ready",MAX(0,ROUND(I1132+M1132-Q1132,2)),"n.a.")</x:f>
        <x:v>0</x:v>
      </x:c>
      <x:c r="T1132" s="22" t="str">
        <x:f>IF(AND(COUNT($I$1132:$I$1136)=5,COUNT(E1132:F1132)=2),IF(E1132&gt;=F1132,"Ready","Budget below minima"),"Check inputs")</x:f>
        <x:v>Ready</x:v>
      </x:c>
      <x:c r="U1132" s="22" t="n">
        <x:f>IF(COUNT(I1132,M1132,N1132)=3,MAX(0,ROUND(I1132+M1132-N1132,2)),"n.a.")</x:f>
        <x:v>0</x:v>
      </x:c>
    </x:row>
    <x:row r="1133" ht="22" customHeight="1">
      <x:c r="A1133" s="2"/>
      <x:c r="B1133" s="2"/>
      <x:c r="C1133" s="27" t="n">
        <x:f>226</x:f>
        <x:v>226</x:v>
      </x:c>
      <x:c r="D1133" s="28" t="n">
        <x:f>IF(ISNUMBER('Inputs'!$D$7),EDATE('Inputs'!$D$7,225),"n.a.")</x:f>
        <x:v>53175</x:v>
      </x:c>
      <x:c r="E1133" s="26" t="n">
        <x:f>IF('Inputs'!$D$9&lt;&gt;"Ready","n.a.",IF(ISNUMBER('Inputs'!E244),IF('Inputs'!E244&gt;=0,'Inputs'!E244,"n.a."),IF('Inputs'!E244="",'Inputs'!$D$6,"n.a.")))</x:f>
        <x:v>500</x:v>
      </x:c>
      <x:c r="F1133" s="22" t="n">
        <x:f>IF(COUNT($N$1132:$N$1136)=5,SUM($N$1132:$N$1136),"n.a.")</x:f>
        <x:v>0</x:v>
      </x:c>
      <x:c r="G1133" s="22" t="n">
        <x:f>IF(COUNT(E1133:F1133)=2,MAX(0,E1133-F1133),"n.a.")</x:f>
        <x:v>500</x:v>
      </x:c>
      <x:c r="H1133" s="26" t="str">
        <x:f>'Inputs'!C12</x:f>
        <x:v>Card B</x:v>
      </x:c>
      <x:c r="I1133" s="26" t="n">
        <x:f>S1128</x:f>
        <x:v>0</x:v>
      </x:c>
      <x:c r="J1133" s="29" t="n">
        <x:f>IF('Inputs'!$D$9="Ready",'Inputs'!E12,"n.a.")</x:f>
        <x:v>0.18</x:v>
      </x:c>
      <x:c r="K1133" s="26" t="n">
        <x:f>IF('Inputs'!$D$9="Ready",'Inputs'!F12,"n.a.")</x:f>
        <x:v>60</x:v>
      </x:c>
      <x:c r="L1133" s="29" t="n">
        <x:f>IF('Inputs'!$D$9="Ready",'Inputs'!G12,"n.a.")</x:f>
        <x:v>0.02</x:v>
      </x:c>
      <x:c r="M1133" s="22" t="n">
        <x:f>IF(COUNT(I1133:L1133)=4,ROUND(I1133*J1133/12,2),"n.a.")</x:f>
        <x:v>0</x:v>
      </x:c>
      <x:c r="N1133" s="22" t="n">
        <x:f>IF(COUNT(I1133:M1133)=5,MIN(I1133+M1133,ROUND(MAX(K1133,I1133*L1133+M1133),2)),"n.a.")</x:f>
        <x:v>0</x:v>
      </x:c>
      <x:c r="O1133" s="30" t="n">
        <x:f>IF(COUNT($I$1132:$I$1136)&lt;&gt;5,"n.a.",IF(I1133=0,6,IF('Inputs'!$D$5=1,COUNTIFS($I$1132:$I$1136,"&gt;0",$I$1132:$I$1136,"&lt;"&amp;I1133)+COUNTIFS($I$1132:I1133,I1133),COUNTIFS($I$1132:$I$1136,"&gt;0",$J$1132:$J$1136,"&gt;"&amp;J1133)+COUNTIFS($I$1132:I1133,"&gt;0",$J$1132:J1133,J1133))))</x:f>
        <x:v>6</x:v>
      </x:c>
      <x:c r="P1133" s="22" t="n">
        <x:f>IF(T1133="Ready",MIN(U1133,MAX(0,G1133-SUMIFS($U$1132:$U$1136,$O$1132:$O$1136,"&lt;"&amp;O1133))),"n.a.")</x:f>
        <x:v>0</x:v>
      </x:c>
      <x:c r="Q1133" s="22" t="n">
        <x:f>IF(T1133="Ready",ROUND(N1133+P1133,2),"n.a.")</x:f>
        <x:v>0</x:v>
      </x:c>
      <x:c r="R1133" s="22" t="n">
        <x:f>IF(T1133="Ready",ROUND(Q1133-M1133,2),"n.a.")</x:f>
        <x:v>0</x:v>
      </x:c>
      <x:c r="S1133" s="22" t="n">
        <x:f>IF(T1133="Ready",MAX(0,ROUND(I1133+M1133-Q1133,2)),"n.a.")</x:f>
        <x:v>0</x:v>
      </x:c>
      <x:c r="T1133" s="22" t="str">
        <x:f>IF(AND(COUNT($I$1132:$I$1136)=5,COUNT(E1133:F1133)=2),IF(E1133&gt;=F1133,"Ready","Budget below minima"),"Check inputs")</x:f>
        <x:v>Ready</x:v>
      </x:c>
      <x:c r="U1133" s="22" t="n">
        <x:f>IF(COUNT(I1133,M1133,N1133)=3,MAX(0,ROUND(I1133+M1133-N1133,2)),"n.a.")</x:f>
        <x:v>0</x:v>
      </x:c>
    </x:row>
    <x:row r="1134" ht="22" customHeight="1">
      <x:c r="A1134" s="2"/>
      <x:c r="B1134" s="2"/>
      <x:c r="C1134" s="27" t="n">
        <x:f>226</x:f>
        <x:v>226</x:v>
      </x:c>
      <x:c r="D1134" s="28" t="n">
        <x:f>IF(ISNUMBER('Inputs'!$D$7),EDATE('Inputs'!$D$7,225),"n.a.")</x:f>
        <x:v>53175</x:v>
      </x:c>
      <x:c r="E1134" s="26" t="n">
        <x:f>IF('Inputs'!$D$9&lt;&gt;"Ready","n.a.",IF(ISNUMBER('Inputs'!E244),IF('Inputs'!E244&gt;=0,'Inputs'!E244,"n.a."),IF('Inputs'!E244="",'Inputs'!$D$6,"n.a.")))</x:f>
        <x:v>500</x:v>
      </x:c>
      <x:c r="F1134" s="22" t="n">
        <x:f>IF(COUNT($N$1132:$N$1136)=5,SUM($N$1132:$N$1136),"n.a.")</x:f>
        <x:v>0</x:v>
      </x:c>
      <x:c r="G1134" s="22" t="n">
        <x:f>IF(COUNT(E1134:F1134)=2,MAX(0,E1134-F1134),"n.a.")</x:f>
        <x:v>500</x:v>
      </x:c>
      <x:c r="H1134" s="26" t="str">
        <x:f>'Inputs'!C13</x:f>
        <x:v>Loan C</x:v>
      </x:c>
      <x:c r="I1134" s="26" t="n">
        <x:f>S1129</x:f>
        <x:v>0</x:v>
      </x:c>
      <x:c r="J1134" s="29" t="n">
        <x:f>IF('Inputs'!$D$9="Ready",'Inputs'!E13,"n.a.")</x:f>
        <x:v>0.08</x:v>
      </x:c>
      <x:c r="K1134" s="26" t="n">
        <x:f>IF('Inputs'!$D$9="Ready",'Inputs'!F13,"n.a.")</x:f>
        <x:v>150</x:v>
      </x:c>
      <x:c r="L1134" s="29" t="n">
        <x:f>IF('Inputs'!$D$9="Ready",'Inputs'!G13,"n.a.")</x:f>
        <x:v>0</x:v>
      </x:c>
      <x:c r="M1134" s="22" t="n">
        <x:f>IF(COUNT(I1134:L1134)=4,ROUND(I1134*J1134/12,2),"n.a.")</x:f>
        <x:v>0</x:v>
      </x:c>
      <x:c r="N1134" s="22" t="n">
        <x:f>IF(COUNT(I1134:M1134)=5,MIN(I1134+M1134,ROUND(MAX(K1134,I1134*L1134+M1134),2)),"n.a.")</x:f>
        <x:v>0</x:v>
      </x:c>
      <x:c r="O1134" s="30" t="n">
        <x:f>IF(COUNT($I$1132:$I$1136)&lt;&gt;5,"n.a.",IF(I1134=0,6,IF('Inputs'!$D$5=1,COUNTIFS($I$1132:$I$1136,"&gt;0",$I$1132:$I$1136,"&lt;"&amp;I1134)+COUNTIFS($I$1132:I1134,I1134),COUNTIFS($I$1132:$I$1136,"&gt;0",$J$1132:$J$1136,"&gt;"&amp;J1134)+COUNTIFS($I$1132:I1134,"&gt;0",$J$1132:J1134,J1134))))</x:f>
        <x:v>6</x:v>
      </x:c>
      <x:c r="P1134" s="22" t="n">
        <x:f>IF(T1134="Ready",MIN(U1134,MAX(0,G1134-SUMIFS($U$1132:$U$1136,$O$1132:$O$1136,"&lt;"&amp;O1134))),"n.a.")</x:f>
        <x:v>0</x:v>
      </x:c>
      <x:c r="Q1134" s="22" t="n">
        <x:f>IF(T1134="Ready",ROUND(N1134+P1134,2),"n.a.")</x:f>
        <x:v>0</x:v>
      </x:c>
      <x:c r="R1134" s="22" t="n">
        <x:f>IF(T1134="Ready",ROUND(Q1134-M1134,2),"n.a.")</x:f>
        <x:v>0</x:v>
      </x:c>
      <x:c r="S1134" s="22" t="n">
        <x:f>IF(T1134="Ready",MAX(0,ROUND(I1134+M1134-Q1134,2)),"n.a.")</x:f>
        <x:v>0</x:v>
      </x:c>
      <x:c r="T1134" s="22" t="str">
        <x:f>IF(AND(COUNT($I$1132:$I$1136)=5,COUNT(E1134:F1134)=2),IF(E1134&gt;=F1134,"Ready","Budget below minima"),"Check inputs")</x:f>
        <x:v>Ready</x:v>
      </x:c>
      <x:c r="U1134" s="22" t="n">
        <x:f>IF(COUNT(I1134,M1134,N1134)=3,MAX(0,ROUND(I1134+M1134-N1134,2)),"n.a.")</x:f>
        <x:v>0</x:v>
      </x:c>
    </x:row>
    <x:row r="1135" ht="22" customHeight="1">
      <x:c r="A1135" s="2"/>
      <x:c r="B1135" s="2"/>
      <x:c r="C1135" s="27" t="n">
        <x:f>226</x:f>
        <x:v>226</x:v>
      </x:c>
      <x:c r="D1135" s="28" t="n">
        <x:f>IF(ISNUMBER('Inputs'!$D$7),EDATE('Inputs'!$D$7,225),"n.a.")</x:f>
        <x:v>53175</x:v>
      </x:c>
      <x:c r="E1135" s="26" t="n">
        <x:f>IF('Inputs'!$D$9&lt;&gt;"Ready","n.a.",IF(ISNUMBER('Inputs'!E244),IF('Inputs'!E244&gt;=0,'Inputs'!E244,"n.a."),IF('Inputs'!E244="",'Inputs'!$D$6,"n.a.")))</x:f>
        <x:v>500</x:v>
      </x:c>
      <x:c r="F1135" s="22" t="n">
        <x:f>IF(COUNT($N$1132:$N$1136)=5,SUM($N$1132:$N$1136),"n.a.")</x:f>
        <x:v>0</x:v>
      </x:c>
      <x:c r="G1135" s="22" t="n">
        <x:f>IF(COUNT(E1135:F1135)=2,MAX(0,E1135-F1135),"n.a.")</x:f>
        <x:v>500</x:v>
      </x:c>
      <x:c r="H1135" s="26" t="str">
        <x:f>'Inputs'!C14</x:f>
        <x:v>Unused 4</x:v>
      </x:c>
      <x:c r="I1135" s="26" t="n">
        <x:f>S1130</x:f>
        <x:v>0</x:v>
      </x:c>
      <x:c r="J1135" s="29" t="n">
        <x:f>IF('Inputs'!$D$9="Ready",'Inputs'!E14,"n.a.")</x:f>
        <x:v>0</x:v>
      </x:c>
      <x:c r="K1135" s="26" t="n">
        <x:f>IF('Inputs'!$D$9="Ready",'Inputs'!F14,"n.a.")</x:f>
        <x:v>0</x:v>
      </x:c>
      <x:c r="L1135" s="29" t="n">
        <x:f>IF('Inputs'!$D$9="Ready",'Inputs'!G14,"n.a.")</x:f>
        <x:v>0</x:v>
      </x:c>
      <x:c r="M1135" s="22" t="n">
        <x:f>IF(COUNT(I1135:L1135)=4,ROUND(I1135*J1135/12,2),"n.a.")</x:f>
        <x:v>0</x:v>
      </x:c>
      <x:c r="N1135" s="22" t="n">
        <x:f>IF(COUNT(I1135:M1135)=5,MIN(I1135+M1135,ROUND(MAX(K1135,I1135*L1135+M1135),2)),"n.a.")</x:f>
        <x:v>0</x:v>
      </x:c>
      <x:c r="O1135" s="30" t="n">
        <x:f>IF(COUNT($I$1132:$I$1136)&lt;&gt;5,"n.a.",IF(I1135=0,6,IF('Inputs'!$D$5=1,COUNTIFS($I$1132:$I$1136,"&gt;0",$I$1132:$I$1136,"&lt;"&amp;I1135)+COUNTIFS($I$1132:I1135,I1135),COUNTIFS($I$1132:$I$1136,"&gt;0",$J$1132:$J$1136,"&gt;"&amp;J1135)+COUNTIFS($I$1132:I1135,"&gt;0",$J$1132:J1135,J1135))))</x:f>
        <x:v>6</x:v>
      </x:c>
      <x:c r="P1135" s="22" t="n">
        <x:f>IF(T1135="Ready",MIN(U1135,MAX(0,G1135-SUMIFS($U$1132:$U$1136,$O$1132:$O$1136,"&lt;"&amp;O1135))),"n.a.")</x:f>
        <x:v>0</x:v>
      </x:c>
      <x:c r="Q1135" s="22" t="n">
        <x:f>IF(T1135="Ready",ROUND(N1135+P1135,2),"n.a.")</x:f>
        <x:v>0</x:v>
      </x:c>
      <x:c r="R1135" s="22" t="n">
        <x:f>IF(T1135="Ready",ROUND(Q1135-M1135,2),"n.a.")</x:f>
        <x:v>0</x:v>
      </x:c>
      <x:c r="S1135" s="22" t="n">
        <x:f>IF(T1135="Ready",MAX(0,ROUND(I1135+M1135-Q1135,2)),"n.a.")</x:f>
        <x:v>0</x:v>
      </x:c>
      <x:c r="T1135" s="22" t="str">
        <x:f>IF(AND(COUNT($I$1132:$I$1136)=5,COUNT(E1135:F1135)=2),IF(E1135&gt;=F1135,"Ready","Budget below minima"),"Check inputs")</x:f>
        <x:v>Ready</x:v>
      </x:c>
      <x:c r="U1135" s="22" t="n">
        <x:f>IF(COUNT(I1135,M1135,N1135)=3,MAX(0,ROUND(I1135+M1135-N1135,2)),"n.a.")</x:f>
        <x:v>0</x:v>
      </x:c>
    </x:row>
    <x:row r="1136" ht="22" customHeight="1">
      <x:c r="A1136" s="2"/>
      <x:c r="B1136" s="2"/>
      <x:c r="C1136" s="27" t="n">
        <x:f>226</x:f>
        <x:v>226</x:v>
      </x:c>
      <x:c r="D1136" s="28" t="n">
        <x:f>IF(ISNUMBER('Inputs'!$D$7),EDATE('Inputs'!$D$7,225),"n.a.")</x:f>
        <x:v>53175</x:v>
      </x:c>
      <x:c r="E1136" s="26" t="n">
        <x:f>IF('Inputs'!$D$9&lt;&gt;"Ready","n.a.",IF(ISNUMBER('Inputs'!E244),IF('Inputs'!E244&gt;=0,'Inputs'!E244,"n.a."),IF('Inputs'!E244="",'Inputs'!$D$6,"n.a.")))</x:f>
        <x:v>500</x:v>
      </x:c>
      <x:c r="F1136" s="22" t="n">
        <x:f>IF(COUNT($N$1132:$N$1136)=5,SUM($N$1132:$N$1136),"n.a.")</x:f>
        <x:v>0</x:v>
      </x:c>
      <x:c r="G1136" s="22" t="n">
        <x:f>IF(COUNT(E1136:F1136)=2,MAX(0,E1136-F1136),"n.a.")</x:f>
        <x:v>500</x:v>
      </x:c>
      <x:c r="H1136" s="26" t="str">
        <x:f>'Inputs'!C15</x:f>
        <x:v>Unused 5</x:v>
      </x:c>
      <x:c r="I1136" s="26" t="n">
        <x:f>S1131</x:f>
        <x:v>0</x:v>
      </x:c>
      <x:c r="J1136" s="29" t="n">
        <x:f>IF('Inputs'!$D$9="Ready",'Inputs'!E15,"n.a.")</x:f>
        <x:v>0</x:v>
      </x:c>
      <x:c r="K1136" s="26" t="n">
        <x:f>IF('Inputs'!$D$9="Ready",'Inputs'!F15,"n.a.")</x:f>
        <x:v>0</x:v>
      </x:c>
      <x:c r="L1136" s="29" t="n">
        <x:f>IF('Inputs'!$D$9="Ready",'Inputs'!G15,"n.a.")</x:f>
        <x:v>0</x:v>
      </x:c>
      <x:c r="M1136" s="22" t="n">
        <x:f>IF(COUNT(I1136:L1136)=4,ROUND(I1136*J1136/12,2),"n.a.")</x:f>
        <x:v>0</x:v>
      </x:c>
      <x:c r="N1136" s="22" t="n">
        <x:f>IF(COUNT(I1136:M1136)=5,MIN(I1136+M1136,ROUND(MAX(K1136,I1136*L1136+M1136),2)),"n.a.")</x:f>
        <x:v>0</x:v>
      </x:c>
      <x:c r="O1136" s="30" t="n">
        <x:f>IF(COUNT($I$1132:$I$1136)&lt;&gt;5,"n.a.",IF(I1136=0,6,IF('Inputs'!$D$5=1,COUNTIFS($I$1132:$I$1136,"&gt;0",$I$1132:$I$1136,"&lt;"&amp;I1136)+COUNTIFS($I$1132:I1136,I1136),COUNTIFS($I$1132:$I$1136,"&gt;0",$J$1132:$J$1136,"&gt;"&amp;J1136)+COUNTIFS($I$1132:I1136,"&gt;0",$J$1132:J1136,J1136))))</x:f>
        <x:v>6</x:v>
      </x:c>
      <x:c r="P1136" s="22" t="n">
        <x:f>IF(T1136="Ready",MIN(U1136,MAX(0,G1136-SUMIFS($U$1132:$U$1136,$O$1132:$O$1136,"&lt;"&amp;O1136))),"n.a.")</x:f>
        <x:v>0</x:v>
      </x:c>
      <x:c r="Q1136" s="22" t="n">
        <x:f>IF(T1136="Ready",ROUND(N1136+P1136,2),"n.a.")</x:f>
        <x:v>0</x:v>
      </x:c>
      <x:c r="R1136" s="22" t="n">
        <x:f>IF(T1136="Ready",ROUND(Q1136-M1136,2),"n.a.")</x:f>
        <x:v>0</x:v>
      </x:c>
      <x:c r="S1136" s="22" t="n">
        <x:f>IF(T1136="Ready",MAX(0,ROUND(I1136+M1136-Q1136,2)),"n.a.")</x:f>
        <x:v>0</x:v>
      </x:c>
      <x:c r="T1136" s="22" t="str">
        <x:f>IF(AND(COUNT($I$1132:$I$1136)=5,COUNT(E1136:F1136)=2),IF(E1136&gt;=F1136,"Ready","Budget below minima"),"Check inputs")</x:f>
        <x:v>Ready</x:v>
      </x:c>
      <x:c r="U1136" s="22" t="n">
        <x:f>IF(COUNT(I1136,M1136,N1136)=3,MAX(0,ROUND(I1136+M1136-N1136,2)),"n.a.")</x:f>
        <x:v>0</x:v>
      </x:c>
    </x:row>
    <x:row r="1137" ht="22" customHeight="1">
      <x:c r="A1137" s="2"/>
      <x:c r="B1137" s="2"/>
      <x:c r="C1137" s="27" t="n">
        <x:f>227</x:f>
        <x:v>227</x:v>
      </x:c>
      <x:c r="D1137" s="28" t="n">
        <x:f>IF(ISNUMBER('Inputs'!$D$7),EDATE('Inputs'!$D$7,226),"n.a.")</x:f>
        <x:v>53206</x:v>
      </x:c>
      <x:c r="E1137" s="26" t="n">
        <x:f>IF('Inputs'!$D$9&lt;&gt;"Ready","n.a.",IF(ISNUMBER('Inputs'!E245),IF('Inputs'!E245&gt;=0,'Inputs'!E245,"n.a."),IF('Inputs'!E245="",'Inputs'!$D$6,"n.a.")))</x:f>
        <x:v>500</x:v>
      </x:c>
      <x:c r="F1137" s="22" t="n">
        <x:f>IF(COUNT($N$1137:$N$1141)=5,SUM($N$1137:$N$1141),"n.a.")</x:f>
        <x:v>0</x:v>
      </x:c>
      <x:c r="G1137" s="22" t="n">
        <x:f>IF(COUNT(E1137:F1137)=2,MAX(0,E1137-F1137),"n.a.")</x:f>
        <x:v>500</x:v>
      </x:c>
      <x:c r="H1137" s="26" t="str">
        <x:f>'Inputs'!C11</x:f>
        <x:v>Card A</x:v>
      </x:c>
      <x:c r="I1137" s="26" t="n">
        <x:f>S1132</x:f>
        <x:v>0</x:v>
      </x:c>
      <x:c r="J1137" s="29" t="n">
        <x:f>IF('Inputs'!$D$9="Ready",'Inputs'!E11,"n.a.")</x:f>
        <x:v>0.24</x:v>
      </x:c>
      <x:c r="K1137" s="26" t="n">
        <x:f>IF('Inputs'!$D$9="Ready",'Inputs'!F11,"n.a.")</x:f>
        <x:v>35</x:v>
      </x:c>
      <x:c r="L1137" s="29" t="n">
        <x:f>IF('Inputs'!$D$9="Ready",'Inputs'!G11,"n.a.")</x:f>
        <x:v>0.02</x:v>
      </x:c>
      <x:c r="M1137" s="22" t="n">
        <x:f>IF(COUNT(I1137:L1137)=4,ROUND(I1137*J1137/12,2),"n.a.")</x:f>
        <x:v>0</x:v>
      </x:c>
      <x:c r="N1137" s="22" t="n">
        <x:f>IF(COUNT(I1137:M1137)=5,MIN(I1137+M1137,ROUND(MAX(K1137,I1137*L1137+M1137),2)),"n.a.")</x:f>
        <x:v>0</x:v>
      </x:c>
      <x:c r="O1137" s="30" t="n">
        <x:f>IF(COUNT($I$1137:$I$1141)&lt;&gt;5,"n.a.",IF(I1137=0,6,IF('Inputs'!$D$5=1,COUNTIFS($I$1137:$I$1141,"&gt;0",$I$1137:$I$1141,"&lt;"&amp;I1137)+COUNTIFS($I$1137:I1137,I1137),COUNTIFS($I$1137:$I$1141,"&gt;0",$J$1137:$J$1141,"&gt;"&amp;J1137)+COUNTIFS($I$1137:I1137,"&gt;0",$J$1137:J1137,J1137))))</x:f>
        <x:v>6</x:v>
      </x:c>
      <x:c r="P1137" s="22" t="n">
        <x:f>IF(T1137="Ready",MIN(U1137,MAX(0,G1137-SUMIFS($U$1137:$U$1141,$O$1137:$O$1141,"&lt;"&amp;O1137))),"n.a.")</x:f>
        <x:v>0</x:v>
      </x:c>
      <x:c r="Q1137" s="22" t="n">
        <x:f>IF(T1137="Ready",ROUND(N1137+P1137,2),"n.a.")</x:f>
        <x:v>0</x:v>
      </x:c>
      <x:c r="R1137" s="22" t="n">
        <x:f>IF(T1137="Ready",ROUND(Q1137-M1137,2),"n.a.")</x:f>
        <x:v>0</x:v>
      </x:c>
      <x:c r="S1137" s="22" t="n">
        <x:f>IF(T1137="Ready",MAX(0,ROUND(I1137+M1137-Q1137,2)),"n.a.")</x:f>
        <x:v>0</x:v>
      </x:c>
      <x:c r="T1137" s="22" t="str">
        <x:f>IF(AND(COUNT($I$1137:$I$1141)=5,COUNT(E1137:F1137)=2),IF(E1137&gt;=F1137,"Ready","Budget below minima"),"Check inputs")</x:f>
        <x:v>Ready</x:v>
      </x:c>
      <x:c r="U1137" s="22" t="n">
        <x:f>IF(COUNT(I1137,M1137,N1137)=3,MAX(0,ROUND(I1137+M1137-N1137,2)),"n.a.")</x:f>
        <x:v>0</x:v>
      </x:c>
    </x:row>
    <x:row r="1138" ht="22" customHeight="1">
      <x:c r="A1138" s="2"/>
      <x:c r="B1138" s="2"/>
      <x:c r="C1138" s="27" t="n">
        <x:f>227</x:f>
        <x:v>227</x:v>
      </x:c>
      <x:c r="D1138" s="28" t="n">
        <x:f>IF(ISNUMBER('Inputs'!$D$7),EDATE('Inputs'!$D$7,226),"n.a.")</x:f>
        <x:v>53206</x:v>
      </x:c>
      <x:c r="E1138" s="26" t="n">
        <x:f>IF('Inputs'!$D$9&lt;&gt;"Ready","n.a.",IF(ISNUMBER('Inputs'!E245),IF('Inputs'!E245&gt;=0,'Inputs'!E245,"n.a."),IF('Inputs'!E245="",'Inputs'!$D$6,"n.a.")))</x:f>
        <x:v>500</x:v>
      </x:c>
      <x:c r="F1138" s="22" t="n">
        <x:f>IF(COUNT($N$1137:$N$1141)=5,SUM($N$1137:$N$1141),"n.a.")</x:f>
        <x:v>0</x:v>
      </x:c>
      <x:c r="G1138" s="22" t="n">
        <x:f>IF(COUNT(E1138:F1138)=2,MAX(0,E1138-F1138),"n.a.")</x:f>
        <x:v>500</x:v>
      </x:c>
      <x:c r="H1138" s="26" t="str">
        <x:f>'Inputs'!C12</x:f>
        <x:v>Card B</x:v>
      </x:c>
      <x:c r="I1138" s="26" t="n">
        <x:f>S1133</x:f>
        <x:v>0</x:v>
      </x:c>
      <x:c r="J1138" s="29" t="n">
        <x:f>IF('Inputs'!$D$9="Ready",'Inputs'!E12,"n.a.")</x:f>
        <x:v>0.18</x:v>
      </x:c>
      <x:c r="K1138" s="26" t="n">
        <x:f>IF('Inputs'!$D$9="Ready",'Inputs'!F12,"n.a.")</x:f>
        <x:v>60</x:v>
      </x:c>
      <x:c r="L1138" s="29" t="n">
        <x:f>IF('Inputs'!$D$9="Ready",'Inputs'!G12,"n.a.")</x:f>
        <x:v>0.02</x:v>
      </x:c>
      <x:c r="M1138" s="22" t="n">
        <x:f>IF(COUNT(I1138:L1138)=4,ROUND(I1138*J1138/12,2),"n.a.")</x:f>
        <x:v>0</x:v>
      </x:c>
      <x:c r="N1138" s="22" t="n">
        <x:f>IF(COUNT(I1138:M1138)=5,MIN(I1138+M1138,ROUND(MAX(K1138,I1138*L1138+M1138),2)),"n.a.")</x:f>
        <x:v>0</x:v>
      </x:c>
      <x:c r="O1138" s="30" t="n">
        <x:f>IF(COUNT($I$1137:$I$1141)&lt;&gt;5,"n.a.",IF(I1138=0,6,IF('Inputs'!$D$5=1,COUNTIFS($I$1137:$I$1141,"&gt;0",$I$1137:$I$1141,"&lt;"&amp;I1138)+COUNTIFS($I$1137:I1138,I1138),COUNTIFS($I$1137:$I$1141,"&gt;0",$J$1137:$J$1141,"&gt;"&amp;J1138)+COUNTIFS($I$1137:I1138,"&gt;0",$J$1137:J1138,J1138))))</x:f>
        <x:v>6</x:v>
      </x:c>
      <x:c r="P1138" s="22" t="n">
        <x:f>IF(T1138="Ready",MIN(U1138,MAX(0,G1138-SUMIFS($U$1137:$U$1141,$O$1137:$O$1141,"&lt;"&amp;O1138))),"n.a.")</x:f>
        <x:v>0</x:v>
      </x:c>
      <x:c r="Q1138" s="22" t="n">
        <x:f>IF(T1138="Ready",ROUND(N1138+P1138,2),"n.a.")</x:f>
        <x:v>0</x:v>
      </x:c>
      <x:c r="R1138" s="22" t="n">
        <x:f>IF(T1138="Ready",ROUND(Q1138-M1138,2),"n.a.")</x:f>
        <x:v>0</x:v>
      </x:c>
      <x:c r="S1138" s="22" t="n">
        <x:f>IF(T1138="Ready",MAX(0,ROUND(I1138+M1138-Q1138,2)),"n.a.")</x:f>
        <x:v>0</x:v>
      </x:c>
      <x:c r="T1138" s="22" t="str">
        <x:f>IF(AND(COUNT($I$1137:$I$1141)=5,COUNT(E1138:F1138)=2),IF(E1138&gt;=F1138,"Ready","Budget below minima"),"Check inputs")</x:f>
        <x:v>Ready</x:v>
      </x:c>
      <x:c r="U1138" s="22" t="n">
        <x:f>IF(COUNT(I1138,M1138,N1138)=3,MAX(0,ROUND(I1138+M1138-N1138,2)),"n.a.")</x:f>
        <x:v>0</x:v>
      </x:c>
    </x:row>
    <x:row r="1139" ht="22" customHeight="1">
      <x:c r="A1139" s="2"/>
      <x:c r="B1139" s="2"/>
      <x:c r="C1139" s="27" t="n">
        <x:f>227</x:f>
        <x:v>227</x:v>
      </x:c>
      <x:c r="D1139" s="28" t="n">
        <x:f>IF(ISNUMBER('Inputs'!$D$7),EDATE('Inputs'!$D$7,226),"n.a.")</x:f>
        <x:v>53206</x:v>
      </x:c>
      <x:c r="E1139" s="26" t="n">
        <x:f>IF('Inputs'!$D$9&lt;&gt;"Ready","n.a.",IF(ISNUMBER('Inputs'!E245),IF('Inputs'!E245&gt;=0,'Inputs'!E245,"n.a."),IF('Inputs'!E245="",'Inputs'!$D$6,"n.a.")))</x:f>
        <x:v>500</x:v>
      </x:c>
      <x:c r="F1139" s="22" t="n">
        <x:f>IF(COUNT($N$1137:$N$1141)=5,SUM($N$1137:$N$1141),"n.a.")</x:f>
        <x:v>0</x:v>
      </x:c>
      <x:c r="G1139" s="22" t="n">
        <x:f>IF(COUNT(E1139:F1139)=2,MAX(0,E1139-F1139),"n.a.")</x:f>
        <x:v>500</x:v>
      </x:c>
      <x:c r="H1139" s="26" t="str">
        <x:f>'Inputs'!C13</x:f>
        <x:v>Loan C</x:v>
      </x:c>
      <x:c r="I1139" s="26" t="n">
        <x:f>S1134</x:f>
        <x:v>0</x:v>
      </x:c>
      <x:c r="J1139" s="29" t="n">
        <x:f>IF('Inputs'!$D$9="Ready",'Inputs'!E13,"n.a.")</x:f>
        <x:v>0.08</x:v>
      </x:c>
      <x:c r="K1139" s="26" t="n">
        <x:f>IF('Inputs'!$D$9="Ready",'Inputs'!F13,"n.a.")</x:f>
        <x:v>150</x:v>
      </x:c>
      <x:c r="L1139" s="29" t="n">
        <x:f>IF('Inputs'!$D$9="Ready",'Inputs'!G13,"n.a.")</x:f>
        <x:v>0</x:v>
      </x:c>
      <x:c r="M1139" s="22" t="n">
        <x:f>IF(COUNT(I1139:L1139)=4,ROUND(I1139*J1139/12,2),"n.a.")</x:f>
        <x:v>0</x:v>
      </x:c>
      <x:c r="N1139" s="22" t="n">
        <x:f>IF(COUNT(I1139:M1139)=5,MIN(I1139+M1139,ROUND(MAX(K1139,I1139*L1139+M1139),2)),"n.a.")</x:f>
        <x:v>0</x:v>
      </x:c>
      <x:c r="O1139" s="30" t="n">
        <x:f>IF(COUNT($I$1137:$I$1141)&lt;&gt;5,"n.a.",IF(I1139=0,6,IF('Inputs'!$D$5=1,COUNTIFS($I$1137:$I$1141,"&gt;0",$I$1137:$I$1141,"&lt;"&amp;I1139)+COUNTIFS($I$1137:I1139,I1139),COUNTIFS($I$1137:$I$1141,"&gt;0",$J$1137:$J$1141,"&gt;"&amp;J1139)+COUNTIFS($I$1137:I1139,"&gt;0",$J$1137:J1139,J1139))))</x:f>
        <x:v>6</x:v>
      </x:c>
      <x:c r="P1139" s="22" t="n">
        <x:f>IF(T1139="Ready",MIN(U1139,MAX(0,G1139-SUMIFS($U$1137:$U$1141,$O$1137:$O$1141,"&lt;"&amp;O1139))),"n.a.")</x:f>
        <x:v>0</x:v>
      </x:c>
      <x:c r="Q1139" s="22" t="n">
        <x:f>IF(T1139="Ready",ROUND(N1139+P1139,2),"n.a.")</x:f>
        <x:v>0</x:v>
      </x:c>
      <x:c r="R1139" s="22" t="n">
        <x:f>IF(T1139="Ready",ROUND(Q1139-M1139,2),"n.a.")</x:f>
        <x:v>0</x:v>
      </x:c>
      <x:c r="S1139" s="22" t="n">
        <x:f>IF(T1139="Ready",MAX(0,ROUND(I1139+M1139-Q1139,2)),"n.a.")</x:f>
        <x:v>0</x:v>
      </x:c>
      <x:c r="T1139" s="22" t="str">
        <x:f>IF(AND(COUNT($I$1137:$I$1141)=5,COUNT(E1139:F1139)=2),IF(E1139&gt;=F1139,"Ready","Budget below minima"),"Check inputs")</x:f>
        <x:v>Ready</x:v>
      </x:c>
      <x:c r="U1139" s="22" t="n">
        <x:f>IF(COUNT(I1139,M1139,N1139)=3,MAX(0,ROUND(I1139+M1139-N1139,2)),"n.a.")</x:f>
        <x:v>0</x:v>
      </x:c>
    </x:row>
    <x:row r="1140" ht="22" customHeight="1">
      <x:c r="A1140" s="2"/>
      <x:c r="B1140" s="2"/>
      <x:c r="C1140" s="27" t="n">
        <x:f>227</x:f>
        <x:v>227</x:v>
      </x:c>
      <x:c r="D1140" s="28" t="n">
        <x:f>IF(ISNUMBER('Inputs'!$D$7),EDATE('Inputs'!$D$7,226),"n.a.")</x:f>
        <x:v>53206</x:v>
      </x:c>
      <x:c r="E1140" s="26" t="n">
        <x:f>IF('Inputs'!$D$9&lt;&gt;"Ready","n.a.",IF(ISNUMBER('Inputs'!E245),IF('Inputs'!E245&gt;=0,'Inputs'!E245,"n.a."),IF('Inputs'!E245="",'Inputs'!$D$6,"n.a.")))</x:f>
        <x:v>500</x:v>
      </x:c>
      <x:c r="F1140" s="22" t="n">
        <x:f>IF(COUNT($N$1137:$N$1141)=5,SUM($N$1137:$N$1141),"n.a.")</x:f>
        <x:v>0</x:v>
      </x:c>
      <x:c r="G1140" s="22" t="n">
        <x:f>IF(COUNT(E1140:F1140)=2,MAX(0,E1140-F1140),"n.a.")</x:f>
        <x:v>500</x:v>
      </x:c>
      <x:c r="H1140" s="26" t="str">
        <x:f>'Inputs'!C14</x:f>
        <x:v>Unused 4</x:v>
      </x:c>
      <x:c r="I1140" s="26" t="n">
        <x:f>S1135</x:f>
        <x:v>0</x:v>
      </x:c>
      <x:c r="J1140" s="29" t="n">
        <x:f>IF('Inputs'!$D$9="Ready",'Inputs'!E14,"n.a.")</x:f>
        <x:v>0</x:v>
      </x:c>
      <x:c r="K1140" s="26" t="n">
        <x:f>IF('Inputs'!$D$9="Ready",'Inputs'!F14,"n.a.")</x:f>
        <x:v>0</x:v>
      </x:c>
      <x:c r="L1140" s="29" t="n">
        <x:f>IF('Inputs'!$D$9="Ready",'Inputs'!G14,"n.a.")</x:f>
        <x:v>0</x:v>
      </x:c>
      <x:c r="M1140" s="22" t="n">
        <x:f>IF(COUNT(I1140:L1140)=4,ROUND(I1140*J1140/12,2),"n.a.")</x:f>
        <x:v>0</x:v>
      </x:c>
      <x:c r="N1140" s="22" t="n">
        <x:f>IF(COUNT(I1140:M1140)=5,MIN(I1140+M1140,ROUND(MAX(K1140,I1140*L1140+M1140),2)),"n.a.")</x:f>
        <x:v>0</x:v>
      </x:c>
      <x:c r="O1140" s="30" t="n">
        <x:f>IF(COUNT($I$1137:$I$1141)&lt;&gt;5,"n.a.",IF(I1140=0,6,IF('Inputs'!$D$5=1,COUNTIFS($I$1137:$I$1141,"&gt;0",$I$1137:$I$1141,"&lt;"&amp;I1140)+COUNTIFS($I$1137:I1140,I1140),COUNTIFS($I$1137:$I$1141,"&gt;0",$J$1137:$J$1141,"&gt;"&amp;J1140)+COUNTIFS($I$1137:I1140,"&gt;0",$J$1137:J1140,J1140))))</x:f>
        <x:v>6</x:v>
      </x:c>
      <x:c r="P1140" s="22" t="n">
        <x:f>IF(T1140="Ready",MIN(U1140,MAX(0,G1140-SUMIFS($U$1137:$U$1141,$O$1137:$O$1141,"&lt;"&amp;O1140))),"n.a.")</x:f>
        <x:v>0</x:v>
      </x:c>
      <x:c r="Q1140" s="22" t="n">
        <x:f>IF(T1140="Ready",ROUND(N1140+P1140,2),"n.a.")</x:f>
        <x:v>0</x:v>
      </x:c>
      <x:c r="R1140" s="22" t="n">
        <x:f>IF(T1140="Ready",ROUND(Q1140-M1140,2),"n.a.")</x:f>
        <x:v>0</x:v>
      </x:c>
      <x:c r="S1140" s="22" t="n">
        <x:f>IF(T1140="Ready",MAX(0,ROUND(I1140+M1140-Q1140,2)),"n.a.")</x:f>
        <x:v>0</x:v>
      </x:c>
      <x:c r="T1140" s="22" t="str">
        <x:f>IF(AND(COUNT($I$1137:$I$1141)=5,COUNT(E1140:F1140)=2),IF(E1140&gt;=F1140,"Ready","Budget below minima"),"Check inputs")</x:f>
        <x:v>Ready</x:v>
      </x:c>
      <x:c r="U1140" s="22" t="n">
        <x:f>IF(COUNT(I1140,M1140,N1140)=3,MAX(0,ROUND(I1140+M1140-N1140,2)),"n.a.")</x:f>
        <x:v>0</x:v>
      </x:c>
    </x:row>
    <x:row r="1141" ht="22" customHeight="1">
      <x:c r="A1141" s="2"/>
      <x:c r="B1141" s="2"/>
      <x:c r="C1141" s="27" t="n">
        <x:f>227</x:f>
        <x:v>227</x:v>
      </x:c>
      <x:c r="D1141" s="28" t="n">
        <x:f>IF(ISNUMBER('Inputs'!$D$7),EDATE('Inputs'!$D$7,226),"n.a.")</x:f>
        <x:v>53206</x:v>
      </x:c>
      <x:c r="E1141" s="26" t="n">
        <x:f>IF('Inputs'!$D$9&lt;&gt;"Ready","n.a.",IF(ISNUMBER('Inputs'!E245),IF('Inputs'!E245&gt;=0,'Inputs'!E245,"n.a."),IF('Inputs'!E245="",'Inputs'!$D$6,"n.a.")))</x:f>
        <x:v>500</x:v>
      </x:c>
      <x:c r="F1141" s="22" t="n">
        <x:f>IF(COUNT($N$1137:$N$1141)=5,SUM($N$1137:$N$1141),"n.a.")</x:f>
        <x:v>0</x:v>
      </x:c>
      <x:c r="G1141" s="22" t="n">
        <x:f>IF(COUNT(E1141:F1141)=2,MAX(0,E1141-F1141),"n.a.")</x:f>
        <x:v>500</x:v>
      </x:c>
      <x:c r="H1141" s="26" t="str">
        <x:f>'Inputs'!C15</x:f>
        <x:v>Unused 5</x:v>
      </x:c>
      <x:c r="I1141" s="26" t="n">
        <x:f>S1136</x:f>
        <x:v>0</x:v>
      </x:c>
      <x:c r="J1141" s="29" t="n">
        <x:f>IF('Inputs'!$D$9="Ready",'Inputs'!E15,"n.a.")</x:f>
        <x:v>0</x:v>
      </x:c>
      <x:c r="K1141" s="26" t="n">
        <x:f>IF('Inputs'!$D$9="Ready",'Inputs'!F15,"n.a.")</x:f>
        <x:v>0</x:v>
      </x:c>
      <x:c r="L1141" s="29" t="n">
        <x:f>IF('Inputs'!$D$9="Ready",'Inputs'!G15,"n.a.")</x:f>
        <x:v>0</x:v>
      </x:c>
      <x:c r="M1141" s="22" t="n">
        <x:f>IF(COUNT(I1141:L1141)=4,ROUND(I1141*J1141/12,2),"n.a.")</x:f>
        <x:v>0</x:v>
      </x:c>
      <x:c r="N1141" s="22" t="n">
        <x:f>IF(COUNT(I1141:M1141)=5,MIN(I1141+M1141,ROUND(MAX(K1141,I1141*L1141+M1141),2)),"n.a.")</x:f>
        <x:v>0</x:v>
      </x:c>
      <x:c r="O1141" s="30" t="n">
        <x:f>IF(COUNT($I$1137:$I$1141)&lt;&gt;5,"n.a.",IF(I1141=0,6,IF('Inputs'!$D$5=1,COUNTIFS($I$1137:$I$1141,"&gt;0",$I$1137:$I$1141,"&lt;"&amp;I1141)+COUNTIFS($I$1137:I1141,I1141),COUNTIFS($I$1137:$I$1141,"&gt;0",$J$1137:$J$1141,"&gt;"&amp;J1141)+COUNTIFS($I$1137:I1141,"&gt;0",$J$1137:J1141,J1141))))</x:f>
        <x:v>6</x:v>
      </x:c>
      <x:c r="P1141" s="22" t="n">
        <x:f>IF(T1141="Ready",MIN(U1141,MAX(0,G1141-SUMIFS($U$1137:$U$1141,$O$1137:$O$1141,"&lt;"&amp;O1141))),"n.a.")</x:f>
        <x:v>0</x:v>
      </x:c>
      <x:c r="Q1141" s="22" t="n">
        <x:f>IF(T1141="Ready",ROUND(N1141+P1141,2),"n.a.")</x:f>
        <x:v>0</x:v>
      </x:c>
      <x:c r="R1141" s="22" t="n">
        <x:f>IF(T1141="Ready",ROUND(Q1141-M1141,2),"n.a.")</x:f>
        <x:v>0</x:v>
      </x:c>
      <x:c r="S1141" s="22" t="n">
        <x:f>IF(T1141="Ready",MAX(0,ROUND(I1141+M1141-Q1141,2)),"n.a.")</x:f>
        <x:v>0</x:v>
      </x:c>
      <x:c r="T1141" s="22" t="str">
        <x:f>IF(AND(COUNT($I$1137:$I$1141)=5,COUNT(E1141:F1141)=2),IF(E1141&gt;=F1141,"Ready","Budget below minima"),"Check inputs")</x:f>
        <x:v>Ready</x:v>
      </x:c>
      <x:c r="U1141" s="22" t="n">
        <x:f>IF(COUNT(I1141,M1141,N1141)=3,MAX(0,ROUND(I1141+M1141-N1141,2)),"n.a.")</x:f>
        <x:v>0</x:v>
      </x:c>
    </x:row>
    <x:row r="1142" ht="22" customHeight="1">
      <x:c r="A1142" s="2"/>
      <x:c r="B1142" s="2"/>
      <x:c r="C1142" s="27" t="n">
        <x:f>228</x:f>
        <x:v>228</x:v>
      </x:c>
      <x:c r="D1142" s="28" t="n">
        <x:f>IF(ISNUMBER('Inputs'!$D$7),EDATE('Inputs'!$D$7,227),"n.a.")</x:f>
        <x:v>53236</x:v>
      </x:c>
      <x:c r="E1142" s="26" t="n">
        <x:f>IF('Inputs'!$D$9&lt;&gt;"Ready","n.a.",IF(ISNUMBER('Inputs'!E246),IF('Inputs'!E246&gt;=0,'Inputs'!E246,"n.a."),IF('Inputs'!E246="",'Inputs'!$D$6,"n.a.")))</x:f>
        <x:v>500</x:v>
      </x:c>
      <x:c r="F1142" s="22" t="n">
        <x:f>IF(COUNT($N$1142:$N$1146)=5,SUM($N$1142:$N$1146),"n.a.")</x:f>
        <x:v>0</x:v>
      </x:c>
      <x:c r="G1142" s="22" t="n">
        <x:f>IF(COUNT(E1142:F1142)=2,MAX(0,E1142-F1142),"n.a.")</x:f>
        <x:v>500</x:v>
      </x:c>
      <x:c r="H1142" s="26" t="str">
        <x:f>'Inputs'!C11</x:f>
        <x:v>Card A</x:v>
      </x:c>
      <x:c r="I1142" s="26" t="n">
        <x:f>S1137</x:f>
        <x:v>0</x:v>
      </x:c>
      <x:c r="J1142" s="29" t="n">
        <x:f>IF('Inputs'!$D$9="Ready",'Inputs'!E11,"n.a.")</x:f>
        <x:v>0.24</x:v>
      </x:c>
      <x:c r="K1142" s="26" t="n">
        <x:f>IF('Inputs'!$D$9="Ready",'Inputs'!F11,"n.a.")</x:f>
        <x:v>35</x:v>
      </x:c>
      <x:c r="L1142" s="29" t="n">
        <x:f>IF('Inputs'!$D$9="Ready",'Inputs'!G11,"n.a.")</x:f>
        <x:v>0.02</x:v>
      </x:c>
      <x:c r="M1142" s="22" t="n">
        <x:f>IF(COUNT(I1142:L1142)=4,ROUND(I1142*J1142/12,2),"n.a.")</x:f>
        <x:v>0</x:v>
      </x:c>
      <x:c r="N1142" s="22" t="n">
        <x:f>IF(COUNT(I1142:M1142)=5,MIN(I1142+M1142,ROUND(MAX(K1142,I1142*L1142+M1142),2)),"n.a.")</x:f>
        <x:v>0</x:v>
      </x:c>
      <x:c r="O1142" s="30" t="n">
        <x:f>IF(COUNT($I$1142:$I$1146)&lt;&gt;5,"n.a.",IF(I1142=0,6,IF('Inputs'!$D$5=1,COUNTIFS($I$1142:$I$1146,"&gt;0",$I$1142:$I$1146,"&lt;"&amp;I1142)+COUNTIFS($I$1142:I1142,I1142),COUNTIFS($I$1142:$I$1146,"&gt;0",$J$1142:$J$1146,"&gt;"&amp;J1142)+COUNTIFS($I$1142:I1142,"&gt;0",$J$1142:J1142,J1142))))</x:f>
        <x:v>6</x:v>
      </x:c>
      <x:c r="P1142" s="22" t="n">
        <x:f>IF(T1142="Ready",MIN(U1142,MAX(0,G1142-SUMIFS($U$1142:$U$1146,$O$1142:$O$1146,"&lt;"&amp;O1142))),"n.a.")</x:f>
        <x:v>0</x:v>
      </x:c>
      <x:c r="Q1142" s="22" t="n">
        <x:f>IF(T1142="Ready",ROUND(N1142+P1142,2),"n.a.")</x:f>
        <x:v>0</x:v>
      </x:c>
      <x:c r="R1142" s="22" t="n">
        <x:f>IF(T1142="Ready",ROUND(Q1142-M1142,2),"n.a.")</x:f>
        <x:v>0</x:v>
      </x:c>
      <x:c r="S1142" s="22" t="n">
        <x:f>IF(T1142="Ready",MAX(0,ROUND(I1142+M1142-Q1142,2)),"n.a.")</x:f>
        <x:v>0</x:v>
      </x:c>
      <x:c r="T1142" s="22" t="str">
        <x:f>IF(AND(COUNT($I$1142:$I$1146)=5,COUNT(E1142:F1142)=2),IF(E1142&gt;=F1142,"Ready","Budget below minima"),"Check inputs")</x:f>
        <x:v>Ready</x:v>
      </x:c>
      <x:c r="U1142" s="22" t="n">
        <x:f>IF(COUNT(I1142,M1142,N1142)=3,MAX(0,ROUND(I1142+M1142-N1142,2)),"n.a.")</x:f>
        <x:v>0</x:v>
      </x:c>
    </x:row>
    <x:row r="1143" ht="22" customHeight="1">
      <x:c r="A1143" s="2"/>
      <x:c r="B1143" s="2"/>
      <x:c r="C1143" s="27" t="n">
        <x:f>228</x:f>
        <x:v>228</x:v>
      </x:c>
      <x:c r="D1143" s="28" t="n">
        <x:f>IF(ISNUMBER('Inputs'!$D$7),EDATE('Inputs'!$D$7,227),"n.a.")</x:f>
        <x:v>53236</x:v>
      </x:c>
      <x:c r="E1143" s="26" t="n">
        <x:f>IF('Inputs'!$D$9&lt;&gt;"Ready","n.a.",IF(ISNUMBER('Inputs'!E246),IF('Inputs'!E246&gt;=0,'Inputs'!E246,"n.a."),IF('Inputs'!E246="",'Inputs'!$D$6,"n.a.")))</x:f>
        <x:v>500</x:v>
      </x:c>
      <x:c r="F1143" s="22" t="n">
        <x:f>IF(COUNT($N$1142:$N$1146)=5,SUM($N$1142:$N$1146),"n.a.")</x:f>
        <x:v>0</x:v>
      </x:c>
      <x:c r="G1143" s="22" t="n">
        <x:f>IF(COUNT(E1143:F1143)=2,MAX(0,E1143-F1143),"n.a.")</x:f>
        <x:v>500</x:v>
      </x:c>
      <x:c r="H1143" s="26" t="str">
        <x:f>'Inputs'!C12</x:f>
        <x:v>Card B</x:v>
      </x:c>
      <x:c r="I1143" s="26" t="n">
        <x:f>S1138</x:f>
        <x:v>0</x:v>
      </x:c>
      <x:c r="J1143" s="29" t="n">
        <x:f>IF('Inputs'!$D$9="Ready",'Inputs'!E12,"n.a.")</x:f>
        <x:v>0.18</x:v>
      </x:c>
      <x:c r="K1143" s="26" t="n">
        <x:f>IF('Inputs'!$D$9="Ready",'Inputs'!F12,"n.a.")</x:f>
        <x:v>60</x:v>
      </x:c>
      <x:c r="L1143" s="29" t="n">
        <x:f>IF('Inputs'!$D$9="Ready",'Inputs'!G12,"n.a.")</x:f>
        <x:v>0.02</x:v>
      </x:c>
      <x:c r="M1143" s="22" t="n">
        <x:f>IF(COUNT(I1143:L1143)=4,ROUND(I1143*J1143/12,2),"n.a.")</x:f>
        <x:v>0</x:v>
      </x:c>
      <x:c r="N1143" s="22" t="n">
        <x:f>IF(COUNT(I1143:M1143)=5,MIN(I1143+M1143,ROUND(MAX(K1143,I1143*L1143+M1143),2)),"n.a.")</x:f>
        <x:v>0</x:v>
      </x:c>
      <x:c r="O1143" s="30" t="n">
        <x:f>IF(COUNT($I$1142:$I$1146)&lt;&gt;5,"n.a.",IF(I1143=0,6,IF('Inputs'!$D$5=1,COUNTIFS($I$1142:$I$1146,"&gt;0",$I$1142:$I$1146,"&lt;"&amp;I1143)+COUNTIFS($I$1142:I1143,I1143),COUNTIFS($I$1142:$I$1146,"&gt;0",$J$1142:$J$1146,"&gt;"&amp;J1143)+COUNTIFS($I$1142:I1143,"&gt;0",$J$1142:J1143,J1143))))</x:f>
        <x:v>6</x:v>
      </x:c>
      <x:c r="P1143" s="22" t="n">
        <x:f>IF(T1143="Ready",MIN(U1143,MAX(0,G1143-SUMIFS($U$1142:$U$1146,$O$1142:$O$1146,"&lt;"&amp;O1143))),"n.a.")</x:f>
        <x:v>0</x:v>
      </x:c>
      <x:c r="Q1143" s="22" t="n">
        <x:f>IF(T1143="Ready",ROUND(N1143+P1143,2),"n.a.")</x:f>
        <x:v>0</x:v>
      </x:c>
      <x:c r="R1143" s="22" t="n">
        <x:f>IF(T1143="Ready",ROUND(Q1143-M1143,2),"n.a.")</x:f>
        <x:v>0</x:v>
      </x:c>
      <x:c r="S1143" s="22" t="n">
        <x:f>IF(T1143="Ready",MAX(0,ROUND(I1143+M1143-Q1143,2)),"n.a.")</x:f>
        <x:v>0</x:v>
      </x:c>
      <x:c r="T1143" s="22" t="str">
        <x:f>IF(AND(COUNT($I$1142:$I$1146)=5,COUNT(E1143:F1143)=2),IF(E1143&gt;=F1143,"Ready","Budget below minima"),"Check inputs")</x:f>
        <x:v>Ready</x:v>
      </x:c>
      <x:c r="U1143" s="22" t="n">
        <x:f>IF(COUNT(I1143,M1143,N1143)=3,MAX(0,ROUND(I1143+M1143-N1143,2)),"n.a.")</x:f>
        <x:v>0</x:v>
      </x:c>
    </x:row>
    <x:row r="1144" ht="22" customHeight="1">
      <x:c r="A1144" s="2"/>
      <x:c r="B1144" s="2"/>
      <x:c r="C1144" s="27" t="n">
        <x:f>228</x:f>
        <x:v>228</x:v>
      </x:c>
      <x:c r="D1144" s="28" t="n">
        <x:f>IF(ISNUMBER('Inputs'!$D$7),EDATE('Inputs'!$D$7,227),"n.a.")</x:f>
        <x:v>53236</x:v>
      </x:c>
      <x:c r="E1144" s="26" t="n">
        <x:f>IF('Inputs'!$D$9&lt;&gt;"Ready","n.a.",IF(ISNUMBER('Inputs'!E246),IF('Inputs'!E246&gt;=0,'Inputs'!E246,"n.a."),IF('Inputs'!E246="",'Inputs'!$D$6,"n.a.")))</x:f>
        <x:v>500</x:v>
      </x:c>
      <x:c r="F1144" s="22" t="n">
        <x:f>IF(COUNT($N$1142:$N$1146)=5,SUM($N$1142:$N$1146),"n.a.")</x:f>
        <x:v>0</x:v>
      </x:c>
      <x:c r="G1144" s="22" t="n">
        <x:f>IF(COUNT(E1144:F1144)=2,MAX(0,E1144-F1144),"n.a.")</x:f>
        <x:v>500</x:v>
      </x:c>
      <x:c r="H1144" s="26" t="str">
        <x:f>'Inputs'!C13</x:f>
        <x:v>Loan C</x:v>
      </x:c>
      <x:c r="I1144" s="26" t="n">
        <x:f>S1139</x:f>
        <x:v>0</x:v>
      </x:c>
      <x:c r="J1144" s="29" t="n">
        <x:f>IF('Inputs'!$D$9="Ready",'Inputs'!E13,"n.a.")</x:f>
        <x:v>0.08</x:v>
      </x:c>
      <x:c r="K1144" s="26" t="n">
        <x:f>IF('Inputs'!$D$9="Ready",'Inputs'!F13,"n.a.")</x:f>
        <x:v>150</x:v>
      </x:c>
      <x:c r="L1144" s="29" t="n">
        <x:f>IF('Inputs'!$D$9="Ready",'Inputs'!G13,"n.a.")</x:f>
        <x:v>0</x:v>
      </x:c>
      <x:c r="M1144" s="22" t="n">
        <x:f>IF(COUNT(I1144:L1144)=4,ROUND(I1144*J1144/12,2),"n.a.")</x:f>
        <x:v>0</x:v>
      </x:c>
      <x:c r="N1144" s="22" t="n">
        <x:f>IF(COUNT(I1144:M1144)=5,MIN(I1144+M1144,ROUND(MAX(K1144,I1144*L1144+M1144),2)),"n.a.")</x:f>
        <x:v>0</x:v>
      </x:c>
      <x:c r="O1144" s="30" t="n">
        <x:f>IF(COUNT($I$1142:$I$1146)&lt;&gt;5,"n.a.",IF(I1144=0,6,IF('Inputs'!$D$5=1,COUNTIFS($I$1142:$I$1146,"&gt;0",$I$1142:$I$1146,"&lt;"&amp;I1144)+COUNTIFS($I$1142:I1144,I1144),COUNTIFS($I$1142:$I$1146,"&gt;0",$J$1142:$J$1146,"&gt;"&amp;J1144)+COUNTIFS($I$1142:I1144,"&gt;0",$J$1142:J1144,J1144))))</x:f>
        <x:v>6</x:v>
      </x:c>
      <x:c r="P1144" s="22" t="n">
        <x:f>IF(T1144="Ready",MIN(U1144,MAX(0,G1144-SUMIFS($U$1142:$U$1146,$O$1142:$O$1146,"&lt;"&amp;O1144))),"n.a.")</x:f>
        <x:v>0</x:v>
      </x:c>
      <x:c r="Q1144" s="22" t="n">
        <x:f>IF(T1144="Ready",ROUND(N1144+P1144,2),"n.a.")</x:f>
        <x:v>0</x:v>
      </x:c>
      <x:c r="R1144" s="22" t="n">
        <x:f>IF(T1144="Ready",ROUND(Q1144-M1144,2),"n.a.")</x:f>
        <x:v>0</x:v>
      </x:c>
      <x:c r="S1144" s="22" t="n">
        <x:f>IF(T1144="Ready",MAX(0,ROUND(I1144+M1144-Q1144,2)),"n.a.")</x:f>
        <x:v>0</x:v>
      </x:c>
      <x:c r="T1144" s="22" t="str">
        <x:f>IF(AND(COUNT($I$1142:$I$1146)=5,COUNT(E1144:F1144)=2),IF(E1144&gt;=F1144,"Ready","Budget below minima"),"Check inputs")</x:f>
        <x:v>Ready</x:v>
      </x:c>
      <x:c r="U1144" s="22" t="n">
        <x:f>IF(COUNT(I1144,M1144,N1144)=3,MAX(0,ROUND(I1144+M1144-N1144,2)),"n.a.")</x:f>
        <x:v>0</x:v>
      </x:c>
    </x:row>
    <x:row r="1145" ht="22" customHeight="1">
      <x:c r="A1145" s="2"/>
      <x:c r="B1145" s="2"/>
      <x:c r="C1145" s="27" t="n">
        <x:f>228</x:f>
        <x:v>228</x:v>
      </x:c>
      <x:c r="D1145" s="28" t="n">
        <x:f>IF(ISNUMBER('Inputs'!$D$7),EDATE('Inputs'!$D$7,227),"n.a.")</x:f>
        <x:v>53236</x:v>
      </x:c>
      <x:c r="E1145" s="26" t="n">
        <x:f>IF('Inputs'!$D$9&lt;&gt;"Ready","n.a.",IF(ISNUMBER('Inputs'!E246),IF('Inputs'!E246&gt;=0,'Inputs'!E246,"n.a."),IF('Inputs'!E246="",'Inputs'!$D$6,"n.a.")))</x:f>
        <x:v>500</x:v>
      </x:c>
      <x:c r="F1145" s="22" t="n">
        <x:f>IF(COUNT($N$1142:$N$1146)=5,SUM($N$1142:$N$1146),"n.a.")</x:f>
        <x:v>0</x:v>
      </x:c>
      <x:c r="G1145" s="22" t="n">
        <x:f>IF(COUNT(E1145:F1145)=2,MAX(0,E1145-F1145),"n.a.")</x:f>
        <x:v>500</x:v>
      </x:c>
      <x:c r="H1145" s="26" t="str">
        <x:f>'Inputs'!C14</x:f>
        <x:v>Unused 4</x:v>
      </x:c>
      <x:c r="I1145" s="26" t="n">
        <x:f>S1140</x:f>
        <x:v>0</x:v>
      </x:c>
      <x:c r="J1145" s="29" t="n">
        <x:f>IF('Inputs'!$D$9="Ready",'Inputs'!E14,"n.a.")</x:f>
        <x:v>0</x:v>
      </x:c>
      <x:c r="K1145" s="26" t="n">
        <x:f>IF('Inputs'!$D$9="Ready",'Inputs'!F14,"n.a.")</x:f>
        <x:v>0</x:v>
      </x:c>
      <x:c r="L1145" s="29" t="n">
        <x:f>IF('Inputs'!$D$9="Ready",'Inputs'!G14,"n.a.")</x:f>
        <x:v>0</x:v>
      </x:c>
      <x:c r="M1145" s="22" t="n">
        <x:f>IF(COUNT(I1145:L1145)=4,ROUND(I1145*J1145/12,2),"n.a.")</x:f>
        <x:v>0</x:v>
      </x:c>
      <x:c r="N1145" s="22" t="n">
        <x:f>IF(COUNT(I1145:M1145)=5,MIN(I1145+M1145,ROUND(MAX(K1145,I1145*L1145+M1145),2)),"n.a.")</x:f>
        <x:v>0</x:v>
      </x:c>
      <x:c r="O1145" s="30" t="n">
        <x:f>IF(COUNT($I$1142:$I$1146)&lt;&gt;5,"n.a.",IF(I1145=0,6,IF('Inputs'!$D$5=1,COUNTIFS($I$1142:$I$1146,"&gt;0",$I$1142:$I$1146,"&lt;"&amp;I1145)+COUNTIFS($I$1142:I1145,I1145),COUNTIFS($I$1142:$I$1146,"&gt;0",$J$1142:$J$1146,"&gt;"&amp;J1145)+COUNTIFS($I$1142:I1145,"&gt;0",$J$1142:J1145,J1145))))</x:f>
        <x:v>6</x:v>
      </x:c>
      <x:c r="P1145" s="22" t="n">
        <x:f>IF(T1145="Ready",MIN(U1145,MAX(0,G1145-SUMIFS($U$1142:$U$1146,$O$1142:$O$1146,"&lt;"&amp;O1145))),"n.a.")</x:f>
        <x:v>0</x:v>
      </x:c>
      <x:c r="Q1145" s="22" t="n">
        <x:f>IF(T1145="Ready",ROUND(N1145+P1145,2),"n.a.")</x:f>
        <x:v>0</x:v>
      </x:c>
      <x:c r="R1145" s="22" t="n">
        <x:f>IF(T1145="Ready",ROUND(Q1145-M1145,2),"n.a.")</x:f>
        <x:v>0</x:v>
      </x:c>
      <x:c r="S1145" s="22" t="n">
        <x:f>IF(T1145="Ready",MAX(0,ROUND(I1145+M1145-Q1145,2)),"n.a.")</x:f>
        <x:v>0</x:v>
      </x:c>
      <x:c r="T1145" s="22" t="str">
        <x:f>IF(AND(COUNT($I$1142:$I$1146)=5,COUNT(E1145:F1145)=2),IF(E1145&gt;=F1145,"Ready","Budget below minima"),"Check inputs")</x:f>
        <x:v>Ready</x:v>
      </x:c>
      <x:c r="U1145" s="22" t="n">
        <x:f>IF(COUNT(I1145,M1145,N1145)=3,MAX(0,ROUND(I1145+M1145-N1145,2)),"n.a.")</x:f>
        <x:v>0</x:v>
      </x:c>
    </x:row>
    <x:row r="1146" ht="22" customHeight="1">
      <x:c r="A1146" s="2"/>
      <x:c r="B1146" s="2"/>
      <x:c r="C1146" s="27" t="n">
        <x:f>228</x:f>
        <x:v>228</x:v>
      </x:c>
      <x:c r="D1146" s="28" t="n">
        <x:f>IF(ISNUMBER('Inputs'!$D$7),EDATE('Inputs'!$D$7,227),"n.a.")</x:f>
        <x:v>53236</x:v>
      </x:c>
      <x:c r="E1146" s="26" t="n">
        <x:f>IF('Inputs'!$D$9&lt;&gt;"Ready","n.a.",IF(ISNUMBER('Inputs'!E246),IF('Inputs'!E246&gt;=0,'Inputs'!E246,"n.a."),IF('Inputs'!E246="",'Inputs'!$D$6,"n.a.")))</x:f>
        <x:v>500</x:v>
      </x:c>
      <x:c r="F1146" s="22" t="n">
        <x:f>IF(COUNT($N$1142:$N$1146)=5,SUM($N$1142:$N$1146),"n.a.")</x:f>
        <x:v>0</x:v>
      </x:c>
      <x:c r="G1146" s="22" t="n">
        <x:f>IF(COUNT(E1146:F1146)=2,MAX(0,E1146-F1146),"n.a.")</x:f>
        <x:v>500</x:v>
      </x:c>
      <x:c r="H1146" s="26" t="str">
        <x:f>'Inputs'!C15</x:f>
        <x:v>Unused 5</x:v>
      </x:c>
      <x:c r="I1146" s="26" t="n">
        <x:f>S1141</x:f>
        <x:v>0</x:v>
      </x:c>
      <x:c r="J1146" s="29" t="n">
        <x:f>IF('Inputs'!$D$9="Ready",'Inputs'!E15,"n.a.")</x:f>
        <x:v>0</x:v>
      </x:c>
      <x:c r="K1146" s="26" t="n">
        <x:f>IF('Inputs'!$D$9="Ready",'Inputs'!F15,"n.a.")</x:f>
        <x:v>0</x:v>
      </x:c>
      <x:c r="L1146" s="29" t="n">
        <x:f>IF('Inputs'!$D$9="Ready",'Inputs'!G15,"n.a.")</x:f>
        <x:v>0</x:v>
      </x:c>
      <x:c r="M1146" s="22" t="n">
        <x:f>IF(COUNT(I1146:L1146)=4,ROUND(I1146*J1146/12,2),"n.a.")</x:f>
        <x:v>0</x:v>
      </x:c>
      <x:c r="N1146" s="22" t="n">
        <x:f>IF(COUNT(I1146:M1146)=5,MIN(I1146+M1146,ROUND(MAX(K1146,I1146*L1146+M1146),2)),"n.a.")</x:f>
        <x:v>0</x:v>
      </x:c>
      <x:c r="O1146" s="30" t="n">
        <x:f>IF(COUNT($I$1142:$I$1146)&lt;&gt;5,"n.a.",IF(I1146=0,6,IF('Inputs'!$D$5=1,COUNTIFS($I$1142:$I$1146,"&gt;0",$I$1142:$I$1146,"&lt;"&amp;I1146)+COUNTIFS($I$1142:I1146,I1146),COUNTIFS($I$1142:$I$1146,"&gt;0",$J$1142:$J$1146,"&gt;"&amp;J1146)+COUNTIFS($I$1142:I1146,"&gt;0",$J$1142:J1146,J1146))))</x:f>
        <x:v>6</x:v>
      </x:c>
      <x:c r="P1146" s="22" t="n">
        <x:f>IF(T1146="Ready",MIN(U1146,MAX(0,G1146-SUMIFS($U$1142:$U$1146,$O$1142:$O$1146,"&lt;"&amp;O1146))),"n.a.")</x:f>
        <x:v>0</x:v>
      </x:c>
      <x:c r="Q1146" s="22" t="n">
        <x:f>IF(T1146="Ready",ROUND(N1146+P1146,2),"n.a.")</x:f>
        <x:v>0</x:v>
      </x:c>
      <x:c r="R1146" s="22" t="n">
        <x:f>IF(T1146="Ready",ROUND(Q1146-M1146,2),"n.a.")</x:f>
        <x:v>0</x:v>
      </x:c>
      <x:c r="S1146" s="22" t="n">
        <x:f>IF(T1146="Ready",MAX(0,ROUND(I1146+M1146-Q1146,2)),"n.a.")</x:f>
        <x:v>0</x:v>
      </x:c>
      <x:c r="T1146" s="22" t="str">
        <x:f>IF(AND(COUNT($I$1142:$I$1146)=5,COUNT(E1146:F1146)=2),IF(E1146&gt;=F1146,"Ready","Budget below minima"),"Check inputs")</x:f>
        <x:v>Ready</x:v>
      </x:c>
      <x:c r="U1146" s="22" t="n">
        <x:f>IF(COUNT(I1146,M1146,N1146)=3,MAX(0,ROUND(I1146+M1146-N1146,2)),"n.a.")</x:f>
        <x:v>0</x:v>
      </x:c>
    </x:row>
    <x:row r="1147" ht="22" customHeight="1">
      <x:c r="A1147" s="2"/>
      <x:c r="B1147" s="2"/>
      <x:c r="C1147" s="27" t="n">
        <x:f>229</x:f>
        <x:v>229</x:v>
      </x:c>
      <x:c r="D1147" s="28" t="n">
        <x:f>IF(ISNUMBER('Inputs'!$D$7),EDATE('Inputs'!$D$7,228),"n.a.")</x:f>
        <x:v>53267</x:v>
      </x:c>
      <x:c r="E1147" s="26" t="n">
        <x:f>IF('Inputs'!$D$9&lt;&gt;"Ready","n.a.",IF(ISNUMBER('Inputs'!E247),IF('Inputs'!E247&gt;=0,'Inputs'!E247,"n.a."),IF('Inputs'!E247="",'Inputs'!$D$6,"n.a.")))</x:f>
        <x:v>500</x:v>
      </x:c>
      <x:c r="F1147" s="22" t="n">
        <x:f>IF(COUNT($N$1147:$N$1151)=5,SUM($N$1147:$N$1151),"n.a.")</x:f>
        <x:v>0</x:v>
      </x:c>
      <x:c r="G1147" s="22" t="n">
        <x:f>IF(COUNT(E1147:F1147)=2,MAX(0,E1147-F1147),"n.a.")</x:f>
        <x:v>500</x:v>
      </x:c>
      <x:c r="H1147" s="26" t="str">
        <x:f>'Inputs'!C11</x:f>
        <x:v>Card A</x:v>
      </x:c>
      <x:c r="I1147" s="26" t="n">
        <x:f>S1142</x:f>
        <x:v>0</x:v>
      </x:c>
      <x:c r="J1147" s="29" t="n">
        <x:f>IF('Inputs'!$D$9="Ready",'Inputs'!E11,"n.a.")</x:f>
        <x:v>0.24</x:v>
      </x:c>
      <x:c r="K1147" s="26" t="n">
        <x:f>IF('Inputs'!$D$9="Ready",'Inputs'!F11,"n.a.")</x:f>
        <x:v>35</x:v>
      </x:c>
      <x:c r="L1147" s="29" t="n">
        <x:f>IF('Inputs'!$D$9="Ready",'Inputs'!G11,"n.a.")</x:f>
        <x:v>0.02</x:v>
      </x:c>
      <x:c r="M1147" s="22" t="n">
        <x:f>IF(COUNT(I1147:L1147)=4,ROUND(I1147*J1147/12,2),"n.a.")</x:f>
        <x:v>0</x:v>
      </x:c>
      <x:c r="N1147" s="22" t="n">
        <x:f>IF(COUNT(I1147:M1147)=5,MIN(I1147+M1147,ROUND(MAX(K1147,I1147*L1147+M1147),2)),"n.a.")</x:f>
        <x:v>0</x:v>
      </x:c>
      <x:c r="O1147" s="30" t="n">
        <x:f>IF(COUNT($I$1147:$I$1151)&lt;&gt;5,"n.a.",IF(I1147=0,6,IF('Inputs'!$D$5=1,COUNTIFS($I$1147:$I$1151,"&gt;0",$I$1147:$I$1151,"&lt;"&amp;I1147)+COUNTIFS($I$1147:I1147,I1147),COUNTIFS($I$1147:$I$1151,"&gt;0",$J$1147:$J$1151,"&gt;"&amp;J1147)+COUNTIFS($I$1147:I1147,"&gt;0",$J$1147:J1147,J1147))))</x:f>
        <x:v>6</x:v>
      </x:c>
      <x:c r="P1147" s="22" t="n">
        <x:f>IF(T1147="Ready",MIN(U1147,MAX(0,G1147-SUMIFS($U$1147:$U$1151,$O$1147:$O$1151,"&lt;"&amp;O1147))),"n.a.")</x:f>
        <x:v>0</x:v>
      </x:c>
      <x:c r="Q1147" s="22" t="n">
        <x:f>IF(T1147="Ready",ROUND(N1147+P1147,2),"n.a.")</x:f>
        <x:v>0</x:v>
      </x:c>
      <x:c r="R1147" s="22" t="n">
        <x:f>IF(T1147="Ready",ROUND(Q1147-M1147,2),"n.a.")</x:f>
        <x:v>0</x:v>
      </x:c>
      <x:c r="S1147" s="22" t="n">
        <x:f>IF(T1147="Ready",MAX(0,ROUND(I1147+M1147-Q1147,2)),"n.a.")</x:f>
        <x:v>0</x:v>
      </x:c>
      <x:c r="T1147" s="22" t="str">
        <x:f>IF(AND(COUNT($I$1147:$I$1151)=5,COUNT(E1147:F1147)=2),IF(E1147&gt;=F1147,"Ready","Budget below minima"),"Check inputs")</x:f>
        <x:v>Ready</x:v>
      </x:c>
      <x:c r="U1147" s="22" t="n">
        <x:f>IF(COUNT(I1147,M1147,N1147)=3,MAX(0,ROUND(I1147+M1147-N1147,2)),"n.a.")</x:f>
        <x:v>0</x:v>
      </x:c>
    </x:row>
    <x:row r="1148" ht="22" customHeight="1">
      <x:c r="A1148" s="2"/>
      <x:c r="B1148" s="2"/>
      <x:c r="C1148" s="27" t="n">
        <x:f>229</x:f>
        <x:v>229</x:v>
      </x:c>
      <x:c r="D1148" s="28" t="n">
        <x:f>IF(ISNUMBER('Inputs'!$D$7),EDATE('Inputs'!$D$7,228),"n.a.")</x:f>
        <x:v>53267</x:v>
      </x:c>
      <x:c r="E1148" s="26" t="n">
        <x:f>IF('Inputs'!$D$9&lt;&gt;"Ready","n.a.",IF(ISNUMBER('Inputs'!E247),IF('Inputs'!E247&gt;=0,'Inputs'!E247,"n.a."),IF('Inputs'!E247="",'Inputs'!$D$6,"n.a.")))</x:f>
        <x:v>500</x:v>
      </x:c>
      <x:c r="F1148" s="22" t="n">
        <x:f>IF(COUNT($N$1147:$N$1151)=5,SUM($N$1147:$N$1151),"n.a.")</x:f>
        <x:v>0</x:v>
      </x:c>
      <x:c r="G1148" s="22" t="n">
        <x:f>IF(COUNT(E1148:F1148)=2,MAX(0,E1148-F1148),"n.a.")</x:f>
        <x:v>500</x:v>
      </x:c>
      <x:c r="H1148" s="26" t="str">
        <x:f>'Inputs'!C12</x:f>
        <x:v>Card B</x:v>
      </x:c>
      <x:c r="I1148" s="26" t="n">
        <x:f>S1143</x:f>
        <x:v>0</x:v>
      </x:c>
      <x:c r="J1148" s="29" t="n">
        <x:f>IF('Inputs'!$D$9="Ready",'Inputs'!E12,"n.a.")</x:f>
        <x:v>0.18</x:v>
      </x:c>
      <x:c r="K1148" s="26" t="n">
        <x:f>IF('Inputs'!$D$9="Ready",'Inputs'!F12,"n.a.")</x:f>
        <x:v>60</x:v>
      </x:c>
      <x:c r="L1148" s="29" t="n">
        <x:f>IF('Inputs'!$D$9="Ready",'Inputs'!G12,"n.a.")</x:f>
        <x:v>0.02</x:v>
      </x:c>
      <x:c r="M1148" s="22" t="n">
        <x:f>IF(COUNT(I1148:L1148)=4,ROUND(I1148*J1148/12,2),"n.a.")</x:f>
        <x:v>0</x:v>
      </x:c>
      <x:c r="N1148" s="22" t="n">
        <x:f>IF(COUNT(I1148:M1148)=5,MIN(I1148+M1148,ROUND(MAX(K1148,I1148*L1148+M1148),2)),"n.a.")</x:f>
        <x:v>0</x:v>
      </x:c>
      <x:c r="O1148" s="30" t="n">
        <x:f>IF(COUNT($I$1147:$I$1151)&lt;&gt;5,"n.a.",IF(I1148=0,6,IF('Inputs'!$D$5=1,COUNTIFS($I$1147:$I$1151,"&gt;0",$I$1147:$I$1151,"&lt;"&amp;I1148)+COUNTIFS($I$1147:I1148,I1148),COUNTIFS($I$1147:$I$1151,"&gt;0",$J$1147:$J$1151,"&gt;"&amp;J1148)+COUNTIFS($I$1147:I1148,"&gt;0",$J$1147:J1148,J1148))))</x:f>
        <x:v>6</x:v>
      </x:c>
      <x:c r="P1148" s="22" t="n">
        <x:f>IF(T1148="Ready",MIN(U1148,MAX(0,G1148-SUMIFS($U$1147:$U$1151,$O$1147:$O$1151,"&lt;"&amp;O1148))),"n.a.")</x:f>
        <x:v>0</x:v>
      </x:c>
      <x:c r="Q1148" s="22" t="n">
        <x:f>IF(T1148="Ready",ROUND(N1148+P1148,2),"n.a.")</x:f>
        <x:v>0</x:v>
      </x:c>
      <x:c r="R1148" s="22" t="n">
        <x:f>IF(T1148="Ready",ROUND(Q1148-M1148,2),"n.a.")</x:f>
        <x:v>0</x:v>
      </x:c>
      <x:c r="S1148" s="22" t="n">
        <x:f>IF(T1148="Ready",MAX(0,ROUND(I1148+M1148-Q1148,2)),"n.a.")</x:f>
        <x:v>0</x:v>
      </x:c>
      <x:c r="T1148" s="22" t="str">
        <x:f>IF(AND(COUNT($I$1147:$I$1151)=5,COUNT(E1148:F1148)=2),IF(E1148&gt;=F1148,"Ready","Budget below minima"),"Check inputs")</x:f>
        <x:v>Ready</x:v>
      </x:c>
      <x:c r="U1148" s="22" t="n">
        <x:f>IF(COUNT(I1148,M1148,N1148)=3,MAX(0,ROUND(I1148+M1148-N1148,2)),"n.a.")</x:f>
        <x:v>0</x:v>
      </x:c>
    </x:row>
    <x:row r="1149" ht="22" customHeight="1">
      <x:c r="A1149" s="2"/>
      <x:c r="B1149" s="2"/>
      <x:c r="C1149" s="27" t="n">
        <x:f>229</x:f>
        <x:v>229</x:v>
      </x:c>
      <x:c r="D1149" s="28" t="n">
        <x:f>IF(ISNUMBER('Inputs'!$D$7),EDATE('Inputs'!$D$7,228),"n.a.")</x:f>
        <x:v>53267</x:v>
      </x:c>
      <x:c r="E1149" s="26" t="n">
        <x:f>IF('Inputs'!$D$9&lt;&gt;"Ready","n.a.",IF(ISNUMBER('Inputs'!E247),IF('Inputs'!E247&gt;=0,'Inputs'!E247,"n.a."),IF('Inputs'!E247="",'Inputs'!$D$6,"n.a.")))</x:f>
        <x:v>500</x:v>
      </x:c>
      <x:c r="F1149" s="22" t="n">
        <x:f>IF(COUNT($N$1147:$N$1151)=5,SUM($N$1147:$N$1151),"n.a.")</x:f>
        <x:v>0</x:v>
      </x:c>
      <x:c r="G1149" s="22" t="n">
        <x:f>IF(COUNT(E1149:F1149)=2,MAX(0,E1149-F1149),"n.a.")</x:f>
        <x:v>500</x:v>
      </x:c>
      <x:c r="H1149" s="26" t="str">
        <x:f>'Inputs'!C13</x:f>
        <x:v>Loan C</x:v>
      </x:c>
      <x:c r="I1149" s="26" t="n">
        <x:f>S1144</x:f>
        <x:v>0</x:v>
      </x:c>
      <x:c r="J1149" s="29" t="n">
        <x:f>IF('Inputs'!$D$9="Ready",'Inputs'!E13,"n.a.")</x:f>
        <x:v>0.08</x:v>
      </x:c>
      <x:c r="K1149" s="26" t="n">
        <x:f>IF('Inputs'!$D$9="Ready",'Inputs'!F13,"n.a.")</x:f>
        <x:v>150</x:v>
      </x:c>
      <x:c r="L1149" s="29" t="n">
        <x:f>IF('Inputs'!$D$9="Ready",'Inputs'!G13,"n.a.")</x:f>
        <x:v>0</x:v>
      </x:c>
      <x:c r="M1149" s="22" t="n">
        <x:f>IF(COUNT(I1149:L1149)=4,ROUND(I1149*J1149/12,2),"n.a.")</x:f>
        <x:v>0</x:v>
      </x:c>
      <x:c r="N1149" s="22" t="n">
        <x:f>IF(COUNT(I1149:M1149)=5,MIN(I1149+M1149,ROUND(MAX(K1149,I1149*L1149+M1149),2)),"n.a.")</x:f>
        <x:v>0</x:v>
      </x:c>
      <x:c r="O1149" s="30" t="n">
        <x:f>IF(COUNT($I$1147:$I$1151)&lt;&gt;5,"n.a.",IF(I1149=0,6,IF('Inputs'!$D$5=1,COUNTIFS($I$1147:$I$1151,"&gt;0",$I$1147:$I$1151,"&lt;"&amp;I1149)+COUNTIFS($I$1147:I1149,I1149),COUNTIFS($I$1147:$I$1151,"&gt;0",$J$1147:$J$1151,"&gt;"&amp;J1149)+COUNTIFS($I$1147:I1149,"&gt;0",$J$1147:J1149,J1149))))</x:f>
        <x:v>6</x:v>
      </x:c>
      <x:c r="P1149" s="22" t="n">
        <x:f>IF(T1149="Ready",MIN(U1149,MAX(0,G1149-SUMIFS($U$1147:$U$1151,$O$1147:$O$1151,"&lt;"&amp;O1149))),"n.a.")</x:f>
        <x:v>0</x:v>
      </x:c>
      <x:c r="Q1149" s="22" t="n">
        <x:f>IF(T1149="Ready",ROUND(N1149+P1149,2),"n.a.")</x:f>
        <x:v>0</x:v>
      </x:c>
      <x:c r="R1149" s="22" t="n">
        <x:f>IF(T1149="Ready",ROUND(Q1149-M1149,2),"n.a.")</x:f>
        <x:v>0</x:v>
      </x:c>
      <x:c r="S1149" s="22" t="n">
        <x:f>IF(T1149="Ready",MAX(0,ROUND(I1149+M1149-Q1149,2)),"n.a.")</x:f>
        <x:v>0</x:v>
      </x:c>
      <x:c r="T1149" s="22" t="str">
        <x:f>IF(AND(COUNT($I$1147:$I$1151)=5,COUNT(E1149:F1149)=2),IF(E1149&gt;=F1149,"Ready","Budget below minima"),"Check inputs")</x:f>
        <x:v>Ready</x:v>
      </x:c>
      <x:c r="U1149" s="22" t="n">
        <x:f>IF(COUNT(I1149,M1149,N1149)=3,MAX(0,ROUND(I1149+M1149-N1149,2)),"n.a.")</x:f>
        <x:v>0</x:v>
      </x:c>
    </x:row>
    <x:row r="1150" ht="22" customHeight="1">
      <x:c r="A1150" s="2"/>
      <x:c r="B1150" s="2"/>
      <x:c r="C1150" s="27" t="n">
        <x:f>229</x:f>
        <x:v>229</x:v>
      </x:c>
      <x:c r="D1150" s="28" t="n">
        <x:f>IF(ISNUMBER('Inputs'!$D$7),EDATE('Inputs'!$D$7,228),"n.a.")</x:f>
        <x:v>53267</x:v>
      </x:c>
      <x:c r="E1150" s="26" t="n">
        <x:f>IF('Inputs'!$D$9&lt;&gt;"Ready","n.a.",IF(ISNUMBER('Inputs'!E247),IF('Inputs'!E247&gt;=0,'Inputs'!E247,"n.a."),IF('Inputs'!E247="",'Inputs'!$D$6,"n.a.")))</x:f>
        <x:v>500</x:v>
      </x:c>
      <x:c r="F1150" s="22" t="n">
        <x:f>IF(COUNT($N$1147:$N$1151)=5,SUM($N$1147:$N$1151),"n.a.")</x:f>
        <x:v>0</x:v>
      </x:c>
      <x:c r="G1150" s="22" t="n">
        <x:f>IF(COUNT(E1150:F1150)=2,MAX(0,E1150-F1150),"n.a.")</x:f>
        <x:v>500</x:v>
      </x:c>
      <x:c r="H1150" s="26" t="str">
        <x:f>'Inputs'!C14</x:f>
        <x:v>Unused 4</x:v>
      </x:c>
      <x:c r="I1150" s="26" t="n">
        <x:f>S1145</x:f>
        <x:v>0</x:v>
      </x:c>
      <x:c r="J1150" s="29" t="n">
        <x:f>IF('Inputs'!$D$9="Ready",'Inputs'!E14,"n.a.")</x:f>
        <x:v>0</x:v>
      </x:c>
      <x:c r="K1150" s="26" t="n">
        <x:f>IF('Inputs'!$D$9="Ready",'Inputs'!F14,"n.a.")</x:f>
        <x:v>0</x:v>
      </x:c>
      <x:c r="L1150" s="29" t="n">
        <x:f>IF('Inputs'!$D$9="Ready",'Inputs'!G14,"n.a.")</x:f>
        <x:v>0</x:v>
      </x:c>
      <x:c r="M1150" s="22" t="n">
        <x:f>IF(COUNT(I1150:L1150)=4,ROUND(I1150*J1150/12,2),"n.a.")</x:f>
        <x:v>0</x:v>
      </x:c>
      <x:c r="N1150" s="22" t="n">
        <x:f>IF(COUNT(I1150:M1150)=5,MIN(I1150+M1150,ROUND(MAX(K1150,I1150*L1150+M1150),2)),"n.a.")</x:f>
        <x:v>0</x:v>
      </x:c>
      <x:c r="O1150" s="30" t="n">
        <x:f>IF(COUNT($I$1147:$I$1151)&lt;&gt;5,"n.a.",IF(I1150=0,6,IF('Inputs'!$D$5=1,COUNTIFS($I$1147:$I$1151,"&gt;0",$I$1147:$I$1151,"&lt;"&amp;I1150)+COUNTIFS($I$1147:I1150,I1150),COUNTIFS($I$1147:$I$1151,"&gt;0",$J$1147:$J$1151,"&gt;"&amp;J1150)+COUNTIFS($I$1147:I1150,"&gt;0",$J$1147:J1150,J1150))))</x:f>
        <x:v>6</x:v>
      </x:c>
      <x:c r="P1150" s="22" t="n">
        <x:f>IF(T1150="Ready",MIN(U1150,MAX(0,G1150-SUMIFS($U$1147:$U$1151,$O$1147:$O$1151,"&lt;"&amp;O1150))),"n.a.")</x:f>
        <x:v>0</x:v>
      </x:c>
      <x:c r="Q1150" s="22" t="n">
        <x:f>IF(T1150="Ready",ROUND(N1150+P1150,2),"n.a.")</x:f>
        <x:v>0</x:v>
      </x:c>
      <x:c r="R1150" s="22" t="n">
        <x:f>IF(T1150="Ready",ROUND(Q1150-M1150,2),"n.a.")</x:f>
        <x:v>0</x:v>
      </x:c>
      <x:c r="S1150" s="22" t="n">
        <x:f>IF(T1150="Ready",MAX(0,ROUND(I1150+M1150-Q1150,2)),"n.a.")</x:f>
        <x:v>0</x:v>
      </x:c>
      <x:c r="T1150" s="22" t="str">
        <x:f>IF(AND(COUNT($I$1147:$I$1151)=5,COUNT(E1150:F1150)=2),IF(E1150&gt;=F1150,"Ready","Budget below minima"),"Check inputs")</x:f>
        <x:v>Ready</x:v>
      </x:c>
      <x:c r="U1150" s="22" t="n">
        <x:f>IF(COUNT(I1150,M1150,N1150)=3,MAX(0,ROUND(I1150+M1150-N1150,2)),"n.a.")</x:f>
        <x:v>0</x:v>
      </x:c>
    </x:row>
    <x:row r="1151" ht="22" customHeight="1">
      <x:c r="A1151" s="2"/>
      <x:c r="B1151" s="2"/>
      <x:c r="C1151" s="27" t="n">
        <x:f>229</x:f>
        <x:v>229</x:v>
      </x:c>
      <x:c r="D1151" s="28" t="n">
        <x:f>IF(ISNUMBER('Inputs'!$D$7),EDATE('Inputs'!$D$7,228),"n.a.")</x:f>
        <x:v>53267</x:v>
      </x:c>
      <x:c r="E1151" s="26" t="n">
        <x:f>IF('Inputs'!$D$9&lt;&gt;"Ready","n.a.",IF(ISNUMBER('Inputs'!E247),IF('Inputs'!E247&gt;=0,'Inputs'!E247,"n.a."),IF('Inputs'!E247="",'Inputs'!$D$6,"n.a.")))</x:f>
        <x:v>500</x:v>
      </x:c>
      <x:c r="F1151" s="22" t="n">
        <x:f>IF(COUNT($N$1147:$N$1151)=5,SUM($N$1147:$N$1151),"n.a.")</x:f>
        <x:v>0</x:v>
      </x:c>
      <x:c r="G1151" s="22" t="n">
        <x:f>IF(COUNT(E1151:F1151)=2,MAX(0,E1151-F1151),"n.a.")</x:f>
        <x:v>500</x:v>
      </x:c>
      <x:c r="H1151" s="26" t="str">
        <x:f>'Inputs'!C15</x:f>
        <x:v>Unused 5</x:v>
      </x:c>
      <x:c r="I1151" s="26" t="n">
        <x:f>S1146</x:f>
        <x:v>0</x:v>
      </x:c>
      <x:c r="J1151" s="29" t="n">
        <x:f>IF('Inputs'!$D$9="Ready",'Inputs'!E15,"n.a.")</x:f>
        <x:v>0</x:v>
      </x:c>
      <x:c r="K1151" s="26" t="n">
        <x:f>IF('Inputs'!$D$9="Ready",'Inputs'!F15,"n.a.")</x:f>
        <x:v>0</x:v>
      </x:c>
      <x:c r="L1151" s="29" t="n">
        <x:f>IF('Inputs'!$D$9="Ready",'Inputs'!G15,"n.a.")</x:f>
        <x:v>0</x:v>
      </x:c>
      <x:c r="M1151" s="22" t="n">
        <x:f>IF(COUNT(I1151:L1151)=4,ROUND(I1151*J1151/12,2),"n.a.")</x:f>
        <x:v>0</x:v>
      </x:c>
      <x:c r="N1151" s="22" t="n">
        <x:f>IF(COUNT(I1151:M1151)=5,MIN(I1151+M1151,ROUND(MAX(K1151,I1151*L1151+M1151),2)),"n.a.")</x:f>
        <x:v>0</x:v>
      </x:c>
      <x:c r="O1151" s="30" t="n">
        <x:f>IF(COUNT($I$1147:$I$1151)&lt;&gt;5,"n.a.",IF(I1151=0,6,IF('Inputs'!$D$5=1,COUNTIFS($I$1147:$I$1151,"&gt;0",$I$1147:$I$1151,"&lt;"&amp;I1151)+COUNTIFS($I$1147:I1151,I1151),COUNTIFS($I$1147:$I$1151,"&gt;0",$J$1147:$J$1151,"&gt;"&amp;J1151)+COUNTIFS($I$1147:I1151,"&gt;0",$J$1147:J1151,J1151))))</x:f>
        <x:v>6</x:v>
      </x:c>
      <x:c r="P1151" s="22" t="n">
        <x:f>IF(T1151="Ready",MIN(U1151,MAX(0,G1151-SUMIFS($U$1147:$U$1151,$O$1147:$O$1151,"&lt;"&amp;O1151))),"n.a.")</x:f>
        <x:v>0</x:v>
      </x:c>
      <x:c r="Q1151" s="22" t="n">
        <x:f>IF(T1151="Ready",ROUND(N1151+P1151,2),"n.a.")</x:f>
        <x:v>0</x:v>
      </x:c>
      <x:c r="R1151" s="22" t="n">
        <x:f>IF(T1151="Ready",ROUND(Q1151-M1151,2),"n.a.")</x:f>
        <x:v>0</x:v>
      </x:c>
      <x:c r="S1151" s="22" t="n">
        <x:f>IF(T1151="Ready",MAX(0,ROUND(I1151+M1151-Q1151,2)),"n.a.")</x:f>
        <x:v>0</x:v>
      </x:c>
      <x:c r="T1151" s="22" t="str">
        <x:f>IF(AND(COUNT($I$1147:$I$1151)=5,COUNT(E1151:F1151)=2),IF(E1151&gt;=F1151,"Ready","Budget below minima"),"Check inputs")</x:f>
        <x:v>Ready</x:v>
      </x:c>
      <x:c r="U1151" s="22" t="n">
        <x:f>IF(COUNT(I1151,M1151,N1151)=3,MAX(0,ROUND(I1151+M1151-N1151,2)),"n.a.")</x:f>
        <x:v>0</x:v>
      </x:c>
    </x:row>
    <x:row r="1152" ht="22" customHeight="1">
      <x:c r="A1152" s="2"/>
      <x:c r="B1152" s="2"/>
      <x:c r="C1152" s="27" t="n">
        <x:f>230</x:f>
        <x:v>230</x:v>
      </x:c>
      <x:c r="D1152" s="28" t="n">
        <x:f>IF(ISNUMBER('Inputs'!$D$7),EDATE('Inputs'!$D$7,229),"n.a.")</x:f>
        <x:v>53297</x:v>
      </x:c>
      <x:c r="E1152" s="26" t="n">
        <x:f>IF('Inputs'!$D$9&lt;&gt;"Ready","n.a.",IF(ISNUMBER('Inputs'!E248),IF('Inputs'!E248&gt;=0,'Inputs'!E248,"n.a."),IF('Inputs'!E248="",'Inputs'!$D$6,"n.a.")))</x:f>
        <x:v>500</x:v>
      </x:c>
      <x:c r="F1152" s="22" t="n">
        <x:f>IF(COUNT($N$1152:$N$1156)=5,SUM($N$1152:$N$1156),"n.a.")</x:f>
        <x:v>0</x:v>
      </x:c>
      <x:c r="G1152" s="22" t="n">
        <x:f>IF(COUNT(E1152:F1152)=2,MAX(0,E1152-F1152),"n.a.")</x:f>
        <x:v>500</x:v>
      </x:c>
      <x:c r="H1152" s="26" t="str">
        <x:f>'Inputs'!C11</x:f>
        <x:v>Card A</x:v>
      </x:c>
      <x:c r="I1152" s="26" t="n">
        <x:f>S1147</x:f>
        <x:v>0</x:v>
      </x:c>
      <x:c r="J1152" s="29" t="n">
        <x:f>IF('Inputs'!$D$9="Ready",'Inputs'!E11,"n.a.")</x:f>
        <x:v>0.24</x:v>
      </x:c>
      <x:c r="K1152" s="26" t="n">
        <x:f>IF('Inputs'!$D$9="Ready",'Inputs'!F11,"n.a.")</x:f>
        <x:v>35</x:v>
      </x:c>
      <x:c r="L1152" s="29" t="n">
        <x:f>IF('Inputs'!$D$9="Ready",'Inputs'!G11,"n.a.")</x:f>
        <x:v>0.02</x:v>
      </x:c>
      <x:c r="M1152" s="22" t="n">
        <x:f>IF(COUNT(I1152:L1152)=4,ROUND(I1152*J1152/12,2),"n.a.")</x:f>
        <x:v>0</x:v>
      </x:c>
      <x:c r="N1152" s="22" t="n">
        <x:f>IF(COUNT(I1152:M1152)=5,MIN(I1152+M1152,ROUND(MAX(K1152,I1152*L1152+M1152),2)),"n.a.")</x:f>
        <x:v>0</x:v>
      </x:c>
      <x:c r="O1152" s="30" t="n">
        <x:f>IF(COUNT($I$1152:$I$1156)&lt;&gt;5,"n.a.",IF(I1152=0,6,IF('Inputs'!$D$5=1,COUNTIFS($I$1152:$I$1156,"&gt;0",$I$1152:$I$1156,"&lt;"&amp;I1152)+COUNTIFS($I$1152:I1152,I1152),COUNTIFS($I$1152:$I$1156,"&gt;0",$J$1152:$J$1156,"&gt;"&amp;J1152)+COUNTIFS($I$1152:I1152,"&gt;0",$J$1152:J1152,J1152))))</x:f>
        <x:v>6</x:v>
      </x:c>
      <x:c r="P1152" s="22" t="n">
        <x:f>IF(T1152="Ready",MIN(U1152,MAX(0,G1152-SUMIFS($U$1152:$U$1156,$O$1152:$O$1156,"&lt;"&amp;O1152))),"n.a.")</x:f>
        <x:v>0</x:v>
      </x:c>
      <x:c r="Q1152" s="22" t="n">
        <x:f>IF(T1152="Ready",ROUND(N1152+P1152,2),"n.a.")</x:f>
        <x:v>0</x:v>
      </x:c>
      <x:c r="R1152" s="22" t="n">
        <x:f>IF(T1152="Ready",ROUND(Q1152-M1152,2),"n.a.")</x:f>
        <x:v>0</x:v>
      </x:c>
      <x:c r="S1152" s="22" t="n">
        <x:f>IF(T1152="Ready",MAX(0,ROUND(I1152+M1152-Q1152,2)),"n.a.")</x:f>
        <x:v>0</x:v>
      </x:c>
      <x:c r="T1152" s="22" t="str">
        <x:f>IF(AND(COUNT($I$1152:$I$1156)=5,COUNT(E1152:F1152)=2),IF(E1152&gt;=F1152,"Ready","Budget below minima"),"Check inputs")</x:f>
        <x:v>Ready</x:v>
      </x:c>
      <x:c r="U1152" s="22" t="n">
        <x:f>IF(COUNT(I1152,M1152,N1152)=3,MAX(0,ROUND(I1152+M1152-N1152,2)),"n.a.")</x:f>
        <x:v>0</x:v>
      </x:c>
    </x:row>
    <x:row r="1153" ht="22" customHeight="1">
      <x:c r="A1153" s="2"/>
      <x:c r="B1153" s="2"/>
      <x:c r="C1153" s="27" t="n">
        <x:f>230</x:f>
        <x:v>230</x:v>
      </x:c>
      <x:c r="D1153" s="28" t="n">
        <x:f>IF(ISNUMBER('Inputs'!$D$7),EDATE('Inputs'!$D$7,229),"n.a.")</x:f>
        <x:v>53297</x:v>
      </x:c>
      <x:c r="E1153" s="26" t="n">
        <x:f>IF('Inputs'!$D$9&lt;&gt;"Ready","n.a.",IF(ISNUMBER('Inputs'!E248),IF('Inputs'!E248&gt;=0,'Inputs'!E248,"n.a."),IF('Inputs'!E248="",'Inputs'!$D$6,"n.a.")))</x:f>
        <x:v>500</x:v>
      </x:c>
      <x:c r="F1153" s="22" t="n">
        <x:f>IF(COUNT($N$1152:$N$1156)=5,SUM($N$1152:$N$1156),"n.a.")</x:f>
        <x:v>0</x:v>
      </x:c>
      <x:c r="G1153" s="22" t="n">
        <x:f>IF(COUNT(E1153:F1153)=2,MAX(0,E1153-F1153),"n.a.")</x:f>
        <x:v>500</x:v>
      </x:c>
      <x:c r="H1153" s="26" t="str">
        <x:f>'Inputs'!C12</x:f>
        <x:v>Card B</x:v>
      </x:c>
      <x:c r="I1153" s="26" t="n">
        <x:f>S1148</x:f>
        <x:v>0</x:v>
      </x:c>
      <x:c r="J1153" s="29" t="n">
        <x:f>IF('Inputs'!$D$9="Ready",'Inputs'!E12,"n.a.")</x:f>
        <x:v>0.18</x:v>
      </x:c>
      <x:c r="K1153" s="26" t="n">
        <x:f>IF('Inputs'!$D$9="Ready",'Inputs'!F12,"n.a.")</x:f>
        <x:v>60</x:v>
      </x:c>
      <x:c r="L1153" s="29" t="n">
        <x:f>IF('Inputs'!$D$9="Ready",'Inputs'!G12,"n.a.")</x:f>
        <x:v>0.02</x:v>
      </x:c>
      <x:c r="M1153" s="22" t="n">
        <x:f>IF(COUNT(I1153:L1153)=4,ROUND(I1153*J1153/12,2),"n.a.")</x:f>
        <x:v>0</x:v>
      </x:c>
      <x:c r="N1153" s="22" t="n">
        <x:f>IF(COUNT(I1153:M1153)=5,MIN(I1153+M1153,ROUND(MAX(K1153,I1153*L1153+M1153),2)),"n.a.")</x:f>
        <x:v>0</x:v>
      </x:c>
      <x:c r="O1153" s="30" t="n">
        <x:f>IF(COUNT($I$1152:$I$1156)&lt;&gt;5,"n.a.",IF(I1153=0,6,IF('Inputs'!$D$5=1,COUNTIFS($I$1152:$I$1156,"&gt;0",$I$1152:$I$1156,"&lt;"&amp;I1153)+COUNTIFS($I$1152:I1153,I1153),COUNTIFS($I$1152:$I$1156,"&gt;0",$J$1152:$J$1156,"&gt;"&amp;J1153)+COUNTIFS($I$1152:I1153,"&gt;0",$J$1152:J1153,J1153))))</x:f>
        <x:v>6</x:v>
      </x:c>
      <x:c r="P1153" s="22" t="n">
        <x:f>IF(T1153="Ready",MIN(U1153,MAX(0,G1153-SUMIFS($U$1152:$U$1156,$O$1152:$O$1156,"&lt;"&amp;O1153))),"n.a.")</x:f>
        <x:v>0</x:v>
      </x:c>
      <x:c r="Q1153" s="22" t="n">
        <x:f>IF(T1153="Ready",ROUND(N1153+P1153,2),"n.a.")</x:f>
        <x:v>0</x:v>
      </x:c>
      <x:c r="R1153" s="22" t="n">
        <x:f>IF(T1153="Ready",ROUND(Q1153-M1153,2),"n.a.")</x:f>
        <x:v>0</x:v>
      </x:c>
      <x:c r="S1153" s="22" t="n">
        <x:f>IF(T1153="Ready",MAX(0,ROUND(I1153+M1153-Q1153,2)),"n.a.")</x:f>
        <x:v>0</x:v>
      </x:c>
      <x:c r="T1153" s="22" t="str">
        <x:f>IF(AND(COUNT($I$1152:$I$1156)=5,COUNT(E1153:F1153)=2),IF(E1153&gt;=F1153,"Ready","Budget below minima"),"Check inputs")</x:f>
        <x:v>Ready</x:v>
      </x:c>
      <x:c r="U1153" s="22" t="n">
        <x:f>IF(COUNT(I1153,M1153,N1153)=3,MAX(0,ROUND(I1153+M1153-N1153,2)),"n.a.")</x:f>
        <x:v>0</x:v>
      </x:c>
    </x:row>
    <x:row r="1154" ht="22" customHeight="1">
      <x:c r="A1154" s="2"/>
      <x:c r="B1154" s="2"/>
      <x:c r="C1154" s="27" t="n">
        <x:f>230</x:f>
        <x:v>230</x:v>
      </x:c>
      <x:c r="D1154" s="28" t="n">
        <x:f>IF(ISNUMBER('Inputs'!$D$7),EDATE('Inputs'!$D$7,229),"n.a.")</x:f>
        <x:v>53297</x:v>
      </x:c>
      <x:c r="E1154" s="26" t="n">
        <x:f>IF('Inputs'!$D$9&lt;&gt;"Ready","n.a.",IF(ISNUMBER('Inputs'!E248),IF('Inputs'!E248&gt;=0,'Inputs'!E248,"n.a."),IF('Inputs'!E248="",'Inputs'!$D$6,"n.a.")))</x:f>
        <x:v>500</x:v>
      </x:c>
      <x:c r="F1154" s="22" t="n">
        <x:f>IF(COUNT($N$1152:$N$1156)=5,SUM($N$1152:$N$1156),"n.a.")</x:f>
        <x:v>0</x:v>
      </x:c>
      <x:c r="G1154" s="22" t="n">
        <x:f>IF(COUNT(E1154:F1154)=2,MAX(0,E1154-F1154),"n.a.")</x:f>
        <x:v>500</x:v>
      </x:c>
      <x:c r="H1154" s="26" t="str">
        <x:f>'Inputs'!C13</x:f>
        <x:v>Loan C</x:v>
      </x:c>
      <x:c r="I1154" s="26" t="n">
        <x:f>S1149</x:f>
        <x:v>0</x:v>
      </x:c>
      <x:c r="J1154" s="29" t="n">
        <x:f>IF('Inputs'!$D$9="Ready",'Inputs'!E13,"n.a.")</x:f>
        <x:v>0.08</x:v>
      </x:c>
      <x:c r="K1154" s="26" t="n">
        <x:f>IF('Inputs'!$D$9="Ready",'Inputs'!F13,"n.a.")</x:f>
        <x:v>150</x:v>
      </x:c>
      <x:c r="L1154" s="29" t="n">
        <x:f>IF('Inputs'!$D$9="Ready",'Inputs'!G13,"n.a.")</x:f>
        <x:v>0</x:v>
      </x:c>
      <x:c r="M1154" s="22" t="n">
        <x:f>IF(COUNT(I1154:L1154)=4,ROUND(I1154*J1154/12,2),"n.a.")</x:f>
        <x:v>0</x:v>
      </x:c>
      <x:c r="N1154" s="22" t="n">
        <x:f>IF(COUNT(I1154:M1154)=5,MIN(I1154+M1154,ROUND(MAX(K1154,I1154*L1154+M1154),2)),"n.a.")</x:f>
        <x:v>0</x:v>
      </x:c>
      <x:c r="O1154" s="30" t="n">
        <x:f>IF(COUNT($I$1152:$I$1156)&lt;&gt;5,"n.a.",IF(I1154=0,6,IF('Inputs'!$D$5=1,COUNTIFS($I$1152:$I$1156,"&gt;0",$I$1152:$I$1156,"&lt;"&amp;I1154)+COUNTIFS($I$1152:I1154,I1154),COUNTIFS($I$1152:$I$1156,"&gt;0",$J$1152:$J$1156,"&gt;"&amp;J1154)+COUNTIFS($I$1152:I1154,"&gt;0",$J$1152:J1154,J1154))))</x:f>
        <x:v>6</x:v>
      </x:c>
      <x:c r="P1154" s="22" t="n">
        <x:f>IF(T1154="Ready",MIN(U1154,MAX(0,G1154-SUMIFS($U$1152:$U$1156,$O$1152:$O$1156,"&lt;"&amp;O1154))),"n.a.")</x:f>
        <x:v>0</x:v>
      </x:c>
      <x:c r="Q1154" s="22" t="n">
        <x:f>IF(T1154="Ready",ROUND(N1154+P1154,2),"n.a.")</x:f>
        <x:v>0</x:v>
      </x:c>
      <x:c r="R1154" s="22" t="n">
        <x:f>IF(T1154="Ready",ROUND(Q1154-M1154,2),"n.a.")</x:f>
        <x:v>0</x:v>
      </x:c>
      <x:c r="S1154" s="22" t="n">
        <x:f>IF(T1154="Ready",MAX(0,ROUND(I1154+M1154-Q1154,2)),"n.a.")</x:f>
        <x:v>0</x:v>
      </x:c>
      <x:c r="T1154" s="22" t="str">
        <x:f>IF(AND(COUNT($I$1152:$I$1156)=5,COUNT(E1154:F1154)=2),IF(E1154&gt;=F1154,"Ready","Budget below minima"),"Check inputs")</x:f>
        <x:v>Ready</x:v>
      </x:c>
      <x:c r="U1154" s="22" t="n">
        <x:f>IF(COUNT(I1154,M1154,N1154)=3,MAX(0,ROUND(I1154+M1154-N1154,2)),"n.a.")</x:f>
        <x:v>0</x:v>
      </x:c>
    </x:row>
    <x:row r="1155" ht="22" customHeight="1">
      <x:c r="A1155" s="2"/>
      <x:c r="B1155" s="2"/>
      <x:c r="C1155" s="27" t="n">
        <x:f>230</x:f>
        <x:v>230</x:v>
      </x:c>
      <x:c r="D1155" s="28" t="n">
        <x:f>IF(ISNUMBER('Inputs'!$D$7),EDATE('Inputs'!$D$7,229),"n.a.")</x:f>
        <x:v>53297</x:v>
      </x:c>
      <x:c r="E1155" s="26" t="n">
        <x:f>IF('Inputs'!$D$9&lt;&gt;"Ready","n.a.",IF(ISNUMBER('Inputs'!E248),IF('Inputs'!E248&gt;=0,'Inputs'!E248,"n.a."),IF('Inputs'!E248="",'Inputs'!$D$6,"n.a.")))</x:f>
        <x:v>500</x:v>
      </x:c>
      <x:c r="F1155" s="22" t="n">
        <x:f>IF(COUNT($N$1152:$N$1156)=5,SUM($N$1152:$N$1156),"n.a.")</x:f>
        <x:v>0</x:v>
      </x:c>
      <x:c r="G1155" s="22" t="n">
        <x:f>IF(COUNT(E1155:F1155)=2,MAX(0,E1155-F1155),"n.a.")</x:f>
        <x:v>500</x:v>
      </x:c>
      <x:c r="H1155" s="26" t="str">
        <x:f>'Inputs'!C14</x:f>
        <x:v>Unused 4</x:v>
      </x:c>
      <x:c r="I1155" s="26" t="n">
        <x:f>S1150</x:f>
        <x:v>0</x:v>
      </x:c>
      <x:c r="J1155" s="29" t="n">
        <x:f>IF('Inputs'!$D$9="Ready",'Inputs'!E14,"n.a.")</x:f>
        <x:v>0</x:v>
      </x:c>
      <x:c r="K1155" s="26" t="n">
        <x:f>IF('Inputs'!$D$9="Ready",'Inputs'!F14,"n.a.")</x:f>
        <x:v>0</x:v>
      </x:c>
      <x:c r="L1155" s="29" t="n">
        <x:f>IF('Inputs'!$D$9="Ready",'Inputs'!G14,"n.a.")</x:f>
        <x:v>0</x:v>
      </x:c>
      <x:c r="M1155" s="22" t="n">
        <x:f>IF(COUNT(I1155:L1155)=4,ROUND(I1155*J1155/12,2),"n.a.")</x:f>
        <x:v>0</x:v>
      </x:c>
      <x:c r="N1155" s="22" t="n">
        <x:f>IF(COUNT(I1155:M1155)=5,MIN(I1155+M1155,ROUND(MAX(K1155,I1155*L1155+M1155),2)),"n.a.")</x:f>
        <x:v>0</x:v>
      </x:c>
      <x:c r="O1155" s="30" t="n">
        <x:f>IF(COUNT($I$1152:$I$1156)&lt;&gt;5,"n.a.",IF(I1155=0,6,IF('Inputs'!$D$5=1,COUNTIFS($I$1152:$I$1156,"&gt;0",$I$1152:$I$1156,"&lt;"&amp;I1155)+COUNTIFS($I$1152:I1155,I1155),COUNTIFS($I$1152:$I$1156,"&gt;0",$J$1152:$J$1156,"&gt;"&amp;J1155)+COUNTIFS($I$1152:I1155,"&gt;0",$J$1152:J1155,J1155))))</x:f>
        <x:v>6</x:v>
      </x:c>
      <x:c r="P1155" s="22" t="n">
        <x:f>IF(T1155="Ready",MIN(U1155,MAX(0,G1155-SUMIFS($U$1152:$U$1156,$O$1152:$O$1156,"&lt;"&amp;O1155))),"n.a.")</x:f>
        <x:v>0</x:v>
      </x:c>
      <x:c r="Q1155" s="22" t="n">
        <x:f>IF(T1155="Ready",ROUND(N1155+P1155,2),"n.a.")</x:f>
        <x:v>0</x:v>
      </x:c>
      <x:c r="R1155" s="22" t="n">
        <x:f>IF(T1155="Ready",ROUND(Q1155-M1155,2),"n.a.")</x:f>
        <x:v>0</x:v>
      </x:c>
      <x:c r="S1155" s="22" t="n">
        <x:f>IF(T1155="Ready",MAX(0,ROUND(I1155+M1155-Q1155,2)),"n.a.")</x:f>
        <x:v>0</x:v>
      </x:c>
      <x:c r="T1155" s="22" t="str">
        <x:f>IF(AND(COUNT($I$1152:$I$1156)=5,COUNT(E1155:F1155)=2),IF(E1155&gt;=F1155,"Ready","Budget below minima"),"Check inputs")</x:f>
        <x:v>Ready</x:v>
      </x:c>
      <x:c r="U1155" s="22" t="n">
        <x:f>IF(COUNT(I1155,M1155,N1155)=3,MAX(0,ROUND(I1155+M1155-N1155,2)),"n.a.")</x:f>
        <x:v>0</x:v>
      </x:c>
    </x:row>
    <x:row r="1156" ht="22" customHeight="1">
      <x:c r="A1156" s="2"/>
      <x:c r="B1156" s="2"/>
      <x:c r="C1156" s="27" t="n">
        <x:f>230</x:f>
        <x:v>230</x:v>
      </x:c>
      <x:c r="D1156" s="28" t="n">
        <x:f>IF(ISNUMBER('Inputs'!$D$7),EDATE('Inputs'!$D$7,229),"n.a.")</x:f>
        <x:v>53297</x:v>
      </x:c>
      <x:c r="E1156" s="26" t="n">
        <x:f>IF('Inputs'!$D$9&lt;&gt;"Ready","n.a.",IF(ISNUMBER('Inputs'!E248),IF('Inputs'!E248&gt;=0,'Inputs'!E248,"n.a."),IF('Inputs'!E248="",'Inputs'!$D$6,"n.a.")))</x:f>
        <x:v>500</x:v>
      </x:c>
      <x:c r="F1156" s="22" t="n">
        <x:f>IF(COUNT($N$1152:$N$1156)=5,SUM($N$1152:$N$1156),"n.a.")</x:f>
        <x:v>0</x:v>
      </x:c>
      <x:c r="G1156" s="22" t="n">
        <x:f>IF(COUNT(E1156:F1156)=2,MAX(0,E1156-F1156),"n.a.")</x:f>
        <x:v>500</x:v>
      </x:c>
      <x:c r="H1156" s="26" t="str">
        <x:f>'Inputs'!C15</x:f>
        <x:v>Unused 5</x:v>
      </x:c>
      <x:c r="I1156" s="26" t="n">
        <x:f>S1151</x:f>
        <x:v>0</x:v>
      </x:c>
      <x:c r="J1156" s="29" t="n">
        <x:f>IF('Inputs'!$D$9="Ready",'Inputs'!E15,"n.a.")</x:f>
        <x:v>0</x:v>
      </x:c>
      <x:c r="K1156" s="26" t="n">
        <x:f>IF('Inputs'!$D$9="Ready",'Inputs'!F15,"n.a.")</x:f>
        <x:v>0</x:v>
      </x:c>
      <x:c r="L1156" s="29" t="n">
        <x:f>IF('Inputs'!$D$9="Ready",'Inputs'!G15,"n.a.")</x:f>
        <x:v>0</x:v>
      </x:c>
      <x:c r="M1156" s="22" t="n">
        <x:f>IF(COUNT(I1156:L1156)=4,ROUND(I1156*J1156/12,2),"n.a.")</x:f>
        <x:v>0</x:v>
      </x:c>
      <x:c r="N1156" s="22" t="n">
        <x:f>IF(COUNT(I1156:M1156)=5,MIN(I1156+M1156,ROUND(MAX(K1156,I1156*L1156+M1156),2)),"n.a.")</x:f>
        <x:v>0</x:v>
      </x:c>
      <x:c r="O1156" s="30" t="n">
        <x:f>IF(COUNT($I$1152:$I$1156)&lt;&gt;5,"n.a.",IF(I1156=0,6,IF('Inputs'!$D$5=1,COUNTIFS($I$1152:$I$1156,"&gt;0",$I$1152:$I$1156,"&lt;"&amp;I1156)+COUNTIFS($I$1152:I1156,I1156),COUNTIFS($I$1152:$I$1156,"&gt;0",$J$1152:$J$1156,"&gt;"&amp;J1156)+COUNTIFS($I$1152:I1156,"&gt;0",$J$1152:J1156,J1156))))</x:f>
        <x:v>6</x:v>
      </x:c>
      <x:c r="P1156" s="22" t="n">
        <x:f>IF(T1156="Ready",MIN(U1156,MAX(0,G1156-SUMIFS($U$1152:$U$1156,$O$1152:$O$1156,"&lt;"&amp;O1156))),"n.a.")</x:f>
        <x:v>0</x:v>
      </x:c>
      <x:c r="Q1156" s="22" t="n">
        <x:f>IF(T1156="Ready",ROUND(N1156+P1156,2),"n.a.")</x:f>
        <x:v>0</x:v>
      </x:c>
      <x:c r="R1156" s="22" t="n">
        <x:f>IF(T1156="Ready",ROUND(Q1156-M1156,2),"n.a.")</x:f>
        <x:v>0</x:v>
      </x:c>
      <x:c r="S1156" s="22" t="n">
        <x:f>IF(T1156="Ready",MAX(0,ROUND(I1156+M1156-Q1156,2)),"n.a.")</x:f>
        <x:v>0</x:v>
      </x:c>
      <x:c r="T1156" s="22" t="str">
        <x:f>IF(AND(COUNT($I$1152:$I$1156)=5,COUNT(E1156:F1156)=2),IF(E1156&gt;=F1156,"Ready","Budget below minima"),"Check inputs")</x:f>
        <x:v>Ready</x:v>
      </x:c>
      <x:c r="U1156" s="22" t="n">
        <x:f>IF(COUNT(I1156,M1156,N1156)=3,MAX(0,ROUND(I1156+M1156-N1156,2)),"n.a.")</x:f>
        <x:v>0</x:v>
      </x:c>
    </x:row>
    <x:row r="1157" ht="22" customHeight="1">
      <x:c r="A1157" s="2"/>
      <x:c r="B1157" s="2"/>
      <x:c r="C1157" s="27" t="n">
        <x:f>231</x:f>
        <x:v>231</x:v>
      </x:c>
      <x:c r="D1157" s="28" t="n">
        <x:f>IF(ISNUMBER('Inputs'!$D$7),EDATE('Inputs'!$D$7,230),"n.a.")</x:f>
        <x:v>53328</x:v>
      </x:c>
      <x:c r="E1157" s="26" t="n">
        <x:f>IF('Inputs'!$D$9&lt;&gt;"Ready","n.a.",IF(ISNUMBER('Inputs'!E249),IF('Inputs'!E249&gt;=0,'Inputs'!E249,"n.a."),IF('Inputs'!E249="",'Inputs'!$D$6,"n.a.")))</x:f>
        <x:v>500</x:v>
      </x:c>
      <x:c r="F1157" s="22" t="n">
        <x:f>IF(COUNT($N$1157:$N$1161)=5,SUM($N$1157:$N$1161),"n.a.")</x:f>
        <x:v>0</x:v>
      </x:c>
      <x:c r="G1157" s="22" t="n">
        <x:f>IF(COUNT(E1157:F1157)=2,MAX(0,E1157-F1157),"n.a.")</x:f>
        <x:v>500</x:v>
      </x:c>
      <x:c r="H1157" s="26" t="str">
        <x:f>'Inputs'!C11</x:f>
        <x:v>Card A</x:v>
      </x:c>
      <x:c r="I1157" s="26" t="n">
        <x:f>S1152</x:f>
        <x:v>0</x:v>
      </x:c>
      <x:c r="J1157" s="29" t="n">
        <x:f>IF('Inputs'!$D$9="Ready",'Inputs'!E11,"n.a.")</x:f>
        <x:v>0.24</x:v>
      </x:c>
      <x:c r="K1157" s="26" t="n">
        <x:f>IF('Inputs'!$D$9="Ready",'Inputs'!F11,"n.a.")</x:f>
        <x:v>35</x:v>
      </x:c>
      <x:c r="L1157" s="29" t="n">
        <x:f>IF('Inputs'!$D$9="Ready",'Inputs'!G11,"n.a.")</x:f>
        <x:v>0.02</x:v>
      </x:c>
      <x:c r="M1157" s="22" t="n">
        <x:f>IF(COUNT(I1157:L1157)=4,ROUND(I1157*J1157/12,2),"n.a.")</x:f>
        <x:v>0</x:v>
      </x:c>
      <x:c r="N1157" s="22" t="n">
        <x:f>IF(COUNT(I1157:M1157)=5,MIN(I1157+M1157,ROUND(MAX(K1157,I1157*L1157+M1157),2)),"n.a.")</x:f>
        <x:v>0</x:v>
      </x:c>
      <x:c r="O1157" s="30" t="n">
        <x:f>IF(COUNT($I$1157:$I$1161)&lt;&gt;5,"n.a.",IF(I1157=0,6,IF('Inputs'!$D$5=1,COUNTIFS($I$1157:$I$1161,"&gt;0",$I$1157:$I$1161,"&lt;"&amp;I1157)+COUNTIFS($I$1157:I1157,I1157),COUNTIFS($I$1157:$I$1161,"&gt;0",$J$1157:$J$1161,"&gt;"&amp;J1157)+COUNTIFS($I$1157:I1157,"&gt;0",$J$1157:J1157,J1157))))</x:f>
        <x:v>6</x:v>
      </x:c>
      <x:c r="P1157" s="22" t="n">
        <x:f>IF(T1157="Ready",MIN(U1157,MAX(0,G1157-SUMIFS($U$1157:$U$1161,$O$1157:$O$1161,"&lt;"&amp;O1157))),"n.a.")</x:f>
        <x:v>0</x:v>
      </x:c>
      <x:c r="Q1157" s="22" t="n">
        <x:f>IF(T1157="Ready",ROUND(N1157+P1157,2),"n.a.")</x:f>
        <x:v>0</x:v>
      </x:c>
      <x:c r="R1157" s="22" t="n">
        <x:f>IF(T1157="Ready",ROUND(Q1157-M1157,2),"n.a.")</x:f>
        <x:v>0</x:v>
      </x:c>
      <x:c r="S1157" s="22" t="n">
        <x:f>IF(T1157="Ready",MAX(0,ROUND(I1157+M1157-Q1157,2)),"n.a.")</x:f>
        <x:v>0</x:v>
      </x:c>
      <x:c r="T1157" s="22" t="str">
        <x:f>IF(AND(COUNT($I$1157:$I$1161)=5,COUNT(E1157:F1157)=2),IF(E1157&gt;=F1157,"Ready","Budget below minima"),"Check inputs")</x:f>
        <x:v>Ready</x:v>
      </x:c>
      <x:c r="U1157" s="22" t="n">
        <x:f>IF(COUNT(I1157,M1157,N1157)=3,MAX(0,ROUND(I1157+M1157-N1157,2)),"n.a.")</x:f>
        <x:v>0</x:v>
      </x:c>
    </x:row>
    <x:row r="1158" ht="22" customHeight="1">
      <x:c r="A1158" s="2"/>
      <x:c r="B1158" s="2"/>
      <x:c r="C1158" s="27" t="n">
        <x:f>231</x:f>
        <x:v>231</x:v>
      </x:c>
      <x:c r="D1158" s="28" t="n">
        <x:f>IF(ISNUMBER('Inputs'!$D$7),EDATE('Inputs'!$D$7,230),"n.a.")</x:f>
        <x:v>53328</x:v>
      </x:c>
      <x:c r="E1158" s="26" t="n">
        <x:f>IF('Inputs'!$D$9&lt;&gt;"Ready","n.a.",IF(ISNUMBER('Inputs'!E249),IF('Inputs'!E249&gt;=0,'Inputs'!E249,"n.a."),IF('Inputs'!E249="",'Inputs'!$D$6,"n.a.")))</x:f>
        <x:v>500</x:v>
      </x:c>
      <x:c r="F1158" s="22" t="n">
        <x:f>IF(COUNT($N$1157:$N$1161)=5,SUM($N$1157:$N$1161),"n.a.")</x:f>
        <x:v>0</x:v>
      </x:c>
      <x:c r="G1158" s="22" t="n">
        <x:f>IF(COUNT(E1158:F1158)=2,MAX(0,E1158-F1158),"n.a.")</x:f>
        <x:v>500</x:v>
      </x:c>
      <x:c r="H1158" s="26" t="str">
        <x:f>'Inputs'!C12</x:f>
        <x:v>Card B</x:v>
      </x:c>
      <x:c r="I1158" s="26" t="n">
        <x:f>S1153</x:f>
        <x:v>0</x:v>
      </x:c>
      <x:c r="J1158" s="29" t="n">
        <x:f>IF('Inputs'!$D$9="Ready",'Inputs'!E12,"n.a.")</x:f>
        <x:v>0.18</x:v>
      </x:c>
      <x:c r="K1158" s="26" t="n">
        <x:f>IF('Inputs'!$D$9="Ready",'Inputs'!F12,"n.a.")</x:f>
        <x:v>60</x:v>
      </x:c>
      <x:c r="L1158" s="29" t="n">
        <x:f>IF('Inputs'!$D$9="Ready",'Inputs'!G12,"n.a.")</x:f>
        <x:v>0.02</x:v>
      </x:c>
      <x:c r="M1158" s="22" t="n">
        <x:f>IF(COUNT(I1158:L1158)=4,ROUND(I1158*J1158/12,2),"n.a.")</x:f>
        <x:v>0</x:v>
      </x:c>
      <x:c r="N1158" s="22" t="n">
        <x:f>IF(COUNT(I1158:M1158)=5,MIN(I1158+M1158,ROUND(MAX(K1158,I1158*L1158+M1158),2)),"n.a.")</x:f>
        <x:v>0</x:v>
      </x:c>
      <x:c r="O1158" s="30" t="n">
        <x:f>IF(COUNT($I$1157:$I$1161)&lt;&gt;5,"n.a.",IF(I1158=0,6,IF('Inputs'!$D$5=1,COUNTIFS($I$1157:$I$1161,"&gt;0",$I$1157:$I$1161,"&lt;"&amp;I1158)+COUNTIFS($I$1157:I1158,I1158),COUNTIFS($I$1157:$I$1161,"&gt;0",$J$1157:$J$1161,"&gt;"&amp;J1158)+COUNTIFS($I$1157:I1158,"&gt;0",$J$1157:J1158,J1158))))</x:f>
        <x:v>6</x:v>
      </x:c>
      <x:c r="P1158" s="22" t="n">
        <x:f>IF(T1158="Ready",MIN(U1158,MAX(0,G1158-SUMIFS($U$1157:$U$1161,$O$1157:$O$1161,"&lt;"&amp;O1158))),"n.a.")</x:f>
        <x:v>0</x:v>
      </x:c>
      <x:c r="Q1158" s="22" t="n">
        <x:f>IF(T1158="Ready",ROUND(N1158+P1158,2),"n.a.")</x:f>
        <x:v>0</x:v>
      </x:c>
      <x:c r="R1158" s="22" t="n">
        <x:f>IF(T1158="Ready",ROUND(Q1158-M1158,2),"n.a.")</x:f>
        <x:v>0</x:v>
      </x:c>
      <x:c r="S1158" s="22" t="n">
        <x:f>IF(T1158="Ready",MAX(0,ROUND(I1158+M1158-Q1158,2)),"n.a.")</x:f>
        <x:v>0</x:v>
      </x:c>
      <x:c r="T1158" s="22" t="str">
        <x:f>IF(AND(COUNT($I$1157:$I$1161)=5,COUNT(E1158:F1158)=2),IF(E1158&gt;=F1158,"Ready","Budget below minima"),"Check inputs")</x:f>
        <x:v>Ready</x:v>
      </x:c>
      <x:c r="U1158" s="22" t="n">
        <x:f>IF(COUNT(I1158,M1158,N1158)=3,MAX(0,ROUND(I1158+M1158-N1158,2)),"n.a.")</x:f>
        <x:v>0</x:v>
      </x:c>
    </x:row>
    <x:row r="1159" ht="22" customHeight="1">
      <x:c r="A1159" s="2"/>
      <x:c r="B1159" s="2"/>
      <x:c r="C1159" s="27" t="n">
        <x:f>231</x:f>
        <x:v>231</x:v>
      </x:c>
      <x:c r="D1159" s="28" t="n">
        <x:f>IF(ISNUMBER('Inputs'!$D$7),EDATE('Inputs'!$D$7,230),"n.a.")</x:f>
        <x:v>53328</x:v>
      </x:c>
      <x:c r="E1159" s="26" t="n">
        <x:f>IF('Inputs'!$D$9&lt;&gt;"Ready","n.a.",IF(ISNUMBER('Inputs'!E249),IF('Inputs'!E249&gt;=0,'Inputs'!E249,"n.a."),IF('Inputs'!E249="",'Inputs'!$D$6,"n.a.")))</x:f>
        <x:v>500</x:v>
      </x:c>
      <x:c r="F1159" s="22" t="n">
        <x:f>IF(COUNT($N$1157:$N$1161)=5,SUM($N$1157:$N$1161),"n.a.")</x:f>
        <x:v>0</x:v>
      </x:c>
      <x:c r="G1159" s="22" t="n">
        <x:f>IF(COUNT(E1159:F1159)=2,MAX(0,E1159-F1159),"n.a.")</x:f>
        <x:v>500</x:v>
      </x:c>
      <x:c r="H1159" s="26" t="str">
        <x:f>'Inputs'!C13</x:f>
        <x:v>Loan C</x:v>
      </x:c>
      <x:c r="I1159" s="26" t="n">
        <x:f>S1154</x:f>
        <x:v>0</x:v>
      </x:c>
      <x:c r="J1159" s="29" t="n">
        <x:f>IF('Inputs'!$D$9="Ready",'Inputs'!E13,"n.a.")</x:f>
        <x:v>0.08</x:v>
      </x:c>
      <x:c r="K1159" s="26" t="n">
        <x:f>IF('Inputs'!$D$9="Ready",'Inputs'!F13,"n.a.")</x:f>
        <x:v>150</x:v>
      </x:c>
      <x:c r="L1159" s="29" t="n">
        <x:f>IF('Inputs'!$D$9="Ready",'Inputs'!G13,"n.a.")</x:f>
        <x:v>0</x:v>
      </x:c>
      <x:c r="M1159" s="22" t="n">
        <x:f>IF(COUNT(I1159:L1159)=4,ROUND(I1159*J1159/12,2),"n.a.")</x:f>
        <x:v>0</x:v>
      </x:c>
      <x:c r="N1159" s="22" t="n">
        <x:f>IF(COUNT(I1159:M1159)=5,MIN(I1159+M1159,ROUND(MAX(K1159,I1159*L1159+M1159),2)),"n.a.")</x:f>
        <x:v>0</x:v>
      </x:c>
      <x:c r="O1159" s="30" t="n">
        <x:f>IF(COUNT($I$1157:$I$1161)&lt;&gt;5,"n.a.",IF(I1159=0,6,IF('Inputs'!$D$5=1,COUNTIFS($I$1157:$I$1161,"&gt;0",$I$1157:$I$1161,"&lt;"&amp;I1159)+COUNTIFS($I$1157:I1159,I1159),COUNTIFS($I$1157:$I$1161,"&gt;0",$J$1157:$J$1161,"&gt;"&amp;J1159)+COUNTIFS($I$1157:I1159,"&gt;0",$J$1157:J1159,J1159))))</x:f>
        <x:v>6</x:v>
      </x:c>
      <x:c r="P1159" s="22" t="n">
        <x:f>IF(T1159="Ready",MIN(U1159,MAX(0,G1159-SUMIFS($U$1157:$U$1161,$O$1157:$O$1161,"&lt;"&amp;O1159))),"n.a.")</x:f>
        <x:v>0</x:v>
      </x:c>
      <x:c r="Q1159" s="22" t="n">
        <x:f>IF(T1159="Ready",ROUND(N1159+P1159,2),"n.a.")</x:f>
        <x:v>0</x:v>
      </x:c>
      <x:c r="R1159" s="22" t="n">
        <x:f>IF(T1159="Ready",ROUND(Q1159-M1159,2),"n.a.")</x:f>
        <x:v>0</x:v>
      </x:c>
      <x:c r="S1159" s="22" t="n">
        <x:f>IF(T1159="Ready",MAX(0,ROUND(I1159+M1159-Q1159,2)),"n.a.")</x:f>
        <x:v>0</x:v>
      </x:c>
      <x:c r="T1159" s="22" t="str">
        <x:f>IF(AND(COUNT($I$1157:$I$1161)=5,COUNT(E1159:F1159)=2),IF(E1159&gt;=F1159,"Ready","Budget below minima"),"Check inputs")</x:f>
        <x:v>Ready</x:v>
      </x:c>
      <x:c r="U1159" s="22" t="n">
        <x:f>IF(COUNT(I1159,M1159,N1159)=3,MAX(0,ROUND(I1159+M1159-N1159,2)),"n.a.")</x:f>
        <x:v>0</x:v>
      </x:c>
    </x:row>
    <x:row r="1160" ht="22" customHeight="1">
      <x:c r="A1160" s="2"/>
      <x:c r="B1160" s="2"/>
      <x:c r="C1160" s="27" t="n">
        <x:f>231</x:f>
        <x:v>231</x:v>
      </x:c>
      <x:c r="D1160" s="28" t="n">
        <x:f>IF(ISNUMBER('Inputs'!$D$7),EDATE('Inputs'!$D$7,230),"n.a.")</x:f>
        <x:v>53328</x:v>
      </x:c>
      <x:c r="E1160" s="26" t="n">
        <x:f>IF('Inputs'!$D$9&lt;&gt;"Ready","n.a.",IF(ISNUMBER('Inputs'!E249),IF('Inputs'!E249&gt;=0,'Inputs'!E249,"n.a."),IF('Inputs'!E249="",'Inputs'!$D$6,"n.a.")))</x:f>
        <x:v>500</x:v>
      </x:c>
      <x:c r="F1160" s="22" t="n">
        <x:f>IF(COUNT($N$1157:$N$1161)=5,SUM($N$1157:$N$1161),"n.a.")</x:f>
        <x:v>0</x:v>
      </x:c>
      <x:c r="G1160" s="22" t="n">
        <x:f>IF(COUNT(E1160:F1160)=2,MAX(0,E1160-F1160),"n.a.")</x:f>
        <x:v>500</x:v>
      </x:c>
      <x:c r="H1160" s="26" t="str">
        <x:f>'Inputs'!C14</x:f>
        <x:v>Unused 4</x:v>
      </x:c>
      <x:c r="I1160" s="26" t="n">
        <x:f>S1155</x:f>
        <x:v>0</x:v>
      </x:c>
      <x:c r="J1160" s="29" t="n">
        <x:f>IF('Inputs'!$D$9="Ready",'Inputs'!E14,"n.a.")</x:f>
        <x:v>0</x:v>
      </x:c>
      <x:c r="K1160" s="26" t="n">
        <x:f>IF('Inputs'!$D$9="Ready",'Inputs'!F14,"n.a.")</x:f>
        <x:v>0</x:v>
      </x:c>
      <x:c r="L1160" s="29" t="n">
        <x:f>IF('Inputs'!$D$9="Ready",'Inputs'!G14,"n.a.")</x:f>
        <x:v>0</x:v>
      </x:c>
      <x:c r="M1160" s="22" t="n">
        <x:f>IF(COUNT(I1160:L1160)=4,ROUND(I1160*J1160/12,2),"n.a.")</x:f>
        <x:v>0</x:v>
      </x:c>
      <x:c r="N1160" s="22" t="n">
        <x:f>IF(COUNT(I1160:M1160)=5,MIN(I1160+M1160,ROUND(MAX(K1160,I1160*L1160+M1160),2)),"n.a.")</x:f>
        <x:v>0</x:v>
      </x:c>
      <x:c r="O1160" s="30" t="n">
        <x:f>IF(COUNT($I$1157:$I$1161)&lt;&gt;5,"n.a.",IF(I1160=0,6,IF('Inputs'!$D$5=1,COUNTIFS($I$1157:$I$1161,"&gt;0",$I$1157:$I$1161,"&lt;"&amp;I1160)+COUNTIFS($I$1157:I1160,I1160),COUNTIFS($I$1157:$I$1161,"&gt;0",$J$1157:$J$1161,"&gt;"&amp;J1160)+COUNTIFS($I$1157:I1160,"&gt;0",$J$1157:J1160,J1160))))</x:f>
        <x:v>6</x:v>
      </x:c>
      <x:c r="P1160" s="22" t="n">
        <x:f>IF(T1160="Ready",MIN(U1160,MAX(0,G1160-SUMIFS($U$1157:$U$1161,$O$1157:$O$1161,"&lt;"&amp;O1160))),"n.a.")</x:f>
        <x:v>0</x:v>
      </x:c>
      <x:c r="Q1160" s="22" t="n">
        <x:f>IF(T1160="Ready",ROUND(N1160+P1160,2),"n.a.")</x:f>
        <x:v>0</x:v>
      </x:c>
      <x:c r="R1160" s="22" t="n">
        <x:f>IF(T1160="Ready",ROUND(Q1160-M1160,2),"n.a.")</x:f>
        <x:v>0</x:v>
      </x:c>
      <x:c r="S1160" s="22" t="n">
        <x:f>IF(T1160="Ready",MAX(0,ROUND(I1160+M1160-Q1160,2)),"n.a.")</x:f>
        <x:v>0</x:v>
      </x:c>
      <x:c r="T1160" s="22" t="str">
        <x:f>IF(AND(COUNT($I$1157:$I$1161)=5,COUNT(E1160:F1160)=2),IF(E1160&gt;=F1160,"Ready","Budget below minima"),"Check inputs")</x:f>
        <x:v>Ready</x:v>
      </x:c>
      <x:c r="U1160" s="22" t="n">
        <x:f>IF(COUNT(I1160,M1160,N1160)=3,MAX(0,ROUND(I1160+M1160-N1160,2)),"n.a.")</x:f>
        <x:v>0</x:v>
      </x:c>
    </x:row>
    <x:row r="1161" ht="22" customHeight="1">
      <x:c r="A1161" s="2"/>
      <x:c r="B1161" s="2"/>
      <x:c r="C1161" s="27" t="n">
        <x:f>231</x:f>
        <x:v>231</x:v>
      </x:c>
      <x:c r="D1161" s="28" t="n">
        <x:f>IF(ISNUMBER('Inputs'!$D$7),EDATE('Inputs'!$D$7,230),"n.a.")</x:f>
        <x:v>53328</x:v>
      </x:c>
      <x:c r="E1161" s="26" t="n">
        <x:f>IF('Inputs'!$D$9&lt;&gt;"Ready","n.a.",IF(ISNUMBER('Inputs'!E249),IF('Inputs'!E249&gt;=0,'Inputs'!E249,"n.a."),IF('Inputs'!E249="",'Inputs'!$D$6,"n.a.")))</x:f>
        <x:v>500</x:v>
      </x:c>
      <x:c r="F1161" s="22" t="n">
        <x:f>IF(COUNT($N$1157:$N$1161)=5,SUM($N$1157:$N$1161),"n.a.")</x:f>
        <x:v>0</x:v>
      </x:c>
      <x:c r="G1161" s="22" t="n">
        <x:f>IF(COUNT(E1161:F1161)=2,MAX(0,E1161-F1161),"n.a.")</x:f>
        <x:v>500</x:v>
      </x:c>
      <x:c r="H1161" s="26" t="str">
        <x:f>'Inputs'!C15</x:f>
        <x:v>Unused 5</x:v>
      </x:c>
      <x:c r="I1161" s="26" t="n">
        <x:f>S1156</x:f>
        <x:v>0</x:v>
      </x:c>
      <x:c r="J1161" s="29" t="n">
        <x:f>IF('Inputs'!$D$9="Ready",'Inputs'!E15,"n.a.")</x:f>
        <x:v>0</x:v>
      </x:c>
      <x:c r="K1161" s="26" t="n">
        <x:f>IF('Inputs'!$D$9="Ready",'Inputs'!F15,"n.a.")</x:f>
        <x:v>0</x:v>
      </x:c>
      <x:c r="L1161" s="29" t="n">
        <x:f>IF('Inputs'!$D$9="Ready",'Inputs'!G15,"n.a.")</x:f>
        <x:v>0</x:v>
      </x:c>
      <x:c r="M1161" s="22" t="n">
        <x:f>IF(COUNT(I1161:L1161)=4,ROUND(I1161*J1161/12,2),"n.a.")</x:f>
        <x:v>0</x:v>
      </x:c>
      <x:c r="N1161" s="22" t="n">
        <x:f>IF(COUNT(I1161:M1161)=5,MIN(I1161+M1161,ROUND(MAX(K1161,I1161*L1161+M1161),2)),"n.a.")</x:f>
        <x:v>0</x:v>
      </x:c>
      <x:c r="O1161" s="30" t="n">
        <x:f>IF(COUNT($I$1157:$I$1161)&lt;&gt;5,"n.a.",IF(I1161=0,6,IF('Inputs'!$D$5=1,COUNTIFS($I$1157:$I$1161,"&gt;0",$I$1157:$I$1161,"&lt;"&amp;I1161)+COUNTIFS($I$1157:I1161,I1161),COUNTIFS($I$1157:$I$1161,"&gt;0",$J$1157:$J$1161,"&gt;"&amp;J1161)+COUNTIFS($I$1157:I1161,"&gt;0",$J$1157:J1161,J1161))))</x:f>
        <x:v>6</x:v>
      </x:c>
      <x:c r="P1161" s="22" t="n">
        <x:f>IF(T1161="Ready",MIN(U1161,MAX(0,G1161-SUMIFS($U$1157:$U$1161,$O$1157:$O$1161,"&lt;"&amp;O1161))),"n.a.")</x:f>
        <x:v>0</x:v>
      </x:c>
      <x:c r="Q1161" s="22" t="n">
        <x:f>IF(T1161="Ready",ROUND(N1161+P1161,2),"n.a.")</x:f>
        <x:v>0</x:v>
      </x:c>
      <x:c r="R1161" s="22" t="n">
        <x:f>IF(T1161="Ready",ROUND(Q1161-M1161,2),"n.a.")</x:f>
        <x:v>0</x:v>
      </x:c>
      <x:c r="S1161" s="22" t="n">
        <x:f>IF(T1161="Ready",MAX(0,ROUND(I1161+M1161-Q1161,2)),"n.a.")</x:f>
        <x:v>0</x:v>
      </x:c>
      <x:c r="T1161" s="22" t="str">
        <x:f>IF(AND(COUNT($I$1157:$I$1161)=5,COUNT(E1161:F1161)=2),IF(E1161&gt;=F1161,"Ready","Budget below minima"),"Check inputs")</x:f>
        <x:v>Ready</x:v>
      </x:c>
      <x:c r="U1161" s="22" t="n">
        <x:f>IF(COUNT(I1161,M1161,N1161)=3,MAX(0,ROUND(I1161+M1161-N1161,2)),"n.a.")</x:f>
        <x:v>0</x:v>
      </x:c>
    </x:row>
    <x:row r="1162" ht="22" customHeight="1">
      <x:c r="A1162" s="2"/>
      <x:c r="B1162" s="2"/>
      <x:c r="C1162" s="27" t="n">
        <x:f>232</x:f>
        <x:v>232</x:v>
      </x:c>
      <x:c r="D1162" s="28" t="n">
        <x:f>IF(ISNUMBER('Inputs'!$D$7),EDATE('Inputs'!$D$7,231),"n.a.")</x:f>
        <x:v>53359</x:v>
      </x:c>
      <x:c r="E1162" s="26" t="n">
        <x:f>IF('Inputs'!$D$9&lt;&gt;"Ready","n.a.",IF(ISNUMBER('Inputs'!E250),IF('Inputs'!E250&gt;=0,'Inputs'!E250,"n.a."),IF('Inputs'!E250="",'Inputs'!$D$6,"n.a.")))</x:f>
        <x:v>500</x:v>
      </x:c>
      <x:c r="F1162" s="22" t="n">
        <x:f>IF(COUNT($N$1162:$N$1166)=5,SUM($N$1162:$N$1166),"n.a.")</x:f>
        <x:v>0</x:v>
      </x:c>
      <x:c r="G1162" s="22" t="n">
        <x:f>IF(COUNT(E1162:F1162)=2,MAX(0,E1162-F1162),"n.a.")</x:f>
        <x:v>500</x:v>
      </x:c>
      <x:c r="H1162" s="26" t="str">
        <x:f>'Inputs'!C11</x:f>
        <x:v>Card A</x:v>
      </x:c>
      <x:c r="I1162" s="26" t="n">
        <x:f>S1157</x:f>
        <x:v>0</x:v>
      </x:c>
      <x:c r="J1162" s="29" t="n">
        <x:f>IF('Inputs'!$D$9="Ready",'Inputs'!E11,"n.a.")</x:f>
        <x:v>0.24</x:v>
      </x:c>
      <x:c r="K1162" s="26" t="n">
        <x:f>IF('Inputs'!$D$9="Ready",'Inputs'!F11,"n.a.")</x:f>
        <x:v>35</x:v>
      </x:c>
      <x:c r="L1162" s="29" t="n">
        <x:f>IF('Inputs'!$D$9="Ready",'Inputs'!G11,"n.a.")</x:f>
        <x:v>0.02</x:v>
      </x:c>
      <x:c r="M1162" s="22" t="n">
        <x:f>IF(COUNT(I1162:L1162)=4,ROUND(I1162*J1162/12,2),"n.a.")</x:f>
        <x:v>0</x:v>
      </x:c>
      <x:c r="N1162" s="22" t="n">
        <x:f>IF(COUNT(I1162:M1162)=5,MIN(I1162+M1162,ROUND(MAX(K1162,I1162*L1162+M1162),2)),"n.a.")</x:f>
        <x:v>0</x:v>
      </x:c>
      <x:c r="O1162" s="30" t="n">
        <x:f>IF(COUNT($I$1162:$I$1166)&lt;&gt;5,"n.a.",IF(I1162=0,6,IF('Inputs'!$D$5=1,COUNTIFS($I$1162:$I$1166,"&gt;0",$I$1162:$I$1166,"&lt;"&amp;I1162)+COUNTIFS($I$1162:I1162,I1162),COUNTIFS($I$1162:$I$1166,"&gt;0",$J$1162:$J$1166,"&gt;"&amp;J1162)+COUNTIFS($I$1162:I1162,"&gt;0",$J$1162:J1162,J1162))))</x:f>
        <x:v>6</x:v>
      </x:c>
      <x:c r="P1162" s="22" t="n">
        <x:f>IF(T1162="Ready",MIN(U1162,MAX(0,G1162-SUMIFS($U$1162:$U$1166,$O$1162:$O$1166,"&lt;"&amp;O1162))),"n.a.")</x:f>
        <x:v>0</x:v>
      </x:c>
      <x:c r="Q1162" s="22" t="n">
        <x:f>IF(T1162="Ready",ROUND(N1162+P1162,2),"n.a.")</x:f>
        <x:v>0</x:v>
      </x:c>
      <x:c r="R1162" s="22" t="n">
        <x:f>IF(T1162="Ready",ROUND(Q1162-M1162,2),"n.a.")</x:f>
        <x:v>0</x:v>
      </x:c>
      <x:c r="S1162" s="22" t="n">
        <x:f>IF(T1162="Ready",MAX(0,ROUND(I1162+M1162-Q1162,2)),"n.a.")</x:f>
        <x:v>0</x:v>
      </x:c>
      <x:c r="T1162" s="22" t="str">
        <x:f>IF(AND(COUNT($I$1162:$I$1166)=5,COUNT(E1162:F1162)=2),IF(E1162&gt;=F1162,"Ready","Budget below minima"),"Check inputs")</x:f>
        <x:v>Ready</x:v>
      </x:c>
      <x:c r="U1162" s="22" t="n">
        <x:f>IF(COUNT(I1162,M1162,N1162)=3,MAX(0,ROUND(I1162+M1162-N1162,2)),"n.a.")</x:f>
        <x:v>0</x:v>
      </x:c>
    </x:row>
    <x:row r="1163" ht="22" customHeight="1">
      <x:c r="A1163" s="2"/>
      <x:c r="B1163" s="2"/>
      <x:c r="C1163" s="27" t="n">
        <x:f>232</x:f>
        <x:v>232</x:v>
      </x:c>
      <x:c r="D1163" s="28" t="n">
        <x:f>IF(ISNUMBER('Inputs'!$D$7),EDATE('Inputs'!$D$7,231),"n.a.")</x:f>
        <x:v>53359</x:v>
      </x:c>
      <x:c r="E1163" s="26" t="n">
        <x:f>IF('Inputs'!$D$9&lt;&gt;"Ready","n.a.",IF(ISNUMBER('Inputs'!E250),IF('Inputs'!E250&gt;=0,'Inputs'!E250,"n.a."),IF('Inputs'!E250="",'Inputs'!$D$6,"n.a.")))</x:f>
        <x:v>500</x:v>
      </x:c>
      <x:c r="F1163" s="22" t="n">
        <x:f>IF(COUNT($N$1162:$N$1166)=5,SUM($N$1162:$N$1166),"n.a.")</x:f>
        <x:v>0</x:v>
      </x:c>
      <x:c r="G1163" s="22" t="n">
        <x:f>IF(COUNT(E1163:F1163)=2,MAX(0,E1163-F1163),"n.a.")</x:f>
        <x:v>500</x:v>
      </x:c>
      <x:c r="H1163" s="26" t="str">
        <x:f>'Inputs'!C12</x:f>
        <x:v>Card B</x:v>
      </x:c>
      <x:c r="I1163" s="26" t="n">
        <x:f>S1158</x:f>
        <x:v>0</x:v>
      </x:c>
      <x:c r="J1163" s="29" t="n">
        <x:f>IF('Inputs'!$D$9="Ready",'Inputs'!E12,"n.a.")</x:f>
        <x:v>0.18</x:v>
      </x:c>
      <x:c r="K1163" s="26" t="n">
        <x:f>IF('Inputs'!$D$9="Ready",'Inputs'!F12,"n.a.")</x:f>
        <x:v>60</x:v>
      </x:c>
      <x:c r="L1163" s="29" t="n">
        <x:f>IF('Inputs'!$D$9="Ready",'Inputs'!G12,"n.a.")</x:f>
        <x:v>0.02</x:v>
      </x:c>
      <x:c r="M1163" s="22" t="n">
        <x:f>IF(COUNT(I1163:L1163)=4,ROUND(I1163*J1163/12,2),"n.a.")</x:f>
        <x:v>0</x:v>
      </x:c>
      <x:c r="N1163" s="22" t="n">
        <x:f>IF(COUNT(I1163:M1163)=5,MIN(I1163+M1163,ROUND(MAX(K1163,I1163*L1163+M1163),2)),"n.a.")</x:f>
        <x:v>0</x:v>
      </x:c>
      <x:c r="O1163" s="30" t="n">
        <x:f>IF(COUNT($I$1162:$I$1166)&lt;&gt;5,"n.a.",IF(I1163=0,6,IF('Inputs'!$D$5=1,COUNTIFS($I$1162:$I$1166,"&gt;0",$I$1162:$I$1166,"&lt;"&amp;I1163)+COUNTIFS($I$1162:I1163,I1163),COUNTIFS($I$1162:$I$1166,"&gt;0",$J$1162:$J$1166,"&gt;"&amp;J1163)+COUNTIFS($I$1162:I1163,"&gt;0",$J$1162:J1163,J1163))))</x:f>
        <x:v>6</x:v>
      </x:c>
      <x:c r="P1163" s="22" t="n">
        <x:f>IF(T1163="Ready",MIN(U1163,MAX(0,G1163-SUMIFS($U$1162:$U$1166,$O$1162:$O$1166,"&lt;"&amp;O1163))),"n.a.")</x:f>
        <x:v>0</x:v>
      </x:c>
      <x:c r="Q1163" s="22" t="n">
        <x:f>IF(T1163="Ready",ROUND(N1163+P1163,2),"n.a.")</x:f>
        <x:v>0</x:v>
      </x:c>
      <x:c r="R1163" s="22" t="n">
        <x:f>IF(T1163="Ready",ROUND(Q1163-M1163,2),"n.a.")</x:f>
        <x:v>0</x:v>
      </x:c>
      <x:c r="S1163" s="22" t="n">
        <x:f>IF(T1163="Ready",MAX(0,ROUND(I1163+M1163-Q1163,2)),"n.a.")</x:f>
        <x:v>0</x:v>
      </x:c>
      <x:c r="T1163" s="22" t="str">
        <x:f>IF(AND(COUNT($I$1162:$I$1166)=5,COUNT(E1163:F1163)=2),IF(E1163&gt;=F1163,"Ready","Budget below minima"),"Check inputs")</x:f>
        <x:v>Ready</x:v>
      </x:c>
      <x:c r="U1163" s="22" t="n">
        <x:f>IF(COUNT(I1163,M1163,N1163)=3,MAX(0,ROUND(I1163+M1163-N1163,2)),"n.a.")</x:f>
        <x:v>0</x:v>
      </x:c>
    </x:row>
    <x:row r="1164" ht="22" customHeight="1">
      <x:c r="A1164" s="2"/>
      <x:c r="B1164" s="2"/>
      <x:c r="C1164" s="27" t="n">
        <x:f>232</x:f>
        <x:v>232</x:v>
      </x:c>
      <x:c r="D1164" s="28" t="n">
        <x:f>IF(ISNUMBER('Inputs'!$D$7),EDATE('Inputs'!$D$7,231),"n.a.")</x:f>
        <x:v>53359</x:v>
      </x:c>
      <x:c r="E1164" s="26" t="n">
        <x:f>IF('Inputs'!$D$9&lt;&gt;"Ready","n.a.",IF(ISNUMBER('Inputs'!E250),IF('Inputs'!E250&gt;=0,'Inputs'!E250,"n.a."),IF('Inputs'!E250="",'Inputs'!$D$6,"n.a.")))</x:f>
        <x:v>500</x:v>
      </x:c>
      <x:c r="F1164" s="22" t="n">
        <x:f>IF(COUNT($N$1162:$N$1166)=5,SUM($N$1162:$N$1166),"n.a.")</x:f>
        <x:v>0</x:v>
      </x:c>
      <x:c r="G1164" s="22" t="n">
        <x:f>IF(COUNT(E1164:F1164)=2,MAX(0,E1164-F1164),"n.a.")</x:f>
        <x:v>500</x:v>
      </x:c>
      <x:c r="H1164" s="26" t="str">
        <x:f>'Inputs'!C13</x:f>
        <x:v>Loan C</x:v>
      </x:c>
      <x:c r="I1164" s="26" t="n">
        <x:f>S1159</x:f>
        <x:v>0</x:v>
      </x:c>
      <x:c r="J1164" s="29" t="n">
        <x:f>IF('Inputs'!$D$9="Ready",'Inputs'!E13,"n.a.")</x:f>
        <x:v>0.08</x:v>
      </x:c>
      <x:c r="K1164" s="26" t="n">
        <x:f>IF('Inputs'!$D$9="Ready",'Inputs'!F13,"n.a.")</x:f>
        <x:v>150</x:v>
      </x:c>
      <x:c r="L1164" s="29" t="n">
        <x:f>IF('Inputs'!$D$9="Ready",'Inputs'!G13,"n.a.")</x:f>
        <x:v>0</x:v>
      </x:c>
      <x:c r="M1164" s="22" t="n">
        <x:f>IF(COUNT(I1164:L1164)=4,ROUND(I1164*J1164/12,2),"n.a.")</x:f>
        <x:v>0</x:v>
      </x:c>
      <x:c r="N1164" s="22" t="n">
        <x:f>IF(COUNT(I1164:M1164)=5,MIN(I1164+M1164,ROUND(MAX(K1164,I1164*L1164+M1164),2)),"n.a.")</x:f>
        <x:v>0</x:v>
      </x:c>
      <x:c r="O1164" s="30" t="n">
        <x:f>IF(COUNT($I$1162:$I$1166)&lt;&gt;5,"n.a.",IF(I1164=0,6,IF('Inputs'!$D$5=1,COUNTIFS($I$1162:$I$1166,"&gt;0",$I$1162:$I$1166,"&lt;"&amp;I1164)+COUNTIFS($I$1162:I1164,I1164),COUNTIFS($I$1162:$I$1166,"&gt;0",$J$1162:$J$1166,"&gt;"&amp;J1164)+COUNTIFS($I$1162:I1164,"&gt;0",$J$1162:J1164,J1164))))</x:f>
        <x:v>6</x:v>
      </x:c>
      <x:c r="P1164" s="22" t="n">
        <x:f>IF(T1164="Ready",MIN(U1164,MAX(0,G1164-SUMIFS($U$1162:$U$1166,$O$1162:$O$1166,"&lt;"&amp;O1164))),"n.a.")</x:f>
        <x:v>0</x:v>
      </x:c>
      <x:c r="Q1164" s="22" t="n">
        <x:f>IF(T1164="Ready",ROUND(N1164+P1164,2),"n.a.")</x:f>
        <x:v>0</x:v>
      </x:c>
      <x:c r="R1164" s="22" t="n">
        <x:f>IF(T1164="Ready",ROUND(Q1164-M1164,2),"n.a.")</x:f>
        <x:v>0</x:v>
      </x:c>
      <x:c r="S1164" s="22" t="n">
        <x:f>IF(T1164="Ready",MAX(0,ROUND(I1164+M1164-Q1164,2)),"n.a.")</x:f>
        <x:v>0</x:v>
      </x:c>
      <x:c r="T1164" s="22" t="str">
        <x:f>IF(AND(COUNT($I$1162:$I$1166)=5,COUNT(E1164:F1164)=2),IF(E1164&gt;=F1164,"Ready","Budget below minima"),"Check inputs")</x:f>
        <x:v>Ready</x:v>
      </x:c>
      <x:c r="U1164" s="22" t="n">
        <x:f>IF(COUNT(I1164,M1164,N1164)=3,MAX(0,ROUND(I1164+M1164-N1164,2)),"n.a.")</x:f>
        <x:v>0</x:v>
      </x:c>
    </x:row>
    <x:row r="1165" ht="22" customHeight="1">
      <x:c r="A1165" s="2"/>
      <x:c r="B1165" s="2"/>
      <x:c r="C1165" s="27" t="n">
        <x:f>232</x:f>
        <x:v>232</x:v>
      </x:c>
      <x:c r="D1165" s="28" t="n">
        <x:f>IF(ISNUMBER('Inputs'!$D$7),EDATE('Inputs'!$D$7,231),"n.a.")</x:f>
        <x:v>53359</x:v>
      </x:c>
      <x:c r="E1165" s="26" t="n">
        <x:f>IF('Inputs'!$D$9&lt;&gt;"Ready","n.a.",IF(ISNUMBER('Inputs'!E250),IF('Inputs'!E250&gt;=0,'Inputs'!E250,"n.a."),IF('Inputs'!E250="",'Inputs'!$D$6,"n.a.")))</x:f>
        <x:v>500</x:v>
      </x:c>
      <x:c r="F1165" s="22" t="n">
        <x:f>IF(COUNT($N$1162:$N$1166)=5,SUM($N$1162:$N$1166),"n.a.")</x:f>
        <x:v>0</x:v>
      </x:c>
      <x:c r="G1165" s="22" t="n">
        <x:f>IF(COUNT(E1165:F1165)=2,MAX(0,E1165-F1165),"n.a.")</x:f>
        <x:v>500</x:v>
      </x:c>
      <x:c r="H1165" s="26" t="str">
        <x:f>'Inputs'!C14</x:f>
        <x:v>Unused 4</x:v>
      </x:c>
      <x:c r="I1165" s="26" t="n">
        <x:f>S1160</x:f>
        <x:v>0</x:v>
      </x:c>
      <x:c r="J1165" s="29" t="n">
        <x:f>IF('Inputs'!$D$9="Ready",'Inputs'!E14,"n.a.")</x:f>
        <x:v>0</x:v>
      </x:c>
      <x:c r="K1165" s="26" t="n">
        <x:f>IF('Inputs'!$D$9="Ready",'Inputs'!F14,"n.a.")</x:f>
        <x:v>0</x:v>
      </x:c>
      <x:c r="L1165" s="29" t="n">
        <x:f>IF('Inputs'!$D$9="Ready",'Inputs'!G14,"n.a.")</x:f>
        <x:v>0</x:v>
      </x:c>
      <x:c r="M1165" s="22" t="n">
        <x:f>IF(COUNT(I1165:L1165)=4,ROUND(I1165*J1165/12,2),"n.a.")</x:f>
        <x:v>0</x:v>
      </x:c>
      <x:c r="N1165" s="22" t="n">
        <x:f>IF(COUNT(I1165:M1165)=5,MIN(I1165+M1165,ROUND(MAX(K1165,I1165*L1165+M1165),2)),"n.a.")</x:f>
        <x:v>0</x:v>
      </x:c>
      <x:c r="O1165" s="30" t="n">
        <x:f>IF(COUNT($I$1162:$I$1166)&lt;&gt;5,"n.a.",IF(I1165=0,6,IF('Inputs'!$D$5=1,COUNTIFS($I$1162:$I$1166,"&gt;0",$I$1162:$I$1166,"&lt;"&amp;I1165)+COUNTIFS($I$1162:I1165,I1165),COUNTIFS($I$1162:$I$1166,"&gt;0",$J$1162:$J$1166,"&gt;"&amp;J1165)+COUNTIFS($I$1162:I1165,"&gt;0",$J$1162:J1165,J1165))))</x:f>
        <x:v>6</x:v>
      </x:c>
      <x:c r="P1165" s="22" t="n">
        <x:f>IF(T1165="Ready",MIN(U1165,MAX(0,G1165-SUMIFS($U$1162:$U$1166,$O$1162:$O$1166,"&lt;"&amp;O1165))),"n.a.")</x:f>
        <x:v>0</x:v>
      </x:c>
      <x:c r="Q1165" s="22" t="n">
        <x:f>IF(T1165="Ready",ROUND(N1165+P1165,2),"n.a.")</x:f>
        <x:v>0</x:v>
      </x:c>
      <x:c r="R1165" s="22" t="n">
        <x:f>IF(T1165="Ready",ROUND(Q1165-M1165,2),"n.a.")</x:f>
        <x:v>0</x:v>
      </x:c>
      <x:c r="S1165" s="22" t="n">
        <x:f>IF(T1165="Ready",MAX(0,ROUND(I1165+M1165-Q1165,2)),"n.a.")</x:f>
        <x:v>0</x:v>
      </x:c>
      <x:c r="T1165" s="22" t="str">
        <x:f>IF(AND(COUNT($I$1162:$I$1166)=5,COUNT(E1165:F1165)=2),IF(E1165&gt;=F1165,"Ready","Budget below minima"),"Check inputs")</x:f>
        <x:v>Ready</x:v>
      </x:c>
      <x:c r="U1165" s="22" t="n">
        <x:f>IF(COUNT(I1165,M1165,N1165)=3,MAX(0,ROUND(I1165+M1165-N1165,2)),"n.a.")</x:f>
        <x:v>0</x:v>
      </x:c>
    </x:row>
    <x:row r="1166" ht="22" customHeight="1">
      <x:c r="A1166" s="2"/>
      <x:c r="B1166" s="2"/>
      <x:c r="C1166" s="27" t="n">
        <x:f>232</x:f>
        <x:v>232</x:v>
      </x:c>
      <x:c r="D1166" s="28" t="n">
        <x:f>IF(ISNUMBER('Inputs'!$D$7),EDATE('Inputs'!$D$7,231),"n.a.")</x:f>
        <x:v>53359</x:v>
      </x:c>
      <x:c r="E1166" s="26" t="n">
        <x:f>IF('Inputs'!$D$9&lt;&gt;"Ready","n.a.",IF(ISNUMBER('Inputs'!E250),IF('Inputs'!E250&gt;=0,'Inputs'!E250,"n.a."),IF('Inputs'!E250="",'Inputs'!$D$6,"n.a.")))</x:f>
        <x:v>500</x:v>
      </x:c>
      <x:c r="F1166" s="22" t="n">
        <x:f>IF(COUNT($N$1162:$N$1166)=5,SUM($N$1162:$N$1166),"n.a.")</x:f>
        <x:v>0</x:v>
      </x:c>
      <x:c r="G1166" s="22" t="n">
        <x:f>IF(COUNT(E1166:F1166)=2,MAX(0,E1166-F1166),"n.a.")</x:f>
        <x:v>500</x:v>
      </x:c>
      <x:c r="H1166" s="26" t="str">
        <x:f>'Inputs'!C15</x:f>
        <x:v>Unused 5</x:v>
      </x:c>
      <x:c r="I1166" s="26" t="n">
        <x:f>S1161</x:f>
        <x:v>0</x:v>
      </x:c>
      <x:c r="J1166" s="29" t="n">
        <x:f>IF('Inputs'!$D$9="Ready",'Inputs'!E15,"n.a.")</x:f>
        <x:v>0</x:v>
      </x:c>
      <x:c r="K1166" s="26" t="n">
        <x:f>IF('Inputs'!$D$9="Ready",'Inputs'!F15,"n.a.")</x:f>
        <x:v>0</x:v>
      </x:c>
      <x:c r="L1166" s="29" t="n">
        <x:f>IF('Inputs'!$D$9="Ready",'Inputs'!G15,"n.a.")</x:f>
        <x:v>0</x:v>
      </x:c>
      <x:c r="M1166" s="22" t="n">
        <x:f>IF(COUNT(I1166:L1166)=4,ROUND(I1166*J1166/12,2),"n.a.")</x:f>
        <x:v>0</x:v>
      </x:c>
      <x:c r="N1166" s="22" t="n">
        <x:f>IF(COUNT(I1166:M1166)=5,MIN(I1166+M1166,ROUND(MAX(K1166,I1166*L1166+M1166),2)),"n.a.")</x:f>
        <x:v>0</x:v>
      </x:c>
      <x:c r="O1166" s="30" t="n">
        <x:f>IF(COUNT($I$1162:$I$1166)&lt;&gt;5,"n.a.",IF(I1166=0,6,IF('Inputs'!$D$5=1,COUNTIFS($I$1162:$I$1166,"&gt;0",$I$1162:$I$1166,"&lt;"&amp;I1166)+COUNTIFS($I$1162:I1166,I1166),COUNTIFS($I$1162:$I$1166,"&gt;0",$J$1162:$J$1166,"&gt;"&amp;J1166)+COUNTIFS($I$1162:I1166,"&gt;0",$J$1162:J1166,J1166))))</x:f>
        <x:v>6</x:v>
      </x:c>
      <x:c r="P1166" s="22" t="n">
        <x:f>IF(T1166="Ready",MIN(U1166,MAX(0,G1166-SUMIFS($U$1162:$U$1166,$O$1162:$O$1166,"&lt;"&amp;O1166))),"n.a.")</x:f>
        <x:v>0</x:v>
      </x:c>
      <x:c r="Q1166" s="22" t="n">
        <x:f>IF(T1166="Ready",ROUND(N1166+P1166,2),"n.a.")</x:f>
        <x:v>0</x:v>
      </x:c>
      <x:c r="R1166" s="22" t="n">
        <x:f>IF(T1166="Ready",ROUND(Q1166-M1166,2),"n.a.")</x:f>
        <x:v>0</x:v>
      </x:c>
      <x:c r="S1166" s="22" t="n">
        <x:f>IF(T1166="Ready",MAX(0,ROUND(I1166+M1166-Q1166,2)),"n.a.")</x:f>
        <x:v>0</x:v>
      </x:c>
      <x:c r="T1166" s="22" t="str">
        <x:f>IF(AND(COUNT($I$1162:$I$1166)=5,COUNT(E1166:F1166)=2),IF(E1166&gt;=F1166,"Ready","Budget below minima"),"Check inputs")</x:f>
        <x:v>Ready</x:v>
      </x:c>
      <x:c r="U1166" s="22" t="n">
        <x:f>IF(COUNT(I1166,M1166,N1166)=3,MAX(0,ROUND(I1166+M1166-N1166,2)),"n.a.")</x:f>
        <x:v>0</x:v>
      </x:c>
    </x:row>
    <x:row r="1167" ht="22" customHeight="1">
      <x:c r="A1167" s="2"/>
      <x:c r="B1167" s="2"/>
      <x:c r="C1167" s="27" t="n">
        <x:f>233</x:f>
        <x:v>233</x:v>
      </x:c>
      <x:c r="D1167" s="28" t="n">
        <x:f>IF(ISNUMBER('Inputs'!$D$7),EDATE('Inputs'!$D$7,232),"n.a.")</x:f>
        <x:v>53387</x:v>
      </x:c>
      <x:c r="E1167" s="26" t="n">
        <x:f>IF('Inputs'!$D$9&lt;&gt;"Ready","n.a.",IF(ISNUMBER('Inputs'!E251),IF('Inputs'!E251&gt;=0,'Inputs'!E251,"n.a."),IF('Inputs'!E251="",'Inputs'!$D$6,"n.a.")))</x:f>
        <x:v>500</x:v>
      </x:c>
      <x:c r="F1167" s="22" t="n">
        <x:f>IF(COUNT($N$1167:$N$1171)=5,SUM($N$1167:$N$1171),"n.a.")</x:f>
        <x:v>0</x:v>
      </x:c>
      <x:c r="G1167" s="22" t="n">
        <x:f>IF(COUNT(E1167:F1167)=2,MAX(0,E1167-F1167),"n.a.")</x:f>
        <x:v>500</x:v>
      </x:c>
      <x:c r="H1167" s="26" t="str">
        <x:f>'Inputs'!C11</x:f>
        <x:v>Card A</x:v>
      </x:c>
      <x:c r="I1167" s="26" t="n">
        <x:f>S1162</x:f>
        <x:v>0</x:v>
      </x:c>
      <x:c r="J1167" s="29" t="n">
        <x:f>IF('Inputs'!$D$9="Ready",'Inputs'!E11,"n.a.")</x:f>
        <x:v>0.24</x:v>
      </x:c>
      <x:c r="K1167" s="26" t="n">
        <x:f>IF('Inputs'!$D$9="Ready",'Inputs'!F11,"n.a.")</x:f>
        <x:v>35</x:v>
      </x:c>
      <x:c r="L1167" s="29" t="n">
        <x:f>IF('Inputs'!$D$9="Ready",'Inputs'!G11,"n.a.")</x:f>
        <x:v>0.02</x:v>
      </x:c>
      <x:c r="M1167" s="22" t="n">
        <x:f>IF(COUNT(I1167:L1167)=4,ROUND(I1167*J1167/12,2),"n.a.")</x:f>
        <x:v>0</x:v>
      </x:c>
      <x:c r="N1167" s="22" t="n">
        <x:f>IF(COUNT(I1167:M1167)=5,MIN(I1167+M1167,ROUND(MAX(K1167,I1167*L1167+M1167),2)),"n.a.")</x:f>
        <x:v>0</x:v>
      </x:c>
      <x:c r="O1167" s="30" t="n">
        <x:f>IF(COUNT($I$1167:$I$1171)&lt;&gt;5,"n.a.",IF(I1167=0,6,IF('Inputs'!$D$5=1,COUNTIFS($I$1167:$I$1171,"&gt;0",$I$1167:$I$1171,"&lt;"&amp;I1167)+COUNTIFS($I$1167:I1167,I1167),COUNTIFS($I$1167:$I$1171,"&gt;0",$J$1167:$J$1171,"&gt;"&amp;J1167)+COUNTIFS($I$1167:I1167,"&gt;0",$J$1167:J1167,J1167))))</x:f>
        <x:v>6</x:v>
      </x:c>
      <x:c r="P1167" s="22" t="n">
        <x:f>IF(T1167="Ready",MIN(U1167,MAX(0,G1167-SUMIFS($U$1167:$U$1171,$O$1167:$O$1171,"&lt;"&amp;O1167))),"n.a.")</x:f>
        <x:v>0</x:v>
      </x:c>
      <x:c r="Q1167" s="22" t="n">
        <x:f>IF(T1167="Ready",ROUND(N1167+P1167,2),"n.a.")</x:f>
        <x:v>0</x:v>
      </x:c>
      <x:c r="R1167" s="22" t="n">
        <x:f>IF(T1167="Ready",ROUND(Q1167-M1167,2),"n.a.")</x:f>
        <x:v>0</x:v>
      </x:c>
      <x:c r="S1167" s="22" t="n">
        <x:f>IF(T1167="Ready",MAX(0,ROUND(I1167+M1167-Q1167,2)),"n.a.")</x:f>
        <x:v>0</x:v>
      </x:c>
      <x:c r="T1167" s="22" t="str">
        <x:f>IF(AND(COUNT($I$1167:$I$1171)=5,COUNT(E1167:F1167)=2),IF(E1167&gt;=F1167,"Ready","Budget below minima"),"Check inputs")</x:f>
        <x:v>Ready</x:v>
      </x:c>
      <x:c r="U1167" s="22" t="n">
        <x:f>IF(COUNT(I1167,M1167,N1167)=3,MAX(0,ROUND(I1167+M1167-N1167,2)),"n.a.")</x:f>
        <x:v>0</x:v>
      </x:c>
    </x:row>
    <x:row r="1168" ht="22" customHeight="1">
      <x:c r="A1168" s="2"/>
      <x:c r="B1168" s="2"/>
      <x:c r="C1168" s="27" t="n">
        <x:f>233</x:f>
        <x:v>233</x:v>
      </x:c>
      <x:c r="D1168" s="28" t="n">
        <x:f>IF(ISNUMBER('Inputs'!$D$7),EDATE('Inputs'!$D$7,232),"n.a.")</x:f>
        <x:v>53387</x:v>
      </x:c>
      <x:c r="E1168" s="26" t="n">
        <x:f>IF('Inputs'!$D$9&lt;&gt;"Ready","n.a.",IF(ISNUMBER('Inputs'!E251),IF('Inputs'!E251&gt;=0,'Inputs'!E251,"n.a."),IF('Inputs'!E251="",'Inputs'!$D$6,"n.a.")))</x:f>
        <x:v>500</x:v>
      </x:c>
      <x:c r="F1168" s="22" t="n">
        <x:f>IF(COUNT($N$1167:$N$1171)=5,SUM($N$1167:$N$1171),"n.a.")</x:f>
        <x:v>0</x:v>
      </x:c>
      <x:c r="G1168" s="22" t="n">
        <x:f>IF(COUNT(E1168:F1168)=2,MAX(0,E1168-F1168),"n.a.")</x:f>
        <x:v>500</x:v>
      </x:c>
      <x:c r="H1168" s="26" t="str">
        <x:f>'Inputs'!C12</x:f>
        <x:v>Card B</x:v>
      </x:c>
      <x:c r="I1168" s="26" t="n">
        <x:f>S1163</x:f>
        <x:v>0</x:v>
      </x:c>
      <x:c r="J1168" s="29" t="n">
        <x:f>IF('Inputs'!$D$9="Ready",'Inputs'!E12,"n.a.")</x:f>
        <x:v>0.18</x:v>
      </x:c>
      <x:c r="K1168" s="26" t="n">
        <x:f>IF('Inputs'!$D$9="Ready",'Inputs'!F12,"n.a.")</x:f>
        <x:v>60</x:v>
      </x:c>
      <x:c r="L1168" s="29" t="n">
        <x:f>IF('Inputs'!$D$9="Ready",'Inputs'!G12,"n.a.")</x:f>
        <x:v>0.02</x:v>
      </x:c>
      <x:c r="M1168" s="22" t="n">
        <x:f>IF(COUNT(I1168:L1168)=4,ROUND(I1168*J1168/12,2),"n.a.")</x:f>
        <x:v>0</x:v>
      </x:c>
      <x:c r="N1168" s="22" t="n">
        <x:f>IF(COUNT(I1168:M1168)=5,MIN(I1168+M1168,ROUND(MAX(K1168,I1168*L1168+M1168),2)),"n.a.")</x:f>
        <x:v>0</x:v>
      </x:c>
      <x:c r="O1168" s="30" t="n">
        <x:f>IF(COUNT($I$1167:$I$1171)&lt;&gt;5,"n.a.",IF(I1168=0,6,IF('Inputs'!$D$5=1,COUNTIFS($I$1167:$I$1171,"&gt;0",$I$1167:$I$1171,"&lt;"&amp;I1168)+COUNTIFS($I$1167:I1168,I1168),COUNTIFS($I$1167:$I$1171,"&gt;0",$J$1167:$J$1171,"&gt;"&amp;J1168)+COUNTIFS($I$1167:I1168,"&gt;0",$J$1167:J1168,J1168))))</x:f>
        <x:v>6</x:v>
      </x:c>
      <x:c r="P1168" s="22" t="n">
        <x:f>IF(T1168="Ready",MIN(U1168,MAX(0,G1168-SUMIFS($U$1167:$U$1171,$O$1167:$O$1171,"&lt;"&amp;O1168))),"n.a.")</x:f>
        <x:v>0</x:v>
      </x:c>
      <x:c r="Q1168" s="22" t="n">
        <x:f>IF(T1168="Ready",ROUND(N1168+P1168,2),"n.a.")</x:f>
        <x:v>0</x:v>
      </x:c>
      <x:c r="R1168" s="22" t="n">
        <x:f>IF(T1168="Ready",ROUND(Q1168-M1168,2),"n.a.")</x:f>
        <x:v>0</x:v>
      </x:c>
      <x:c r="S1168" s="22" t="n">
        <x:f>IF(T1168="Ready",MAX(0,ROUND(I1168+M1168-Q1168,2)),"n.a.")</x:f>
        <x:v>0</x:v>
      </x:c>
      <x:c r="T1168" s="22" t="str">
        <x:f>IF(AND(COUNT($I$1167:$I$1171)=5,COUNT(E1168:F1168)=2),IF(E1168&gt;=F1168,"Ready","Budget below minima"),"Check inputs")</x:f>
        <x:v>Ready</x:v>
      </x:c>
      <x:c r="U1168" s="22" t="n">
        <x:f>IF(COUNT(I1168,M1168,N1168)=3,MAX(0,ROUND(I1168+M1168-N1168,2)),"n.a.")</x:f>
        <x:v>0</x:v>
      </x:c>
    </x:row>
    <x:row r="1169" ht="22" customHeight="1">
      <x:c r="A1169" s="2"/>
      <x:c r="B1169" s="2"/>
      <x:c r="C1169" s="27" t="n">
        <x:f>233</x:f>
        <x:v>233</x:v>
      </x:c>
      <x:c r="D1169" s="28" t="n">
        <x:f>IF(ISNUMBER('Inputs'!$D$7),EDATE('Inputs'!$D$7,232),"n.a.")</x:f>
        <x:v>53387</x:v>
      </x:c>
      <x:c r="E1169" s="26" t="n">
        <x:f>IF('Inputs'!$D$9&lt;&gt;"Ready","n.a.",IF(ISNUMBER('Inputs'!E251),IF('Inputs'!E251&gt;=0,'Inputs'!E251,"n.a."),IF('Inputs'!E251="",'Inputs'!$D$6,"n.a.")))</x:f>
        <x:v>500</x:v>
      </x:c>
      <x:c r="F1169" s="22" t="n">
        <x:f>IF(COUNT($N$1167:$N$1171)=5,SUM($N$1167:$N$1171),"n.a.")</x:f>
        <x:v>0</x:v>
      </x:c>
      <x:c r="G1169" s="22" t="n">
        <x:f>IF(COUNT(E1169:F1169)=2,MAX(0,E1169-F1169),"n.a.")</x:f>
        <x:v>500</x:v>
      </x:c>
      <x:c r="H1169" s="26" t="str">
        <x:f>'Inputs'!C13</x:f>
        <x:v>Loan C</x:v>
      </x:c>
      <x:c r="I1169" s="26" t="n">
        <x:f>S1164</x:f>
        <x:v>0</x:v>
      </x:c>
      <x:c r="J1169" s="29" t="n">
        <x:f>IF('Inputs'!$D$9="Ready",'Inputs'!E13,"n.a.")</x:f>
        <x:v>0.08</x:v>
      </x:c>
      <x:c r="K1169" s="26" t="n">
        <x:f>IF('Inputs'!$D$9="Ready",'Inputs'!F13,"n.a.")</x:f>
        <x:v>150</x:v>
      </x:c>
      <x:c r="L1169" s="29" t="n">
        <x:f>IF('Inputs'!$D$9="Ready",'Inputs'!G13,"n.a.")</x:f>
        <x:v>0</x:v>
      </x:c>
      <x:c r="M1169" s="22" t="n">
        <x:f>IF(COUNT(I1169:L1169)=4,ROUND(I1169*J1169/12,2),"n.a.")</x:f>
        <x:v>0</x:v>
      </x:c>
      <x:c r="N1169" s="22" t="n">
        <x:f>IF(COUNT(I1169:M1169)=5,MIN(I1169+M1169,ROUND(MAX(K1169,I1169*L1169+M1169),2)),"n.a.")</x:f>
        <x:v>0</x:v>
      </x:c>
      <x:c r="O1169" s="30" t="n">
        <x:f>IF(COUNT($I$1167:$I$1171)&lt;&gt;5,"n.a.",IF(I1169=0,6,IF('Inputs'!$D$5=1,COUNTIFS($I$1167:$I$1171,"&gt;0",$I$1167:$I$1171,"&lt;"&amp;I1169)+COUNTIFS($I$1167:I1169,I1169),COUNTIFS($I$1167:$I$1171,"&gt;0",$J$1167:$J$1171,"&gt;"&amp;J1169)+COUNTIFS($I$1167:I1169,"&gt;0",$J$1167:J1169,J1169))))</x:f>
        <x:v>6</x:v>
      </x:c>
      <x:c r="P1169" s="22" t="n">
        <x:f>IF(T1169="Ready",MIN(U1169,MAX(0,G1169-SUMIFS($U$1167:$U$1171,$O$1167:$O$1171,"&lt;"&amp;O1169))),"n.a.")</x:f>
        <x:v>0</x:v>
      </x:c>
      <x:c r="Q1169" s="22" t="n">
        <x:f>IF(T1169="Ready",ROUND(N1169+P1169,2),"n.a.")</x:f>
        <x:v>0</x:v>
      </x:c>
      <x:c r="R1169" s="22" t="n">
        <x:f>IF(T1169="Ready",ROUND(Q1169-M1169,2),"n.a.")</x:f>
        <x:v>0</x:v>
      </x:c>
      <x:c r="S1169" s="22" t="n">
        <x:f>IF(T1169="Ready",MAX(0,ROUND(I1169+M1169-Q1169,2)),"n.a.")</x:f>
        <x:v>0</x:v>
      </x:c>
      <x:c r="T1169" s="22" t="str">
        <x:f>IF(AND(COUNT($I$1167:$I$1171)=5,COUNT(E1169:F1169)=2),IF(E1169&gt;=F1169,"Ready","Budget below minima"),"Check inputs")</x:f>
        <x:v>Ready</x:v>
      </x:c>
      <x:c r="U1169" s="22" t="n">
        <x:f>IF(COUNT(I1169,M1169,N1169)=3,MAX(0,ROUND(I1169+M1169-N1169,2)),"n.a.")</x:f>
        <x:v>0</x:v>
      </x:c>
    </x:row>
    <x:row r="1170" ht="22" customHeight="1">
      <x:c r="A1170" s="2"/>
      <x:c r="B1170" s="2"/>
      <x:c r="C1170" s="27" t="n">
        <x:f>233</x:f>
        <x:v>233</x:v>
      </x:c>
      <x:c r="D1170" s="28" t="n">
        <x:f>IF(ISNUMBER('Inputs'!$D$7),EDATE('Inputs'!$D$7,232),"n.a.")</x:f>
        <x:v>53387</x:v>
      </x:c>
      <x:c r="E1170" s="26" t="n">
        <x:f>IF('Inputs'!$D$9&lt;&gt;"Ready","n.a.",IF(ISNUMBER('Inputs'!E251),IF('Inputs'!E251&gt;=0,'Inputs'!E251,"n.a."),IF('Inputs'!E251="",'Inputs'!$D$6,"n.a.")))</x:f>
        <x:v>500</x:v>
      </x:c>
      <x:c r="F1170" s="22" t="n">
        <x:f>IF(COUNT($N$1167:$N$1171)=5,SUM($N$1167:$N$1171),"n.a.")</x:f>
        <x:v>0</x:v>
      </x:c>
      <x:c r="G1170" s="22" t="n">
        <x:f>IF(COUNT(E1170:F1170)=2,MAX(0,E1170-F1170),"n.a.")</x:f>
        <x:v>500</x:v>
      </x:c>
      <x:c r="H1170" s="26" t="str">
        <x:f>'Inputs'!C14</x:f>
        <x:v>Unused 4</x:v>
      </x:c>
      <x:c r="I1170" s="26" t="n">
        <x:f>S1165</x:f>
        <x:v>0</x:v>
      </x:c>
      <x:c r="J1170" s="29" t="n">
        <x:f>IF('Inputs'!$D$9="Ready",'Inputs'!E14,"n.a.")</x:f>
        <x:v>0</x:v>
      </x:c>
      <x:c r="K1170" s="26" t="n">
        <x:f>IF('Inputs'!$D$9="Ready",'Inputs'!F14,"n.a.")</x:f>
        <x:v>0</x:v>
      </x:c>
      <x:c r="L1170" s="29" t="n">
        <x:f>IF('Inputs'!$D$9="Ready",'Inputs'!G14,"n.a.")</x:f>
        <x:v>0</x:v>
      </x:c>
      <x:c r="M1170" s="22" t="n">
        <x:f>IF(COUNT(I1170:L1170)=4,ROUND(I1170*J1170/12,2),"n.a.")</x:f>
        <x:v>0</x:v>
      </x:c>
      <x:c r="N1170" s="22" t="n">
        <x:f>IF(COUNT(I1170:M1170)=5,MIN(I1170+M1170,ROUND(MAX(K1170,I1170*L1170+M1170),2)),"n.a.")</x:f>
        <x:v>0</x:v>
      </x:c>
      <x:c r="O1170" s="30" t="n">
        <x:f>IF(COUNT($I$1167:$I$1171)&lt;&gt;5,"n.a.",IF(I1170=0,6,IF('Inputs'!$D$5=1,COUNTIFS($I$1167:$I$1171,"&gt;0",$I$1167:$I$1171,"&lt;"&amp;I1170)+COUNTIFS($I$1167:I1170,I1170),COUNTIFS($I$1167:$I$1171,"&gt;0",$J$1167:$J$1171,"&gt;"&amp;J1170)+COUNTIFS($I$1167:I1170,"&gt;0",$J$1167:J1170,J1170))))</x:f>
        <x:v>6</x:v>
      </x:c>
      <x:c r="P1170" s="22" t="n">
        <x:f>IF(T1170="Ready",MIN(U1170,MAX(0,G1170-SUMIFS($U$1167:$U$1171,$O$1167:$O$1171,"&lt;"&amp;O1170))),"n.a.")</x:f>
        <x:v>0</x:v>
      </x:c>
      <x:c r="Q1170" s="22" t="n">
        <x:f>IF(T1170="Ready",ROUND(N1170+P1170,2),"n.a.")</x:f>
        <x:v>0</x:v>
      </x:c>
      <x:c r="R1170" s="22" t="n">
        <x:f>IF(T1170="Ready",ROUND(Q1170-M1170,2),"n.a.")</x:f>
        <x:v>0</x:v>
      </x:c>
      <x:c r="S1170" s="22" t="n">
        <x:f>IF(T1170="Ready",MAX(0,ROUND(I1170+M1170-Q1170,2)),"n.a.")</x:f>
        <x:v>0</x:v>
      </x:c>
      <x:c r="T1170" s="22" t="str">
        <x:f>IF(AND(COUNT($I$1167:$I$1171)=5,COUNT(E1170:F1170)=2),IF(E1170&gt;=F1170,"Ready","Budget below minima"),"Check inputs")</x:f>
        <x:v>Ready</x:v>
      </x:c>
      <x:c r="U1170" s="22" t="n">
        <x:f>IF(COUNT(I1170,M1170,N1170)=3,MAX(0,ROUND(I1170+M1170-N1170,2)),"n.a.")</x:f>
        <x:v>0</x:v>
      </x:c>
    </x:row>
    <x:row r="1171" ht="22" customHeight="1">
      <x:c r="A1171" s="2"/>
      <x:c r="B1171" s="2"/>
      <x:c r="C1171" s="27" t="n">
        <x:f>233</x:f>
        <x:v>233</x:v>
      </x:c>
      <x:c r="D1171" s="28" t="n">
        <x:f>IF(ISNUMBER('Inputs'!$D$7),EDATE('Inputs'!$D$7,232),"n.a.")</x:f>
        <x:v>53387</x:v>
      </x:c>
      <x:c r="E1171" s="26" t="n">
        <x:f>IF('Inputs'!$D$9&lt;&gt;"Ready","n.a.",IF(ISNUMBER('Inputs'!E251),IF('Inputs'!E251&gt;=0,'Inputs'!E251,"n.a."),IF('Inputs'!E251="",'Inputs'!$D$6,"n.a.")))</x:f>
        <x:v>500</x:v>
      </x:c>
      <x:c r="F1171" s="22" t="n">
        <x:f>IF(COUNT($N$1167:$N$1171)=5,SUM($N$1167:$N$1171),"n.a.")</x:f>
        <x:v>0</x:v>
      </x:c>
      <x:c r="G1171" s="22" t="n">
        <x:f>IF(COUNT(E1171:F1171)=2,MAX(0,E1171-F1171),"n.a.")</x:f>
        <x:v>500</x:v>
      </x:c>
      <x:c r="H1171" s="26" t="str">
        <x:f>'Inputs'!C15</x:f>
        <x:v>Unused 5</x:v>
      </x:c>
      <x:c r="I1171" s="26" t="n">
        <x:f>S1166</x:f>
        <x:v>0</x:v>
      </x:c>
      <x:c r="J1171" s="29" t="n">
        <x:f>IF('Inputs'!$D$9="Ready",'Inputs'!E15,"n.a.")</x:f>
        <x:v>0</x:v>
      </x:c>
      <x:c r="K1171" s="26" t="n">
        <x:f>IF('Inputs'!$D$9="Ready",'Inputs'!F15,"n.a.")</x:f>
        <x:v>0</x:v>
      </x:c>
      <x:c r="L1171" s="29" t="n">
        <x:f>IF('Inputs'!$D$9="Ready",'Inputs'!G15,"n.a.")</x:f>
        <x:v>0</x:v>
      </x:c>
      <x:c r="M1171" s="22" t="n">
        <x:f>IF(COUNT(I1171:L1171)=4,ROUND(I1171*J1171/12,2),"n.a.")</x:f>
        <x:v>0</x:v>
      </x:c>
      <x:c r="N1171" s="22" t="n">
        <x:f>IF(COUNT(I1171:M1171)=5,MIN(I1171+M1171,ROUND(MAX(K1171,I1171*L1171+M1171),2)),"n.a.")</x:f>
        <x:v>0</x:v>
      </x:c>
      <x:c r="O1171" s="30" t="n">
        <x:f>IF(COUNT($I$1167:$I$1171)&lt;&gt;5,"n.a.",IF(I1171=0,6,IF('Inputs'!$D$5=1,COUNTIFS($I$1167:$I$1171,"&gt;0",$I$1167:$I$1171,"&lt;"&amp;I1171)+COUNTIFS($I$1167:I1171,I1171),COUNTIFS($I$1167:$I$1171,"&gt;0",$J$1167:$J$1171,"&gt;"&amp;J1171)+COUNTIFS($I$1167:I1171,"&gt;0",$J$1167:J1171,J1171))))</x:f>
        <x:v>6</x:v>
      </x:c>
      <x:c r="P1171" s="22" t="n">
        <x:f>IF(T1171="Ready",MIN(U1171,MAX(0,G1171-SUMIFS($U$1167:$U$1171,$O$1167:$O$1171,"&lt;"&amp;O1171))),"n.a.")</x:f>
        <x:v>0</x:v>
      </x:c>
      <x:c r="Q1171" s="22" t="n">
        <x:f>IF(T1171="Ready",ROUND(N1171+P1171,2),"n.a.")</x:f>
        <x:v>0</x:v>
      </x:c>
      <x:c r="R1171" s="22" t="n">
        <x:f>IF(T1171="Ready",ROUND(Q1171-M1171,2),"n.a.")</x:f>
        <x:v>0</x:v>
      </x:c>
      <x:c r="S1171" s="22" t="n">
        <x:f>IF(T1171="Ready",MAX(0,ROUND(I1171+M1171-Q1171,2)),"n.a.")</x:f>
        <x:v>0</x:v>
      </x:c>
      <x:c r="T1171" s="22" t="str">
        <x:f>IF(AND(COUNT($I$1167:$I$1171)=5,COUNT(E1171:F1171)=2),IF(E1171&gt;=F1171,"Ready","Budget below minima"),"Check inputs")</x:f>
        <x:v>Ready</x:v>
      </x:c>
      <x:c r="U1171" s="22" t="n">
        <x:f>IF(COUNT(I1171,M1171,N1171)=3,MAX(0,ROUND(I1171+M1171-N1171,2)),"n.a.")</x:f>
        <x:v>0</x:v>
      </x:c>
    </x:row>
    <x:row r="1172" ht="22" customHeight="1">
      <x:c r="A1172" s="2"/>
      <x:c r="B1172" s="2"/>
      <x:c r="C1172" s="27" t="n">
        <x:f>234</x:f>
        <x:v>234</x:v>
      </x:c>
      <x:c r="D1172" s="28" t="n">
        <x:f>IF(ISNUMBER('Inputs'!$D$7),EDATE('Inputs'!$D$7,233),"n.a.")</x:f>
        <x:v>53418</x:v>
      </x:c>
      <x:c r="E1172" s="26" t="n">
        <x:f>IF('Inputs'!$D$9&lt;&gt;"Ready","n.a.",IF(ISNUMBER('Inputs'!E252),IF('Inputs'!E252&gt;=0,'Inputs'!E252,"n.a."),IF('Inputs'!E252="",'Inputs'!$D$6,"n.a.")))</x:f>
        <x:v>500</x:v>
      </x:c>
      <x:c r="F1172" s="22" t="n">
        <x:f>IF(COUNT($N$1172:$N$1176)=5,SUM($N$1172:$N$1176),"n.a.")</x:f>
        <x:v>0</x:v>
      </x:c>
      <x:c r="G1172" s="22" t="n">
        <x:f>IF(COUNT(E1172:F1172)=2,MAX(0,E1172-F1172),"n.a.")</x:f>
        <x:v>500</x:v>
      </x:c>
      <x:c r="H1172" s="26" t="str">
        <x:f>'Inputs'!C11</x:f>
        <x:v>Card A</x:v>
      </x:c>
      <x:c r="I1172" s="26" t="n">
        <x:f>S1167</x:f>
        <x:v>0</x:v>
      </x:c>
      <x:c r="J1172" s="29" t="n">
        <x:f>IF('Inputs'!$D$9="Ready",'Inputs'!E11,"n.a.")</x:f>
        <x:v>0.24</x:v>
      </x:c>
      <x:c r="K1172" s="26" t="n">
        <x:f>IF('Inputs'!$D$9="Ready",'Inputs'!F11,"n.a.")</x:f>
        <x:v>35</x:v>
      </x:c>
      <x:c r="L1172" s="29" t="n">
        <x:f>IF('Inputs'!$D$9="Ready",'Inputs'!G11,"n.a.")</x:f>
        <x:v>0.02</x:v>
      </x:c>
      <x:c r="M1172" s="22" t="n">
        <x:f>IF(COUNT(I1172:L1172)=4,ROUND(I1172*J1172/12,2),"n.a.")</x:f>
        <x:v>0</x:v>
      </x:c>
      <x:c r="N1172" s="22" t="n">
        <x:f>IF(COUNT(I1172:M1172)=5,MIN(I1172+M1172,ROUND(MAX(K1172,I1172*L1172+M1172),2)),"n.a.")</x:f>
        <x:v>0</x:v>
      </x:c>
      <x:c r="O1172" s="30" t="n">
        <x:f>IF(COUNT($I$1172:$I$1176)&lt;&gt;5,"n.a.",IF(I1172=0,6,IF('Inputs'!$D$5=1,COUNTIFS($I$1172:$I$1176,"&gt;0",$I$1172:$I$1176,"&lt;"&amp;I1172)+COUNTIFS($I$1172:I1172,I1172),COUNTIFS($I$1172:$I$1176,"&gt;0",$J$1172:$J$1176,"&gt;"&amp;J1172)+COUNTIFS($I$1172:I1172,"&gt;0",$J$1172:J1172,J1172))))</x:f>
        <x:v>6</x:v>
      </x:c>
      <x:c r="P1172" s="22" t="n">
        <x:f>IF(T1172="Ready",MIN(U1172,MAX(0,G1172-SUMIFS($U$1172:$U$1176,$O$1172:$O$1176,"&lt;"&amp;O1172))),"n.a.")</x:f>
        <x:v>0</x:v>
      </x:c>
      <x:c r="Q1172" s="22" t="n">
        <x:f>IF(T1172="Ready",ROUND(N1172+P1172,2),"n.a.")</x:f>
        <x:v>0</x:v>
      </x:c>
      <x:c r="R1172" s="22" t="n">
        <x:f>IF(T1172="Ready",ROUND(Q1172-M1172,2),"n.a.")</x:f>
        <x:v>0</x:v>
      </x:c>
      <x:c r="S1172" s="22" t="n">
        <x:f>IF(T1172="Ready",MAX(0,ROUND(I1172+M1172-Q1172,2)),"n.a.")</x:f>
        <x:v>0</x:v>
      </x:c>
      <x:c r="T1172" s="22" t="str">
        <x:f>IF(AND(COUNT($I$1172:$I$1176)=5,COUNT(E1172:F1172)=2),IF(E1172&gt;=F1172,"Ready","Budget below minima"),"Check inputs")</x:f>
        <x:v>Ready</x:v>
      </x:c>
      <x:c r="U1172" s="22" t="n">
        <x:f>IF(COUNT(I1172,M1172,N1172)=3,MAX(0,ROUND(I1172+M1172-N1172,2)),"n.a.")</x:f>
        <x:v>0</x:v>
      </x:c>
    </x:row>
    <x:row r="1173" ht="22" customHeight="1">
      <x:c r="A1173" s="2"/>
      <x:c r="B1173" s="2"/>
      <x:c r="C1173" s="27" t="n">
        <x:f>234</x:f>
        <x:v>234</x:v>
      </x:c>
      <x:c r="D1173" s="28" t="n">
        <x:f>IF(ISNUMBER('Inputs'!$D$7),EDATE('Inputs'!$D$7,233),"n.a.")</x:f>
        <x:v>53418</x:v>
      </x:c>
      <x:c r="E1173" s="26" t="n">
        <x:f>IF('Inputs'!$D$9&lt;&gt;"Ready","n.a.",IF(ISNUMBER('Inputs'!E252),IF('Inputs'!E252&gt;=0,'Inputs'!E252,"n.a."),IF('Inputs'!E252="",'Inputs'!$D$6,"n.a.")))</x:f>
        <x:v>500</x:v>
      </x:c>
      <x:c r="F1173" s="22" t="n">
        <x:f>IF(COUNT($N$1172:$N$1176)=5,SUM($N$1172:$N$1176),"n.a.")</x:f>
        <x:v>0</x:v>
      </x:c>
      <x:c r="G1173" s="22" t="n">
        <x:f>IF(COUNT(E1173:F1173)=2,MAX(0,E1173-F1173),"n.a.")</x:f>
        <x:v>500</x:v>
      </x:c>
      <x:c r="H1173" s="26" t="str">
        <x:f>'Inputs'!C12</x:f>
        <x:v>Card B</x:v>
      </x:c>
      <x:c r="I1173" s="26" t="n">
        <x:f>S1168</x:f>
        <x:v>0</x:v>
      </x:c>
      <x:c r="J1173" s="29" t="n">
        <x:f>IF('Inputs'!$D$9="Ready",'Inputs'!E12,"n.a.")</x:f>
        <x:v>0.18</x:v>
      </x:c>
      <x:c r="K1173" s="26" t="n">
        <x:f>IF('Inputs'!$D$9="Ready",'Inputs'!F12,"n.a.")</x:f>
        <x:v>60</x:v>
      </x:c>
      <x:c r="L1173" s="29" t="n">
        <x:f>IF('Inputs'!$D$9="Ready",'Inputs'!G12,"n.a.")</x:f>
        <x:v>0.02</x:v>
      </x:c>
      <x:c r="M1173" s="22" t="n">
        <x:f>IF(COUNT(I1173:L1173)=4,ROUND(I1173*J1173/12,2),"n.a.")</x:f>
        <x:v>0</x:v>
      </x:c>
      <x:c r="N1173" s="22" t="n">
        <x:f>IF(COUNT(I1173:M1173)=5,MIN(I1173+M1173,ROUND(MAX(K1173,I1173*L1173+M1173),2)),"n.a.")</x:f>
        <x:v>0</x:v>
      </x:c>
      <x:c r="O1173" s="30" t="n">
        <x:f>IF(COUNT($I$1172:$I$1176)&lt;&gt;5,"n.a.",IF(I1173=0,6,IF('Inputs'!$D$5=1,COUNTIFS($I$1172:$I$1176,"&gt;0",$I$1172:$I$1176,"&lt;"&amp;I1173)+COUNTIFS($I$1172:I1173,I1173),COUNTIFS($I$1172:$I$1176,"&gt;0",$J$1172:$J$1176,"&gt;"&amp;J1173)+COUNTIFS($I$1172:I1173,"&gt;0",$J$1172:J1173,J1173))))</x:f>
        <x:v>6</x:v>
      </x:c>
      <x:c r="P1173" s="22" t="n">
        <x:f>IF(T1173="Ready",MIN(U1173,MAX(0,G1173-SUMIFS($U$1172:$U$1176,$O$1172:$O$1176,"&lt;"&amp;O1173))),"n.a.")</x:f>
        <x:v>0</x:v>
      </x:c>
      <x:c r="Q1173" s="22" t="n">
        <x:f>IF(T1173="Ready",ROUND(N1173+P1173,2),"n.a.")</x:f>
        <x:v>0</x:v>
      </x:c>
      <x:c r="R1173" s="22" t="n">
        <x:f>IF(T1173="Ready",ROUND(Q1173-M1173,2),"n.a.")</x:f>
        <x:v>0</x:v>
      </x:c>
      <x:c r="S1173" s="22" t="n">
        <x:f>IF(T1173="Ready",MAX(0,ROUND(I1173+M1173-Q1173,2)),"n.a.")</x:f>
        <x:v>0</x:v>
      </x:c>
      <x:c r="T1173" s="22" t="str">
        <x:f>IF(AND(COUNT($I$1172:$I$1176)=5,COUNT(E1173:F1173)=2),IF(E1173&gt;=F1173,"Ready","Budget below minima"),"Check inputs")</x:f>
        <x:v>Ready</x:v>
      </x:c>
      <x:c r="U1173" s="22" t="n">
        <x:f>IF(COUNT(I1173,M1173,N1173)=3,MAX(0,ROUND(I1173+M1173-N1173,2)),"n.a.")</x:f>
        <x:v>0</x:v>
      </x:c>
    </x:row>
    <x:row r="1174" ht="22" customHeight="1">
      <x:c r="A1174" s="2"/>
      <x:c r="B1174" s="2"/>
      <x:c r="C1174" s="27" t="n">
        <x:f>234</x:f>
        <x:v>234</x:v>
      </x:c>
      <x:c r="D1174" s="28" t="n">
        <x:f>IF(ISNUMBER('Inputs'!$D$7),EDATE('Inputs'!$D$7,233),"n.a.")</x:f>
        <x:v>53418</x:v>
      </x:c>
      <x:c r="E1174" s="26" t="n">
        <x:f>IF('Inputs'!$D$9&lt;&gt;"Ready","n.a.",IF(ISNUMBER('Inputs'!E252),IF('Inputs'!E252&gt;=0,'Inputs'!E252,"n.a."),IF('Inputs'!E252="",'Inputs'!$D$6,"n.a.")))</x:f>
        <x:v>500</x:v>
      </x:c>
      <x:c r="F1174" s="22" t="n">
        <x:f>IF(COUNT($N$1172:$N$1176)=5,SUM($N$1172:$N$1176),"n.a.")</x:f>
        <x:v>0</x:v>
      </x:c>
      <x:c r="G1174" s="22" t="n">
        <x:f>IF(COUNT(E1174:F1174)=2,MAX(0,E1174-F1174),"n.a.")</x:f>
        <x:v>500</x:v>
      </x:c>
      <x:c r="H1174" s="26" t="str">
        <x:f>'Inputs'!C13</x:f>
        <x:v>Loan C</x:v>
      </x:c>
      <x:c r="I1174" s="26" t="n">
        <x:f>S1169</x:f>
        <x:v>0</x:v>
      </x:c>
      <x:c r="J1174" s="29" t="n">
        <x:f>IF('Inputs'!$D$9="Ready",'Inputs'!E13,"n.a.")</x:f>
        <x:v>0.08</x:v>
      </x:c>
      <x:c r="K1174" s="26" t="n">
        <x:f>IF('Inputs'!$D$9="Ready",'Inputs'!F13,"n.a.")</x:f>
        <x:v>150</x:v>
      </x:c>
      <x:c r="L1174" s="29" t="n">
        <x:f>IF('Inputs'!$D$9="Ready",'Inputs'!G13,"n.a.")</x:f>
        <x:v>0</x:v>
      </x:c>
      <x:c r="M1174" s="22" t="n">
        <x:f>IF(COUNT(I1174:L1174)=4,ROUND(I1174*J1174/12,2),"n.a.")</x:f>
        <x:v>0</x:v>
      </x:c>
      <x:c r="N1174" s="22" t="n">
        <x:f>IF(COUNT(I1174:M1174)=5,MIN(I1174+M1174,ROUND(MAX(K1174,I1174*L1174+M1174),2)),"n.a.")</x:f>
        <x:v>0</x:v>
      </x:c>
      <x:c r="O1174" s="30" t="n">
        <x:f>IF(COUNT($I$1172:$I$1176)&lt;&gt;5,"n.a.",IF(I1174=0,6,IF('Inputs'!$D$5=1,COUNTIFS($I$1172:$I$1176,"&gt;0",$I$1172:$I$1176,"&lt;"&amp;I1174)+COUNTIFS($I$1172:I1174,I1174),COUNTIFS($I$1172:$I$1176,"&gt;0",$J$1172:$J$1176,"&gt;"&amp;J1174)+COUNTIFS($I$1172:I1174,"&gt;0",$J$1172:J1174,J1174))))</x:f>
        <x:v>6</x:v>
      </x:c>
      <x:c r="P1174" s="22" t="n">
        <x:f>IF(T1174="Ready",MIN(U1174,MAX(0,G1174-SUMIFS($U$1172:$U$1176,$O$1172:$O$1176,"&lt;"&amp;O1174))),"n.a.")</x:f>
        <x:v>0</x:v>
      </x:c>
      <x:c r="Q1174" s="22" t="n">
        <x:f>IF(T1174="Ready",ROUND(N1174+P1174,2),"n.a.")</x:f>
        <x:v>0</x:v>
      </x:c>
      <x:c r="R1174" s="22" t="n">
        <x:f>IF(T1174="Ready",ROUND(Q1174-M1174,2),"n.a.")</x:f>
        <x:v>0</x:v>
      </x:c>
      <x:c r="S1174" s="22" t="n">
        <x:f>IF(T1174="Ready",MAX(0,ROUND(I1174+M1174-Q1174,2)),"n.a.")</x:f>
        <x:v>0</x:v>
      </x:c>
      <x:c r="T1174" s="22" t="str">
        <x:f>IF(AND(COUNT($I$1172:$I$1176)=5,COUNT(E1174:F1174)=2),IF(E1174&gt;=F1174,"Ready","Budget below minima"),"Check inputs")</x:f>
        <x:v>Ready</x:v>
      </x:c>
      <x:c r="U1174" s="22" t="n">
        <x:f>IF(COUNT(I1174,M1174,N1174)=3,MAX(0,ROUND(I1174+M1174-N1174,2)),"n.a.")</x:f>
        <x:v>0</x:v>
      </x:c>
    </x:row>
    <x:row r="1175" ht="22" customHeight="1">
      <x:c r="A1175" s="2"/>
      <x:c r="B1175" s="2"/>
      <x:c r="C1175" s="27" t="n">
        <x:f>234</x:f>
        <x:v>234</x:v>
      </x:c>
      <x:c r="D1175" s="28" t="n">
        <x:f>IF(ISNUMBER('Inputs'!$D$7),EDATE('Inputs'!$D$7,233),"n.a.")</x:f>
        <x:v>53418</x:v>
      </x:c>
      <x:c r="E1175" s="26" t="n">
        <x:f>IF('Inputs'!$D$9&lt;&gt;"Ready","n.a.",IF(ISNUMBER('Inputs'!E252),IF('Inputs'!E252&gt;=0,'Inputs'!E252,"n.a."),IF('Inputs'!E252="",'Inputs'!$D$6,"n.a.")))</x:f>
        <x:v>500</x:v>
      </x:c>
      <x:c r="F1175" s="22" t="n">
        <x:f>IF(COUNT($N$1172:$N$1176)=5,SUM($N$1172:$N$1176),"n.a.")</x:f>
        <x:v>0</x:v>
      </x:c>
      <x:c r="G1175" s="22" t="n">
        <x:f>IF(COUNT(E1175:F1175)=2,MAX(0,E1175-F1175),"n.a.")</x:f>
        <x:v>500</x:v>
      </x:c>
      <x:c r="H1175" s="26" t="str">
        <x:f>'Inputs'!C14</x:f>
        <x:v>Unused 4</x:v>
      </x:c>
      <x:c r="I1175" s="26" t="n">
        <x:f>S1170</x:f>
        <x:v>0</x:v>
      </x:c>
      <x:c r="J1175" s="29" t="n">
        <x:f>IF('Inputs'!$D$9="Ready",'Inputs'!E14,"n.a.")</x:f>
        <x:v>0</x:v>
      </x:c>
      <x:c r="K1175" s="26" t="n">
        <x:f>IF('Inputs'!$D$9="Ready",'Inputs'!F14,"n.a.")</x:f>
        <x:v>0</x:v>
      </x:c>
      <x:c r="L1175" s="29" t="n">
        <x:f>IF('Inputs'!$D$9="Ready",'Inputs'!G14,"n.a.")</x:f>
        <x:v>0</x:v>
      </x:c>
      <x:c r="M1175" s="22" t="n">
        <x:f>IF(COUNT(I1175:L1175)=4,ROUND(I1175*J1175/12,2),"n.a.")</x:f>
        <x:v>0</x:v>
      </x:c>
      <x:c r="N1175" s="22" t="n">
        <x:f>IF(COUNT(I1175:M1175)=5,MIN(I1175+M1175,ROUND(MAX(K1175,I1175*L1175+M1175),2)),"n.a.")</x:f>
        <x:v>0</x:v>
      </x:c>
      <x:c r="O1175" s="30" t="n">
        <x:f>IF(COUNT($I$1172:$I$1176)&lt;&gt;5,"n.a.",IF(I1175=0,6,IF('Inputs'!$D$5=1,COUNTIFS($I$1172:$I$1176,"&gt;0",$I$1172:$I$1176,"&lt;"&amp;I1175)+COUNTIFS($I$1172:I1175,I1175),COUNTIFS($I$1172:$I$1176,"&gt;0",$J$1172:$J$1176,"&gt;"&amp;J1175)+COUNTIFS($I$1172:I1175,"&gt;0",$J$1172:J1175,J1175))))</x:f>
        <x:v>6</x:v>
      </x:c>
      <x:c r="P1175" s="22" t="n">
        <x:f>IF(T1175="Ready",MIN(U1175,MAX(0,G1175-SUMIFS($U$1172:$U$1176,$O$1172:$O$1176,"&lt;"&amp;O1175))),"n.a.")</x:f>
        <x:v>0</x:v>
      </x:c>
      <x:c r="Q1175" s="22" t="n">
        <x:f>IF(T1175="Ready",ROUND(N1175+P1175,2),"n.a.")</x:f>
        <x:v>0</x:v>
      </x:c>
      <x:c r="R1175" s="22" t="n">
        <x:f>IF(T1175="Ready",ROUND(Q1175-M1175,2),"n.a.")</x:f>
        <x:v>0</x:v>
      </x:c>
      <x:c r="S1175" s="22" t="n">
        <x:f>IF(T1175="Ready",MAX(0,ROUND(I1175+M1175-Q1175,2)),"n.a.")</x:f>
        <x:v>0</x:v>
      </x:c>
      <x:c r="T1175" s="22" t="str">
        <x:f>IF(AND(COUNT($I$1172:$I$1176)=5,COUNT(E1175:F1175)=2),IF(E1175&gt;=F1175,"Ready","Budget below minima"),"Check inputs")</x:f>
        <x:v>Ready</x:v>
      </x:c>
      <x:c r="U1175" s="22" t="n">
        <x:f>IF(COUNT(I1175,M1175,N1175)=3,MAX(0,ROUND(I1175+M1175-N1175,2)),"n.a.")</x:f>
        <x:v>0</x:v>
      </x:c>
    </x:row>
    <x:row r="1176" ht="22" customHeight="1">
      <x:c r="A1176" s="2"/>
      <x:c r="B1176" s="2"/>
      <x:c r="C1176" s="27" t="n">
        <x:f>234</x:f>
        <x:v>234</x:v>
      </x:c>
      <x:c r="D1176" s="28" t="n">
        <x:f>IF(ISNUMBER('Inputs'!$D$7),EDATE('Inputs'!$D$7,233),"n.a.")</x:f>
        <x:v>53418</x:v>
      </x:c>
      <x:c r="E1176" s="26" t="n">
        <x:f>IF('Inputs'!$D$9&lt;&gt;"Ready","n.a.",IF(ISNUMBER('Inputs'!E252),IF('Inputs'!E252&gt;=0,'Inputs'!E252,"n.a."),IF('Inputs'!E252="",'Inputs'!$D$6,"n.a.")))</x:f>
        <x:v>500</x:v>
      </x:c>
      <x:c r="F1176" s="22" t="n">
        <x:f>IF(COUNT($N$1172:$N$1176)=5,SUM($N$1172:$N$1176),"n.a.")</x:f>
        <x:v>0</x:v>
      </x:c>
      <x:c r="G1176" s="22" t="n">
        <x:f>IF(COUNT(E1176:F1176)=2,MAX(0,E1176-F1176),"n.a.")</x:f>
        <x:v>500</x:v>
      </x:c>
      <x:c r="H1176" s="26" t="str">
        <x:f>'Inputs'!C15</x:f>
        <x:v>Unused 5</x:v>
      </x:c>
      <x:c r="I1176" s="26" t="n">
        <x:f>S1171</x:f>
        <x:v>0</x:v>
      </x:c>
      <x:c r="J1176" s="29" t="n">
        <x:f>IF('Inputs'!$D$9="Ready",'Inputs'!E15,"n.a.")</x:f>
        <x:v>0</x:v>
      </x:c>
      <x:c r="K1176" s="26" t="n">
        <x:f>IF('Inputs'!$D$9="Ready",'Inputs'!F15,"n.a.")</x:f>
        <x:v>0</x:v>
      </x:c>
      <x:c r="L1176" s="29" t="n">
        <x:f>IF('Inputs'!$D$9="Ready",'Inputs'!G15,"n.a.")</x:f>
        <x:v>0</x:v>
      </x:c>
      <x:c r="M1176" s="22" t="n">
        <x:f>IF(COUNT(I1176:L1176)=4,ROUND(I1176*J1176/12,2),"n.a.")</x:f>
        <x:v>0</x:v>
      </x:c>
      <x:c r="N1176" s="22" t="n">
        <x:f>IF(COUNT(I1176:M1176)=5,MIN(I1176+M1176,ROUND(MAX(K1176,I1176*L1176+M1176),2)),"n.a.")</x:f>
        <x:v>0</x:v>
      </x:c>
      <x:c r="O1176" s="30" t="n">
        <x:f>IF(COUNT($I$1172:$I$1176)&lt;&gt;5,"n.a.",IF(I1176=0,6,IF('Inputs'!$D$5=1,COUNTIFS($I$1172:$I$1176,"&gt;0",$I$1172:$I$1176,"&lt;"&amp;I1176)+COUNTIFS($I$1172:I1176,I1176),COUNTIFS($I$1172:$I$1176,"&gt;0",$J$1172:$J$1176,"&gt;"&amp;J1176)+COUNTIFS($I$1172:I1176,"&gt;0",$J$1172:J1176,J1176))))</x:f>
        <x:v>6</x:v>
      </x:c>
      <x:c r="P1176" s="22" t="n">
        <x:f>IF(T1176="Ready",MIN(U1176,MAX(0,G1176-SUMIFS($U$1172:$U$1176,$O$1172:$O$1176,"&lt;"&amp;O1176))),"n.a.")</x:f>
        <x:v>0</x:v>
      </x:c>
      <x:c r="Q1176" s="22" t="n">
        <x:f>IF(T1176="Ready",ROUND(N1176+P1176,2),"n.a.")</x:f>
        <x:v>0</x:v>
      </x:c>
      <x:c r="R1176" s="22" t="n">
        <x:f>IF(T1176="Ready",ROUND(Q1176-M1176,2),"n.a.")</x:f>
        <x:v>0</x:v>
      </x:c>
      <x:c r="S1176" s="22" t="n">
        <x:f>IF(T1176="Ready",MAX(0,ROUND(I1176+M1176-Q1176,2)),"n.a.")</x:f>
        <x:v>0</x:v>
      </x:c>
      <x:c r="T1176" s="22" t="str">
        <x:f>IF(AND(COUNT($I$1172:$I$1176)=5,COUNT(E1176:F1176)=2),IF(E1176&gt;=F1176,"Ready","Budget below minima"),"Check inputs")</x:f>
        <x:v>Ready</x:v>
      </x:c>
      <x:c r="U1176" s="22" t="n">
        <x:f>IF(COUNT(I1176,M1176,N1176)=3,MAX(0,ROUND(I1176+M1176-N1176,2)),"n.a.")</x:f>
        <x:v>0</x:v>
      </x:c>
    </x:row>
    <x:row r="1177" ht="22" customHeight="1">
      <x:c r="A1177" s="2"/>
      <x:c r="B1177" s="2"/>
      <x:c r="C1177" s="27" t="n">
        <x:f>235</x:f>
        <x:v>235</x:v>
      </x:c>
      <x:c r="D1177" s="28" t="n">
        <x:f>IF(ISNUMBER('Inputs'!$D$7),EDATE('Inputs'!$D$7,234),"n.a.")</x:f>
        <x:v>53448</x:v>
      </x:c>
      <x:c r="E1177" s="26" t="n">
        <x:f>IF('Inputs'!$D$9&lt;&gt;"Ready","n.a.",IF(ISNUMBER('Inputs'!E253),IF('Inputs'!E253&gt;=0,'Inputs'!E253,"n.a."),IF('Inputs'!E253="",'Inputs'!$D$6,"n.a.")))</x:f>
        <x:v>500</x:v>
      </x:c>
      <x:c r="F1177" s="22" t="n">
        <x:f>IF(COUNT($N$1177:$N$1181)=5,SUM($N$1177:$N$1181),"n.a.")</x:f>
        <x:v>0</x:v>
      </x:c>
      <x:c r="G1177" s="22" t="n">
        <x:f>IF(COUNT(E1177:F1177)=2,MAX(0,E1177-F1177),"n.a.")</x:f>
        <x:v>500</x:v>
      </x:c>
      <x:c r="H1177" s="26" t="str">
        <x:f>'Inputs'!C11</x:f>
        <x:v>Card A</x:v>
      </x:c>
      <x:c r="I1177" s="26" t="n">
        <x:f>S1172</x:f>
        <x:v>0</x:v>
      </x:c>
      <x:c r="J1177" s="29" t="n">
        <x:f>IF('Inputs'!$D$9="Ready",'Inputs'!E11,"n.a.")</x:f>
        <x:v>0.24</x:v>
      </x:c>
      <x:c r="K1177" s="26" t="n">
        <x:f>IF('Inputs'!$D$9="Ready",'Inputs'!F11,"n.a.")</x:f>
        <x:v>35</x:v>
      </x:c>
      <x:c r="L1177" s="29" t="n">
        <x:f>IF('Inputs'!$D$9="Ready",'Inputs'!G11,"n.a.")</x:f>
        <x:v>0.02</x:v>
      </x:c>
      <x:c r="M1177" s="22" t="n">
        <x:f>IF(COUNT(I1177:L1177)=4,ROUND(I1177*J1177/12,2),"n.a.")</x:f>
        <x:v>0</x:v>
      </x:c>
      <x:c r="N1177" s="22" t="n">
        <x:f>IF(COUNT(I1177:M1177)=5,MIN(I1177+M1177,ROUND(MAX(K1177,I1177*L1177+M1177),2)),"n.a.")</x:f>
        <x:v>0</x:v>
      </x:c>
      <x:c r="O1177" s="30" t="n">
        <x:f>IF(COUNT($I$1177:$I$1181)&lt;&gt;5,"n.a.",IF(I1177=0,6,IF('Inputs'!$D$5=1,COUNTIFS($I$1177:$I$1181,"&gt;0",$I$1177:$I$1181,"&lt;"&amp;I1177)+COUNTIFS($I$1177:I1177,I1177),COUNTIFS($I$1177:$I$1181,"&gt;0",$J$1177:$J$1181,"&gt;"&amp;J1177)+COUNTIFS($I$1177:I1177,"&gt;0",$J$1177:J1177,J1177))))</x:f>
        <x:v>6</x:v>
      </x:c>
      <x:c r="P1177" s="22" t="n">
        <x:f>IF(T1177="Ready",MIN(U1177,MAX(0,G1177-SUMIFS($U$1177:$U$1181,$O$1177:$O$1181,"&lt;"&amp;O1177))),"n.a.")</x:f>
        <x:v>0</x:v>
      </x:c>
      <x:c r="Q1177" s="22" t="n">
        <x:f>IF(T1177="Ready",ROUND(N1177+P1177,2),"n.a.")</x:f>
        <x:v>0</x:v>
      </x:c>
      <x:c r="R1177" s="22" t="n">
        <x:f>IF(T1177="Ready",ROUND(Q1177-M1177,2),"n.a.")</x:f>
        <x:v>0</x:v>
      </x:c>
      <x:c r="S1177" s="22" t="n">
        <x:f>IF(T1177="Ready",MAX(0,ROUND(I1177+M1177-Q1177,2)),"n.a.")</x:f>
        <x:v>0</x:v>
      </x:c>
      <x:c r="T1177" s="22" t="str">
        <x:f>IF(AND(COUNT($I$1177:$I$1181)=5,COUNT(E1177:F1177)=2),IF(E1177&gt;=F1177,"Ready","Budget below minima"),"Check inputs")</x:f>
        <x:v>Ready</x:v>
      </x:c>
      <x:c r="U1177" s="22" t="n">
        <x:f>IF(COUNT(I1177,M1177,N1177)=3,MAX(0,ROUND(I1177+M1177-N1177,2)),"n.a.")</x:f>
        <x:v>0</x:v>
      </x:c>
    </x:row>
    <x:row r="1178" ht="22" customHeight="1">
      <x:c r="A1178" s="2"/>
      <x:c r="B1178" s="2"/>
      <x:c r="C1178" s="27" t="n">
        <x:f>235</x:f>
        <x:v>235</x:v>
      </x:c>
      <x:c r="D1178" s="28" t="n">
        <x:f>IF(ISNUMBER('Inputs'!$D$7),EDATE('Inputs'!$D$7,234),"n.a.")</x:f>
        <x:v>53448</x:v>
      </x:c>
      <x:c r="E1178" s="26" t="n">
        <x:f>IF('Inputs'!$D$9&lt;&gt;"Ready","n.a.",IF(ISNUMBER('Inputs'!E253),IF('Inputs'!E253&gt;=0,'Inputs'!E253,"n.a."),IF('Inputs'!E253="",'Inputs'!$D$6,"n.a.")))</x:f>
        <x:v>500</x:v>
      </x:c>
      <x:c r="F1178" s="22" t="n">
        <x:f>IF(COUNT($N$1177:$N$1181)=5,SUM($N$1177:$N$1181),"n.a.")</x:f>
        <x:v>0</x:v>
      </x:c>
      <x:c r="G1178" s="22" t="n">
        <x:f>IF(COUNT(E1178:F1178)=2,MAX(0,E1178-F1178),"n.a.")</x:f>
        <x:v>500</x:v>
      </x:c>
      <x:c r="H1178" s="26" t="str">
        <x:f>'Inputs'!C12</x:f>
        <x:v>Card B</x:v>
      </x:c>
      <x:c r="I1178" s="26" t="n">
        <x:f>S1173</x:f>
        <x:v>0</x:v>
      </x:c>
      <x:c r="J1178" s="29" t="n">
        <x:f>IF('Inputs'!$D$9="Ready",'Inputs'!E12,"n.a.")</x:f>
        <x:v>0.18</x:v>
      </x:c>
      <x:c r="K1178" s="26" t="n">
        <x:f>IF('Inputs'!$D$9="Ready",'Inputs'!F12,"n.a.")</x:f>
        <x:v>60</x:v>
      </x:c>
      <x:c r="L1178" s="29" t="n">
        <x:f>IF('Inputs'!$D$9="Ready",'Inputs'!G12,"n.a.")</x:f>
        <x:v>0.02</x:v>
      </x:c>
      <x:c r="M1178" s="22" t="n">
        <x:f>IF(COUNT(I1178:L1178)=4,ROUND(I1178*J1178/12,2),"n.a.")</x:f>
        <x:v>0</x:v>
      </x:c>
      <x:c r="N1178" s="22" t="n">
        <x:f>IF(COUNT(I1178:M1178)=5,MIN(I1178+M1178,ROUND(MAX(K1178,I1178*L1178+M1178),2)),"n.a.")</x:f>
        <x:v>0</x:v>
      </x:c>
      <x:c r="O1178" s="30" t="n">
        <x:f>IF(COUNT($I$1177:$I$1181)&lt;&gt;5,"n.a.",IF(I1178=0,6,IF('Inputs'!$D$5=1,COUNTIFS($I$1177:$I$1181,"&gt;0",$I$1177:$I$1181,"&lt;"&amp;I1178)+COUNTIFS($I$1177:I1178,I1178),COUNTIFS($I$1177:$I$1181,"&gt;0",$J$1177:$J$1181,"&gt;"&amp;J1178)+COUNTIFS($I$1177:I1178,"&gt;0",$J$1177:J1178,J1178))))</x:f>
        <x:v>6</x:v>
      </x:c>
      <x:c r="P1178" s="22" t="n">
        <x:f>IF(T1178="Ready",MIN(U1178,MAX(0,G1178-SUMIFS($U$1177:$U$1181,$O$1177:$O$1181,"&lt;"&amp;O1178))),"n.a.")</x:f>
        <x:v>0</x:v>
      </x:c>
      <x:c r="Q1178" s="22" t="n">
        <x:f>IF(T1178="Ready",ROUND(N1178+P1178,2),"n.a.")</x:f>
        <x:v>0</x:v>
      </x:c>
      <x:c r="R1178" s="22" t="n">
        <x:f>IF(T1178="Ready",ROUND(Q1178-M1178,2),"n.a.")</x:f>
        <x:v>0</x:v>
      </x:c>
      <x:c r="S1178" s="22" t="n">
        <x:f>IF(T1178="Ready",MAX(0,ROUND(I1178+M1178-Q1178,2)),"n.a.")</x:f>
        <x:v>0</x:v>
      </x:c>
      <x:c r="T1178" s="22" t="str">
        <x:f>IF(AND(COUNT($I$1177:$I$1181)=5,COUNT(E1178:F1178)=2),IF(E1178&gt;=F1178,"Ready","Budget below minima"),"Check inputs")</x:f>
        <x:v>Ready</x:v>
      </x:c>
      <x:c r="U1178" s="22" t="n">
        <x:f>IF(COUNT(I1178,M1178,N1178)=3,MAX(0,ROUND(I1178+M1178-N1178,2)),"n.a.")</x:f>
        <x:v>0</x:v>
      </x:c>
    </x:row>
    <x:row r="1179" ht="22" customHeight="1">
      <x:c r="A1179" s="2"/>
      <x:c r="B1179" s="2"/>
      <x:c r="C1179" s="27" t="n">
        <x:f>235</x:f>
        <x:v>235</x:v>
      </x:c>
      <x:c r="D1179" s="28" t="n">
        <x:f>IF(ISNUMBER('Inputs'!$D$7),EDATE('Inputs'!$D$7,234),"n.a.")</x:f>
        <x:v>53448</x:v>
      </x:c>
      <x:c r="E1179" s="26" t="n">
        <x:f>IF('Inputs'!$D$9&lt;&gt;"Ready","n.a.",IF(ISNUMBER('Inputs'!E253),IF('Inputs'!E253&gt;=0,'Inputs'!E253,"n.a."),IF('Inputs'!E253="",'Inputs'!$D$6,"n.a.")))</x:f>
        <x:v>500</x:v>
      </x:c>
      <x:c r="F1179" s="22" t="n">
        <x:f>IF(COUNT($N$1177:$N$1181)=5,SUM($N$1177:$N$1181),"n.a.")</x:f>
        <x:v>0</x:v>
      </x:c>
      <x:c r="G1179" s="22" t="n">
        <x:f>IF(COUNT(E1179:F1179)=2,MAX(0,E1179-F1179),"n.a.")</x:f>
        <x:v>500</x:v>
      </x:c>
      <x:c r="H1179" s="26" t="str">
        <x:f>'Inputs'!C13</x:f>
        <x:v>Loan C</x:v>
      </x:c>
      <x:c r="I1179" s="26" t="n">
        <x:f>S1174</x:f>
        <x:v>0</x:v>
      </x:c>
      <x:c r="J1179" s="29" t="n">
        <x:f>IF('Inputs'!$D$9="Ready",'Inputs'!E13,"n.a.")</x:f>
        <x:v>0.08</x:v>
      </x:c>
      <x:c r="K1179" s="26" t="n">
        <x:f>IF('Inputs'!$D$9="Ready",'Inputs'!F13,"n.a.")</x:f>
        <x:v>150</x:v>
      </x:c>
      <x:c r="L1179" s="29" t="n">
        <x:f>IF('Inputs'!$D$9="Ready",'Inputs'!G13,"n.a.")</x:f>
        <x:v>0</x:v>
      </x:c>
      <x:c r="M1179" s="22" t="n">
        <x:f>IF(COUNT(I1179:L1179)=4,ROUND(I1179*J1179/12,2),"n.a.")</x:f>
        <x:v>0</x:v>
      </x:c>
      <x:c r="N1179" s="22" t="n">
        <x:f>IF(COUNT(I1179:M1179)=5,MIN(I1179+M1179,ROUND(MAX(K1179,I1179*L1179+M1179),2)),"n.a.")</x:f>
        <x:v>0</x:v>
      </x:c>
      <x:c r="O1179" s="30" t="n">
        <x:f>IF(COUNT($I$1177:$I$1181)&lt;&gt;5,"n.a.",IF(I1179=0,6,IF('Inputs'!$D$5=1,COUNTIFS($I$1177:$I$1181,"&gt;0",$I$1177:$I$1181,"&lt;"&amp;I1179)+COUNTIFS($I$1177:I1179,I1179),COUNTIFS($I$1177:$I$1181,"&gt;0",$J$1177:$J$1181,"&gt;"&amp;J1179)+COUNTIFS($I$1177:I1179,"&gt;0",$J$1177:J1179,J1179))))</x:f>
        <x:v>6</x:v>
      </x:c>
      <x:c r="P1179" s="22" t="n">
        <x:f>IF(T1179="Ready",MIN(U1179,MAX(0,G1179-SUMIFS($U$1177:$U$1181,$O$1177:$O$1181,"&lt;"&amp;O1179))),"n.a.")</x:f>
        <x:v>0</x:v>
      </x:c>
      <x:c r="Q1179" s="22" t="n">
        <x:f>IF(T1179="Ready",ROUND(N1179+P1179,2),"n.a.")</x:f>
        <x:v>0</x:v>
      </x:c>
      <x:c r="R1179" s="22" t="n">
        <x:f>IF(T1179="Ready",ROUND(Q1179-M1179,2),"n.a.")</x:f>
        <x:v>0</x:v>
      </x:c>
      <x:c r="S1179" s="22" t="n">
        <x:f>IF(T1179="Ready",MAX(0,ROUND(I1179+M1179-Q1179,2)),"n.a.")</x:f>
        <x:v>0</x:v>
      </x:c>
      <x:c r="T1179" s="22" t="str">
        <x:f>IF(AND(COUNT($I$1177:$I$1181)=5,COUNT(E1179:F1179)=2),IF(E1179&gt;=F1179,"Ready","Budget below minima"),"Check inputs")</x:f>
        <x:v>Ready</x:v>
      </x:c>
      <x:c r="U1179" s="22" t="n">
        <x:f>IF(COUNT(I1179,M1179,N1179)=3,MAX(0,ROUND(I1179+M1179-N1179,2)),"n.a.")</x:f>
        <x:v>0</x:v>
      </x:c>
    </x:row>
    <x:row r="1180" ht="22" customHeight="1">
      <x:c r="A1180" s="2"/>
      <x:c r="B1180" s="2"/>
      <x:c r="C1180" s="27" t="n">
        <x:f>235</x:f>
        <x:v>235</x:v>
      </x:c>
      <x:c r="D1180" s="28" t="n">
        <x:f>IF(ISNUMBER('Inputs'!$D$7),EDATE('Inputs'!$D$7,234),"n.a.")</x:f>
        <x:v>53448</x:v>
      </x:c>
      <x:c r="E1180" s="26" t="n">
        <x:f>IF('Inputs'!$D$9&lt;&gt;"Ready","n.a.",IF(ISNUMBER('Inputs'!E253),IF('Inputs'!E253&gt;=0,'Inputs'!E253,"n.a."),IF('Inputs'!E253="",'Inputs'!$D$6,"n.a.")))</x:f>
        <x:v>500</x:v>
      </x:c>
      <x:c r="F1180" s="22" t="n">
        <x:f>IF(COUNT($N$1177:$N$1181)=5,SUM($N$1177:$N$1181),"n.a.")</x:f>
        <x:v>0</x:v>
      </x:c>
      <x:c r="G1180" s="22" t="n">
        <x:f>IF(COUNT(E1180:F1180)=2,MAX(0,E1180-F1180),"n.a.")</x:f>
        <x:v>500</x:v>
      </x:c>
      <x:c r="H1180" s="26" t="str">
        <x:f>'Inputs'!C14</x:f>
        <x:v>Unused 4</x:v>
      </x:c>
      <x:c r="I1180" s="26" t="n">
        <x:f>S1175</x:f>
        <x:v>0</x:v>
      </x:c>
      <x:c r="J1180" s="29" t="n">
        <x:f>IF('Inputs'!$D$9="Ready",'Inputs'!E14,"n.a.")</x:f>
        <x:v>0</x:v>
      </x:c>
      <x:c r="K1180" s="26" t="n">
        <x:f>IF('Inputs'!$D$9="Ready",'Inputs'!F14,"n.a.")</x:f>
        <x:v>0</x:v>
      </x:c>
      <x:c r="L1180" s="29" t="n">
        <x:f>IF('Inputs'!$D$9="Ready",'Inputs'!G14,"n.a.")</x:f>
        <x:v>0</x:v>
      </x:c>
      <x:c r="M1180" s="22" t="n">
        <x:f>IF(COUNT(I1180:L1180)=4,ROUND(I1180*J1180/12,2),"n.a.")</x:f>
        <x:v>0</x:v>
      </x:c>
      <x:c r="N1180" s="22" t="n">
        <x:f>IF(COUNT(I1180:M1180)=5,MIN(I1180+M1180,ROUND(MAX(K1180,I1180*L1180+M1180),2)),"n.a.")</x:f>
        <x:v>0</x:v>
      </x:c>
      <x:c r="O1180" s="30" t="n">
        <x:f>IF(COUNT($I$1177:$I$1181)&lt;&gt;5,"n.a.",IF(I1180=0,6,IF('Inputs'!$D$5=1,COUNTIFS($I$1177:$I$1181,"&gt;0",$I$1177:$I$1181,"&lt;"&amp;I1180)+COUNTIFS($I$1177:I1180,I1180),COUNTIFS($I$1177:$I$1181,"&gt;0",$J$1177:$J$1181,"&gt;"&amp;J1180)+COUNTIFS($I$1177:I1180,"&gt;0",$J$1177:J1180,J1180))))</x:f>
        <x:v>6</x:v>
      </x:c>
      <x:c r="P1180" s="22" t="n">
        <x:f>IF(T1180="Ready",MIN(U1180,MAX(0,G1180-SUMIFS($U$1177:$U$1181,$O$1177:$O$1181,"&lt;"&amp;O1180))),"n.a.")</x:f>
        <x:v>0</x:v>
      </x:c>
      <x:c r="Q1180" s="22" t="n">
        <x:f>IF(T1180="Ready",ROUND(N1180+P1180,2),"n.a.")</x:f>
        <x:v>0</x:v>
      </x:c>
      <x:c r="R1180" s="22" t="n">
        <x:f>IF(T1180="Ready",ROUND(Q1180-M1180,2),"n.a.")</x:f>
        <x:v>0</x:v>
      </x:c>
      <x:c r="S1180" s="22" t="n">
        <x:f>IF(T1180="Ready",MAX(0,ROUND(I1180+M1180-Q1180,2)),"n.a.")</x:f>
        <x:v>0</x:v>
      </x:c>
      <x:c r="T1180" s="22" t="str">
        <x:f>IF(AND(COUNT($I$1177:$I$1181)=5,COUNT(E1180:F1180)=2),IF(E1180&gt;=F1180,"Ready","Budget below minima"),"Check inputs")</x:f>
        <x:v>Ready</x:v>
      </x:c>
      <x:c r="U1180" s="22" t="n">
        <x:f>IF(COUNT(I1180,M1180,N1180)=3,MAX(0,ROUND(I1180+M1180-N1180,2)),"n.a.")</x:f>
        <x:v>0</x:v>
      </x:c>
    </x:row>
    <x:row r="1181" ht="22" customHeight="1">
      <x:c r="A1181" s="2"/>
      <x:c r="B1181" s="2"/>
      <x:c r="C1181" s="27" t="n">
        <x:f>235</x:f>
        <x:v>235</x:v>
      </x:c>
      <x:c r="D1181" s="28" t="n">
        <x:f>IF(ISNUMBER('Inputs'!$D$7),EDATE('Inputs'!$D$7,234),"n.a.")</x:f>
        <x:v>53448</x:v>
      </x:c>
      <x:c r="E1181" s="26" t="n">
        <x:f>IF('Inputs'!$D$9&lt;&gt;"Ready","n.a.",IF(ISNUMBER('Inputs'!E253),IF('Inputs'!E253&gt;=0,'Inputs'!E253,"n.a."),IF('Inputs'!E253="",'Inputs'!$D$6,"n.a.")))</x:f>
        <x:v>500</x:v>
      </x:c>
      <x:c r="F1181" s="22" t="n">
        <x:f>IF(COUNT($N$1177:$N$1181)=5,SUM($N$1177:$N$1181),"n.a.")</x:f>
        <x:v>0</x:v>
      </x:c>
      <x:c r="G1181" s="22" t="n">
        <x:f>IF(COUNT(E1181:F1181)=2,MAX(0,E1181-F1181),"n.a.")</x:f>
        <x:v>500</x:v>
      </x:c>
      <x:c r="H1181" s="26" t="str">
        <x:f>'Inputs'!C15</x:f>
        <x:v>Unused 5</x:v>
      </x:c>
      <x:c r="I1181" s="26" t="n">
        <x:f>S1176</x:f>
        <x:v>0</x:v>
      </x:c>
      <x:c r="J1181" s="29" t="n">
        <x:f>IF('Inputs'!$D$9="Ready",'Inputs'!E15,"n.a.")</x:f>
        <x:v>0</x:v>
      </x:c>
      <x:c r="K1181" s="26" t="n">
        <x:f>IF('Inputs'!$D$9="Ready",'Inputs'!F15,"n.a.")</x:f>
        <x:v>0</x:v>
      </x:c>
      <x:c r="L1181" s="29" t="n">
        <x:f>IF('Inputs'!$D$9="Ready",'Inputs'!G15,"n.a.")</x:f>
        <x:v>0</x:v>
      </x:c>
      <x:c r="M1181" s="22" t="n">
        <x:f>IF(COUNT(I1181:L1181)=4,ROUND(I1181*J1181/12,2),"n.a.")</x:f>
        <x:v>0</x:v>
      </x:c>
      <x:c r="N1181" s="22" t="n">
        <x:f>IF(COUNT(I1181:M1181)=5,MIN(I1181+M1181,ROUND(MAX(K1181,I1181*L1181+M1181),2)),"n.a.")</x:f>
        <x:v>0</x:v>
      </x:c>
      <x:c r="O1181" s="30" t="n">
        <x:f>IF(COUNT($I$1177:$I$1181)&lt;&gt;5,"n.a.",IF(I1181=0,6,IF('Inputs'!$D$5=1,COUNTIFS($I$1177:$I$1181,"&gt;0",$I$1177:$I$1181,"&lt;"&amp;I1181)+COUNTIFS($I$1177:I1181,I1181),COUNTIFS($I$1177:$I$1181,"&gt;0",$J$1177:$J$1181,"&gt;"&amp;J1181)+COUNTIFS($I$1177:I1181,"&gt;0",$J$1177:J1181,J1181))))</x:f>
        <x:v>6</x:v>
      </x:c>
      <x:c r="P1181" s="22" t="n">
        <x:f>IF(T1181="Ready",MIN(U1181,MAX(0,G1181-SUMIFS($U$1177:$U$1181,$O$1177:$O$1181,"&lt;"&amp;O1181))),"n.a.")</x:f>
        <x:v>0</x:v>
      </x:c>
      <x:c r="Q1181" s="22" t="n">
        <x:f>IF(T1181="Ready",ROUND(N1181+P1181,2),"n.a.")</x:f>
        <x:v>0</x:v>
      </x:c>
      <x:c r="R1181" s="22" t="n">
        <x:f>IF(T1181="Ready",ROUND(Q1181-M1181,2),"n.a.")</x:f>
        <x:v>0</x:v>
      </x:c>
      <x:c r="S1181" s="22" t="n">
        <x:f>IF(T1181="Ready",MAX(0,ROUND(I1181+M1181-Q1181,2)),"n.a.")</x:f>
        <x:v>0</x:v>
      </x:c>
      <x:c r="T1181" s="22" t="str">
        <x:f>IF(AND(COUNT($I$1177:$I$1181)=5,COUNT(E1181:F1181)=2),IF(E1181&gt;=F1181,"Ready","Budget below minima"),"Check inputs")</x:f>
        <x:v>Ready</x:v>
      </x:c>
      <x:c r="U1181" s="22" t="n">
        <x:f>IF(COUNT(I1181,M1181,N1181)=3,MAX(0,ROUND(I1181+M1181-N1181,2)),"n.a.")</x:f>
        <x:v>0</x:v>
      </x:c>
    </x:row>
    <x:row r="1182" ht="22" customHeight="1">
      <x:c r="A1182" s="2"/>
      <x:c r="B1182" s="2"/>
      <x:c r="C1182" s="27" t="n">
        <x:f>236</x:f>
        <x:v>236</x:v>
      </x:c>
      <x:c r="D1182" s="28" t="n">
        <x:f>IF(ISNUMBER('Inputs'!$D$7),EDATE('Inputs'!$D$7,235),"n.a.")</x:f>
        <x:v>53479</x:v>
      </x:c>
      <x:c r="E1182" s="26" t="n">
        <x:f>IF('Inputs'!$D$9&lt;&gt;"Ready","n.a.",IF(ISNUMBER('Inputs'!E254),IF('Inputs'!E254&gt;=0,'Inputs'!E254,"n.a."),IF('Inputs'!E254="",'Inputs'!$D$6,"n.a.")))</x:f>
        <x:v>500</x:v>
      </x:c>
      <x:c r="F1182" s="22" t="n">
        <x:f>IF(COUNT($N$1182:$N$1186)=5,SUM($N$1182:$N$1186),"n.a.")</x:f>
        <x:v>0</x:v>
      </x:c>
      <x:c r="G1182" s="22" t="n">
        <x:f>IF(COUNT(E1182:F1182)=2,MAX(0,E1182-F1182),"n.a.")</x:f>
        <x:v>500</x:v>
      </x:c>
      <x:c r="H1182" s="26" t="str">
        <x:f>'Inputs'!C11</x:f>
        <x:v>Card A</x:v>
      </x:c>
      <x:c r="I1182" s="26" t="n">
        <x:f>S1177</x:f>
        <x:v>0</x:v>
      </x:c>
      <x:c r="J1182" s="29" t="n">
        <x:f>IF('Inputs'!$D$9="Ready",'Inputs'!E11,"n.a.")</x:f>
        <x:v>0.24</x:v>
      </x:c>
      <x:c r="K1182" s="26" t="n">
        <x:f>IF('Inputs'!$D$9="Ready",'Inputs'!F11,"n.a.")</x:f>
        <x:v>35</x:v>
      </x:c>
      <x:c r="L1182" s="29" t="n">
        <x:f>IF('Inputs'!$D$9="Ready",'Inputs'!G11,"n.a.")</x:f>
        <x:v>0.02</x:v>
      </x:c>
      <x:c r="M1182" s="22" t="n">
        <x:f>IF(COUNT(I1182:L1182)=4,ROUND(I1182*J1182/12,2),"n.a.")</x:f>
        <x:v>0</x:v>
      </x:c>
      <x:c r="N1182" s="22" t="n">
        <x:f>IF(COUNT(I1182:M1182)=5,MIN(I1182+M1182,ROUND(MAX(K1182,I1182*L1182+M1182),2)),"n.a.")</x:f>
        <x:v>0</x:v>
      </x:c>
      <x:c r="O1182" s="30" t="n">
        <x:f>IF(COUNT($I$1182:$I$1186)&lt;&gt;5,"n.a.",IF(I1182=0,6,IF('Inputs'!$D$5=1,COUNTIFS($I$1182:$I$1186,"&gt;0",$I$1182:$I$1186,"&lt;"&amp;I1182)+COUNTIFS($I$1182:I1182,I1182),COUNTIFS($I$1182:$I$1186,"&gt;0",$J$1182:$J$1186,"&gt;"&amp;J1182)+COUNTIFS($I$1182:I1182,"&gt;0",$J$1182:J1182,J1182))))</x:f>
        <x:v>6</x:v>
      </x:c>
      <x:c r="P1182" s="22" t="n">
        <x:f>IF(T1182="Ready",MIN(U1182,MAX(0,G1182-SUMIFS($U$1182:$U$1186,$O$1182:$O$1186,"&lt;"&amp;O1182))),"n.a.")</x:f>
        <x:v>0</x:v>
      </x:c>
      <x:c r="Q1182" s="22" t="n">
        <x:f>IF(T1182="Ready",ROUND(N1182+P1182,2),"n.a.")</x:f>
        <x:v>0</x:v>
      </x:c>
      <x:c r="R1182" s="22" t="n">
        <x:f>IF(T1182="Ready",ROUND(Q1182-M1182,2),"n.a.")</x:f>
        <x:v>0</x:v>
      </x:c>
      <x:c r="S1182" s="22" t="n">
        <x:f>IF(T1182="Ready",MAX(0,ROUND(I1182+M1182-Q1182,2)),"n.a.")</x:f>
        <x:v>0</x:v>
      </x:c>
      <x:c r="T1182" s="22" t="str">
        <x:f>IF(AND(COUNT($I$1182:$I$1186)=5,COUNT(E1182:F1182)=2),IF(E1182&gt;=F1182,"Ready","Budget below minima"),"Check inputs")</x:f>
        <x:v>Ready</x:v>
      </x:c>
      <x:c r="U1182" s="22" t="n">
        <x:f>IF(COUNT(I1182,M1182,N1182)=3,MAX(0,ROUND(I1182+M1182-N1182,2)),"n.a.")</x:f>
        <x:v>0</x:v>
      </x:c>
    </x:row>
    <x:row r="1183" ht="22" customHeight="1">
      <x:c r="A1183" s="2"/>
      <x:c r="B1183" s="2"/>
      <x:c r="C1183" s="27" t="n">
        <x:f>236</x:f>
        <x:v>236</x:v>
      </x:c>
      <x:c r="D1183" s="28" t="n">
        <x:f>IF(ISNUMBER('Inputs'!$D$7),EDATE('Inputs'!$D$7,235),"n.a.")</x:f>
        <x:v>53479</x:v>
      </x:c>
      <x:c r="E1183" s="26" t="n">
        <x:f>IF('Inputs'!$D$9&lt;&gt;"Ready","n.a.",IF(ISNUMBER('Inputs'!E254),IF('Inputs'!E254&gt;=0,'Inputs'!E254,"n.a."),IF('Inputs'!E254="",'Inputs'!$D$6,"n.a.")))</x:f>
        <x:v>500</x:v>
      </x:c>
      <x:c r="F1183" s="22" t="n">
        <x:f>IF(COUNT($N$1182:$N$1186)=5,SUM($N$1182:$N$1186),"n.a.")</x:f>
        <x:v>0</x:v>
      </x:c>
      <x:c r="G1183" s="22" t="n">
        <x:f>IF(COUNT(E1183:F1183)=2,MAX(0,E1183-F1183),"n.a.")</x:f>
        <x:v>500</x:v>
      </x:c>
      <x:c r="H1183" s="26" t="str">
        <x:f>'Inputs'!C12</x:f>
        <x:v>Card B</x:v>
      </x:c>
      <x:c r="I1183" s="26" t="n">
        <x:f>S1178</x:f>
        <x:v>0</x:v>
      </x:c>
      <x:c r="J1183" s="29" t="n">
        <x:f>IF('Inputs'!$D$9="Ready",'Inputs'!E12,"n.a.")</x:f>
        <x:v>0.18</x:v>
      </x:c>
      <x:c r="K1183" s="26" t="n">
        <x:f>IF('Inputs'!$D$9="Ready",'Inputs'!F12,"n.a.")</x:f>
        <x:v>60</x:v>
      </x:c>
      <x:c r="L1183" s="29" t="n">
        <x:f>IF('Inputs'!$D$9="Ready",'Inputs'!G12,"n.a.")</x:f>
        <x:v>0.02</x:v>
      </x:c>
      <x:c r="M1183" s="22" t="n">
        <x:f>IF(COUNT(I1183:L1183)=4,ROUND(I1183*J1183/12,2),"n.a.")</x:f>
        <x:v>0</x:v>
      </x:c>
      <x:c r="N1183" s="22" t="n">
        <x:f>IF(COUNT(I1183:M1183)=5,MIN(I1183+M1183,ROUND(MAX(K1183,I1183*L1183+M1183),2)),"n.a.")</x:f>
        <x:v>0</x:v>
      </x:c>
      <x:c r="O1183" s="30" t="n">
        <x:f>IF(COUNT($I$1182:$I$1186)&lt;&gt;5,"n.a.",IF(I1183=0,6,IF('Inputs'!$D$5=1,COUNTIFS($I$1182:$I$1186,"&gt;0",$I$1182:$I$1186,"&lt;"&amp;I1183)+COUNTIFS($I$1182:I1183,I1183),COUNTIFS($I$1182:$I$1186,"&gt;0",$J$1182:$J$1186,"&gt;"&amp;J1183)+COUNTIFS($I$1182:I1183,"&gt;0",$J$1182:J1183,J1183))))</x:f>
        <x:v>6</x:v>
      </x:c>
      <x:c r="P1183" s="22" t="n">
        <x:f>IF(T1183="Ready",MIN(U1183,MAX(0,G1183-SUMIFS($U$1182:$U$1186,$O$1182:$O$1186,"&lt;"&amp;O1183))),"n.a.")</x:f>
        <x:v>0</x:v>
      </x:c>
      <x:c r="Q1183" s="22" t="n">
        <x:f>IF(T1183="Ready",ROUND(N1183+P1183,2),"n.a.")</x:f>
        <x:v>0</x:v>
      </x:c>
      <x:c r="R1183" s="22" t="n">
        <x:f>IF(T1183="Ready",ROUND(Q1183-M1183,2),"n.a.")</x:f>
        <x:v>0</x:v>
      </x:c>
      <x:c r="S1183" s="22" t="n">
        <x:f>IF(T1183="Ready",MAX(0,ROUND(I1183+M1183-Q1183,2)),"n.a.")</x:f>
        <x:v>0</x:v>
      </x:c>
      <x:c r="T1183" s="22" t="str">
        <x:f>IF(AND(COUNT($I$1182:$I$1186)=5,COUNT(E1183:F1183)=2),IF(E1183&gt;=F1183,"Ready","Budget below minima"),"Check inputs")</x:f>
        <x:v>Ready</x:v>
      </x:c>
      <x:c r="U1183" s="22" t="n">
        <x:f>IF(COUNT(I1183,M1183,N1183)=3,MAX(0,ROUND(I1183+M1183-N1183,2)),"n.a.")</x:f>
        <x:v>0</x:v>
      </x:c>
    </x:row>
    <x:row r="1184" ht="22" customHeight="1">
      <x:c r="A1184" s="2"/>
      <x:c r="B1184" s="2"/>
      <x:c r="C1184" s="27" t="n">
        <x:f>236</x:f>
        <x:v>236</x:v>
      </x:c>
      <x:c r="D1184" s="28" t="n">
        <x:f>IF(ISNUMBER('Inputs'!$D$7),EDATE('Inputs'!$D$7,235),"n.a.")</x:f>
        <x:v>53479</x:v>
      </x:c>
      <x:c r="E1184" s="26" t="n">
        <x:f>IF('Inputs'!$D$9&lt;&gt;"Ready","n.a.",IF(ISNUMBER('Inputs'!E254),IF('Inputs'!E254&gt;=0,'Inputs'!E254,"n.a."),IF('Inputs'!E254="",'Inputs'!$D$6,"n.a.")))</x:f>
        <x:v>500</x:v>
      </x:c>
      <x:c r="F1184" s="22" t="n">
        <x:f>IF(COUNT($N$1182:$N$1186)=5,SUM($N$1182:$N$1186),"n.a.")</x:f>
        <x:v>0</x:v>
      </x:c>
      <x:c r="G1184" s="22" t="n">
        <x:f>IF(COUNT(E1184:F1184)=2,MAX(0,E1184-F1184),"n.a.")</x:f>
        <x:v>500</x:v>
      </x:c>
      <x:c r="H1184" s="26" t="str">
        <x:f>'Inputs'!C13</x:f>
        <x:v>Loan C</x:v>
      </x:c>
      <x:c r="I1184" s="26" t="n">
        <x:f>S1179</x:f>
        <x:v>0</x:v>
      </x:c>
      <x:c r="J1184" s="29" t="n">
        <x:f>IF('Inputs'!$D$9="Ready",'Inputs'!E13,"n.a.")</x:f>
        <x:v>0.08</x:v>
      </x:c>
      <x:c r="K1184" s="26" t="n">
        <x:f>IF('Inputs'!$D$9="Ready",'Inputs'!F13,"n.a.")</x:f>
        <x:v>150</x:v>
      </x:c>
      <x:c r="L1184" s="29" t="n">
        <x:f>IF('Inputs'!$D$9="Ready",'Inputs'!G13,"n.a.")</x:f>
        <x:v>0</x:v>
      </x:c>
      <x:c r="M1184" s="22" t="n">
        <x:f>IF(COUNT(I1184:L1184)=4,ROUND(I1184*J1184/12,2),"n.a.")</x:f>
        <x:v>0</x:v>
      </x:c>
      <x:c r="N1184" s="22" t="n">
        <x:f>IF(COUNT(I1184:M1184)=5,MIN(I1184+M1184,ROUND(MAX(K1184,I1184*L1184+M1184),2)),"n.a.")</x:f>
        <x:v>0</x:v>
      </x:c>
      <x:c r="O1184" s="30" t="n">
        <x:f>IF(COUNT($I$1182:$I$1186)&lt;&gt;5,"n.a.",IF(I1184=0,6,IF('Inputs'!$D$5=1,COUNTIFS($I$1182:$I$1186,"&gt;0",$I$1182:$I$1186,"&lt;"&amp;I1184)+COUNTIFS($I$1182:I1184,I1184),COUNTIFS($I$1182:$I$1186,"&gt;0",$J$1182:$J$1186,"&gt;"&amp;J1184)+COUNTIFS($I$1182:I1184,"&gt;0",$J$1182:J1184,J1184))))</x:f>
        <x:v>6</x:v>
      </x:c>
      <x:c r="P1184" s="22" t="n">
        <x:f>IF(T1184="Ready",MIN(U1184,MAX(0,G1184-SUMIFS($U$1182:$U$1186,$O$1182:$O$1186,"&lt;"&amp;O1184))),"n.a.")</x:f>
        <x:v>0</x:v>
      </x:c>
      <x:c r="Q1184" s="22" t="n">
        <x:f>IF(T1184="Ready",ROUND(N1184+P1184,2),"n.a.")</x:f>
        <x:v>0</x:v>
      </x:c>
      <x:c r="R1184" s="22" t="n">
        <x:f>IF(T1184="Ready",ROUND(Q1184-M1184,2),"n.a.")</x:f>
        <x:v>0</x:v>
      </x:c>
      <x:c r="S1184" s="22" t="n">
        <x:f>IF(T1184="Ready",MAX(0,ROUND(I1184+M1184-Q1184,2)),"n.a.")</x:f>
        <x:v>0</x:v>
      </x:c>
      <x:c r="T1184" s="22" t="str">
        <x:f>IF(AND(COUNT($I$1182:$I$1186)=5,COUNT(E1184:F1184)=2),IF(E1184&gt;=F1184,"Ready","Budget below minima"),"Check inputs")</x:f>
        <x:v>Ready</x:v>
      </x:c>
      <x:c r="U1184" s="22" t="n">
        <x:f>IF(COUNT(I1184,M1184,N1184)=3,MAX(0,ROUND(I1184+M1184-N1184,2)),"n.a.")</x:f>
        <x:v>0</x:v>
      </x:c>
    </x:row>
    <x:row r="1185" ht="22" customHeight="1">
      <x:c r="A1185" s="2"/>
      <x:c r="B1185" s="2"/>
      <x:c r="C1185" s="27" t="n">
        <x:f>236</x:f>
        <x:v>236</x:v>
      </x:c>
      <x:c r="D1185" s="28" t="n">
        <x:f>IF(ISNUMBER('Inputs'!$D$7),EDATE('Inputs'!$D$7,235),"n.a.")</x:f>
        <x:v>53479</x:v>
      </x:c>
      <x:c r="E1185" s="26" t="n">
        <x:f>IF('Inputs'!$D$9&lt;&gt;"Ready","n.a.",IF(ISNUMBER('Inputs'!E254),IF('Inputs'!E254&gt;=0,'Inputs'!E254,"n.a."),IF('Inputs'!E254="",'Inputs'!$D$6,"n.a.")))</x:f>
        <x:v>500</x:v>
      </x:c>
      <x:c r="F1185" s="22" t="n">
        <x:f>IF(COUNT($N$1182:$N$1186)=5,SUM($N$1182:$N$1186),"n.a.")</x:f>
        <x:v>0</x:v>
      </x:c>
      <x:c r="G1185" s="22" t="n">
        <x:f>IF(COUNT(E1185:F1185)=2,MAX(0,E1185-F1185),"n.a.")</x:f>
        <x:v>500</x:v>
      </x:c>
      <x:c r="H1185" s="26" t="str">
        <x:f>'Inputs'!C14</x:f>
        <x:v>Unused 4</x:v>
      </x:c>
      <x:c r="I1185" s="26" t="n">
        <x:f>S1180</x:f>
        <x:v>0</x:v>
      </x:c>
      <x:c r="J1185" s="29" t="n">
        <x:f>IF('Inputs'!$D$9="Ready",'Inputs'!E14,"n.a.")</x:f>
        <x:v>0</x:v>
      </x:c>
      <x:c r="K1185" s="26" t="n">
        <x:f>IF('Inputs'!$D$9="Ready",'Inputs'!F14,"n.a.")</x:f>
        <x:v>0</x:v>
      </x:c>
      <x:c r="L1185" s="29" t="n">
        <x:f>IF('Inputs'!$D$9="Ready",'Inputs'!G14,"n.a.")</x:f>
        <x:v>0</x:v>
      </x:c>
      <x:c r="M1185" s="22" t="n">
        <x:f>IF(COUNT(I1185:L1185)=4,ROUND(I1185*J1185/12,2),"n.a.")</x:f>
        <x:v>0</x:v>
      </x:c>
      <x:c r="N1185" s="22" t="n">
        <x:f>IF(COUNT(I1185:M1185)=5,MIN(I1185+M1185,ROUND(MAX(K1185,I1185*L1185+M1185),2)),"n.a.")</x:f>
        <x:v>0</x:v>
      </x:c>
      <x:c r="O1185" s="30" t="n">
        <x:f>IF(COUNT($I$1182:$I$1186)&lt;&gt;5,"n.a.",IF(I1185=0,6,IF('Inputs'!$D$5=1,COUNTIFS($I$1182:$I$1186,"&gt;0",$I$1182:$I$1186,"&lt;"&amp;I1185)+COUNTIFS($I$1182:I1185,I1185),COUNTIFS($I$1182:$I$1186,"&gt;0",$J$1182:$J$1186,"&gt;"&amp;J1185)+COUNTIFS($I$1182:I1185,"&gt;0",$J$1182:J1185,J1185))))</x:f>
        <x:v>6</x:v>
      </x:c>
      <x:c r="P1185" s="22" t="n">
        <x:f>IF(T1185="Ready",MIN(U1185,MAX(0,G1185-SUMIFS($U$1182:$U$1186,$O$1182:$O$1186,"&lt;"&amp;O1185))),"n.a.")</x:f>
        <x:v>0</x:v>
      </x:c>
      <x:c r="Q1185" s="22" t="n">
        <x:f>IF(T1185="Ready",ROUND(N1185+P1185,2),"n.a.")</x:f>
        <x:v>0</x:v>
      </x:c>
      <x:c r="R1185" s="22" t="n">
        <x:f>IF(T1185="Ready",ROUND(Q1185-M1185,2),"n.a.")</x:f>
        <x:v>0</x:v>
      </x:c>
      <x:c r="S1185" s="22" t="n">
        <x:f>IF(T1185="Ready",MAX(0,ROUND(I1185+M1185-Q1185,2)),"n.a.")</x:f>
        <x:v>0</x:v>
      </x:c>
      <x:c r="T1185" s="22" t="str">
        <x:f>IF(AND(COUNT($I$1182:$I$1186)=5,COUNT(E1185:F1185)=2),IF(E1185&gt;=F1185,"Ready","Budget below minima"),"Check inputs")</x:f>
        <x:v>Ready</x:v>
      </x:c>
      <x:c r="U1185" s="22" t="n">
        <x:f>IF(COUNT(I1185,M1185,N1185)=3,MAX(0,ROUND(I1185+M1185-N1185,2)),"n.a.")</x:f>
        <x:v>0</x:v>
      </x:c>
    </x:row>
    <x:row r="1186" ht="22" customHeight="1">
      <x:c r="A1186" s="2"/>
      <x:c r="B1186" s="2"/>
      <x:c r="C1186" s="27" t="n">
        <x:f>236</x:f>
        <x:v>236</x:v>
      </x:c>
      <x:c r="D1186" s="28" t="n">
        <x:f>IF(ISNUMBER('Inputs'!$D$7),EDATE('Inputs'!$D$7,235),"n.a.")</x:f>
        <x:v>53479</x:v>
      </x:c>
      <x:c r="E1186" s="26" t="n">
        <x:f>IF('Inputs'!$D$9&lt;&gt;"Ready","n.a.",IF(ISNUMBER('Inputs'!E254),IF('Inputs'!E254&gt;=0,'Inputs'!E254,"n.a."),IF('Inputs'!E254="",'Inputs'!$D$6,"n.a.")))</x:f>
        <x:v>500</x:v>
      </x:c>
      <x:c r="F1186" s="22" t="n">
        <x:f>IF(COUNT($N$1182:$N$1186)=5,SUM($N$1182:$N$1186),"n.a.")</x:f>
        <x:v>0</x:v>
      </x:c>
      <x:c r="G1186" s="22" t="n">
        <x:f>IF(COUNT(E1186:F1186)=2,MAX(0,E1186-F1186),"n.a.")</x:f>
        <x:v>500</x:v>
      </x:c>
      <x:c r="H1186" s="26" t="str">
        <x:f>'Inputs'!C15</x:f>
        <x:v>Unused 5</x:v>
      </x:c>
      <x:c r="I1186" s="26" t="n">
        <x:f>S1181</x:f>
        <x:v>0</x:v>
      </x:c>
      <x:c r="J1186" s="29" t="n">
        <x:f>IF('Inputs'!$D$9="Ready",'Inputs'!E15,"n.a.")</x:f>
        <x:v>0</x:v>
      </x:c>
      <x:c r="K1186" s="26" t="n">
        <x:f>IF('Inputs'!$D$9="Ready",'Inputs'!F15,"n.a.")</x:f>
        <x:v>0</x:v>
      </x:c>
      <x:c r="L1186" s="29" t="n">
        <x:f>IF('Inputs'!$D$9="Ready",'Inputs'!G15,"n.a.")</x:f>
        <x:v>0</x:v>
      </x:c>
      <x:c r="M1186" s="22" t="n">
        <x:f>IF(COUNT(I1186:L1186)=4,ROUND(I1186*J1186/12,2),"n.a.")</x:f>
        <x:v>0</x:v>
      </x:c>
      <x:c r="N1186" s="22" t="n">
        <x:f>IF(COUNT(I1186:M1186)=5,MIN(I1186+M1186,ROUND(MAX(K1186,I1186*L1186+M1186),2)),"n.a.")</x:f>
        <x:v>0</x:v>
      </x:c>
      <x:c r="O1186" s="30" t="n">
        <x:f>IF(COUNT($I$1182:$I$1186)&lt;&gt;5,"n.a.",IF(I1186=0,6,IF('Inputs'!$D$5=1,COUNTIFS($I$1182:$I$1186,"&gt;0",$I$1182:$I$1186,"&lt;"&amp;I1186)+COUNTIFS($I$1182:I1186,I1186),COUNTIFS($I$1182:$I$1186,"&gt;0",$J$1182:$J$1186,"&gt;"&amp;J1186)+COUNTIFS($I$1182:I1186,"&gt;0",$J$1182:J1186,J1186))))</x:f>
        <x:v>6</x:v>
      </x:c>
      <x:c r="P1186" s="22" t="n">
        <x:f>IF(T1186="Ready",MIN(U1186,MAX(0,G1186-SUMIFS($U$1182:$U$1186,$O$1182:$O$1186,"&lt;"&amp;O1186))),"n.a.")</x:f>
        <x:v>0</x:v>
      </x:c>
      <x:c r="Q1186" s="22" t="n">
        <x:f>IF(T1186="Ready",ROUND(N1186+P1186,2),"n.a.")</x:f>
        <x:v>0</x:v>
      </x:c>
      <x:c r="R1186" s="22" t="n">
        <x:f>IF(T1186="Ready",ROUND(Q1186-M1186,2),"n.a.")</x:f>
        <x:v>0</x:v>
      </x:c>
      <x:c r="S1186" s="22" t="n">
        <x:f>IF(T1186="Ready",MAX(0,ROUND(I1186+M1186-Q1186,2)),"n.a.")</x:f>
        <x:v>0</x:v>
      </x:c>
      <x:c r="T1186" s="22" t="str">
        <x:f>IF(AND(COUNT($I$1182:$I$1186)=5,COUNT(E1186:F1186)=2),IF(E1186&gt;=F1186,"Ready","Budget below minima"),"Check inputs")</x:f>
        <x:v>Ready</x:v>
      </x:c>
      <x:c r="U1186" s="22" t="n">
        <x:f>IF(COUNT(I1186,M1186,N1186)=3,MAX(0,ROUND(I1186+M1186-N1186,2)),"n.a.")</x:f>
        <x:v>0</x:v>
      </x:c>
    </x:row>
    <x:row r="1187" ht="22" customHeight="1">
      <x:c r="A1187" s="2"/>
      <x:c r="B1187" s="2"/>
      <x:c r="C1187" s="27" t="n">
        <x:f>237</x:f>
        <x:v>237</x:v>
      </x:c>
      <x:c r="D1187" s="28" t="n">
        <x:f>IF(ISNUMBER('Inputs'!$D$7),EDATE('Inputs'!$D$7,236),"n.a.")</x:f>
        <x:v>53509</x:v>
      </x:c>
      <x:c r="E1187" s="26" t="n">
        <x:f>IF('Inputs'!$D$9&lt;&gt;"Ready","n.a.",IF(ISNUMBER('Inputs'!E255),IF('Inputs'!E255&gt;=0,'Inputs'!E255,"n.a."),IF('Inputs'!E255="",'Inputs'!$D$6,"n.a.")))</x:f>
        <x:v>500</x:v>
      </x:c>
      <x:c r="F1187" s="22" t="n">
        <x:f>IF(COUNT($N$1187:$N$1191)=5,SUM($N$1187:$N$1191),"n.a.")</x:f>
        <x:v>0</x:v>
      </x:c>
      <x:c r="G1187" s="22" t="n">
        <x:f>IF(COUNT(E1187:F1187)=2,MAX(0,E1187-F1187),"n.a.")</x:f>
        <x:v>500</x:v>
      </x:c>
      <x:c r="H1187" s="26" t="str">
        <x:f>'Inputs'!C11</x:f>
        <x:v>Card A</x:v>
      </x:c>
      <x:c r="I1187" s="26" t="n">
        <x:f>S1182</x:f>
        <x:v>0</x:v>
      </x:c>
      <x:c r="J1187" s="29" t="n">
        <x:f>IF('Inputs'!$D$9="Ready",'Inputs'!E11,"n.a.")</x:f>
        <x:v>0.24</x:v>
      </x:c>
      <x:c r="K1187" s="26" t="n">
        <x:f>IF('Inputs'!$D$9="Ready",'Inputs'!F11,"n.a.")</x:f>
        <x:v>35</x:v>
      </x:c>
      <x:c r="L1187" s="29" t="n">
        <x:f>IF('Inputs'!$D$9="Ready",'Inputs'!G11,"n.a.")</x:f>
        <x:v>0.02</x:v>
      </x:c>
      <x:c r="M1187" s="22" t="n">
        <x:f>IF(COUNT(I1187:L1187)=4,ROUND(I1187*J1187/12,2),"n.a.")</x:f>
        <x:v>0</x:v>
      </x:c>
      <x:c r="N1187" s="22" t="n">
        <x:f>IF(COUNT(I1187:M1187)=5,MIN(I1187+M1187,ROUND(MAX(K1187,I1187*L1187+M1187),2)),"n.a.")</x:f>
        <x:v>0</x:v>
      </x:c>
      <x:c r="O1187" s="30" t="n">
        <x:f>IF(COUNT($I$1187:$I$1191)&lt;&gt;5,"n.a.",IF(I1187=0,6,IF('Inputs'!$D$5=1,COUNTIFS($I$1187:$I$1191,"&gt;0",$I$1187:$I$1191,"&lt;"&amp;I1187)+COUNTIFS($I$1187:I1187,I1187),COUNTIFS($I$1187:$I$1191,"&gt;0",$J$1187:$J$1191,"&gt;"&amp;J1187)+COUNTIFS($I$1187:I1187,"&gt;0",$J$1187:J1187,J1187))))</x:f>
        <x:v>6</x:v>
      </x:c>
      <x:c r="P1187" s="22" t="n">
        <x:f>IF(T1187="Ready",MIN(U1187,MAX(0,G1187-SUMIFS($U$1187:$U$1191,$O$1187:$O$1191,"&lt;"&amp;O1187))),"n.a.")</x:f>
        <x:v>0</x:v>
      </x:c>
      <x:c r="Q1187" s="22" t="n">
        <x:f>IF(T1187="Ready",ROUND(N1187+P1187,2),"n.a.")</x:f>
        <x:v>0</x:v>
      </x:c>
      <x:c r="R1187" s="22" t="n">
        <x:f>IF(T1187="Ready",ROUND(Q1187-M1187,2),"n.a.")</x:f>
        <x:v>0</x:v>
      </x:c>
      <x:c r="S1187" s="22" t="n">
        <x:f>IF(T1187="Ready",MAX(0,ROUND(I1187+M1187-Q1187,2)),"n.a.")</x:f>
        <x:v>0</x:v>
      </x:c>
      <x:c r="T1187" s="22" t="str">
        <x:f>IF(AND(COUNT($I$1187:$I$1191)=5,COUNT(E1187:F1187)=2),IF(E1187&gt;=F1187,"Ready","Budget below minima"),"Check inputs")</x:f>
        <x:v>Ready</x:v>
      </x:c>
      <x:c r="U1187" s="22" t="n">
        <x:f>IF(COUNT(I1187,M1187,N1187)=3,MAX(0,ROUND(I1187+M1187-N1187,2)),"n.a.")</x:f>
        <x:v>0</x:v>
      </x:c>
    </x:row>
    <x:row r="1188" ht="22" customHeight="1">
      <x:c r="A1188" s="2"/>
      <x:c r="B1188" s="2"/>
      <x:c r="C1188" s="27" t="n">
        <x:f>237</x:f>
        <x:v>237</x:v>
      </x:c>
      <x:c r="D1188" s="28" t="n">
        <x:f>IF(ISNUMBER('Inputs'!$D$7),EDATE('Inputs'!$D$7,236),"n.a.")</x:f>
        <x:v>53509</x:v>
      </x:c>
      <x:c r="E1188" s="26" t="n">
        <x:f>IF('Inputs'!$D$9&lt;&gt;"Ready","n.a.",IF(ISNUMBER('Inputs'!E255),IF('Inputs'!E255&gt;=0,'Inputs'!E255,"n.a."),IF('Inputs'!E255="",'Inputs'!$D$6,"n.a.")))</x:f>
        <x:v>500</x:v>
      </x:c>
      <x:c r="F1188" s="22" t="n">
        <x:f>IF(COUNT($N$1187:$N$1191)=5,SUM($N$1187:$N$1191),"n.a.")</x:f>
        <x:v>0</x:v>
      </x:c>
      <x:c r="G1188" s="22" t="n">
        <x:f>IF(COUNT(E1188:F1188)=2,MAX(0,E1188-F1188),"n.a.")</x:f>
        <x:v>500</x:v>
      </x:c>
      <x:c r="H1188" s="26" t="str">
        <x:f>'Inputs'!C12</x:f>
        <x:v>Card B</x:v>
      </x:c>
      <x:c r="I1188" s="26" t="n">
        <x:f>S1183</x:f>
        <x:v>0</x:v>
      </x:c>
      <x:c r="J1188" s="29" t="n">
        <x:f>IF('Inputs'!$D$9="Ready",'Inputs'!E12,"n.a.")</x:f>
        <x:v>0.18</x:v>
      </x:c>
      <x:c r="K1188" s="26" t="n">
        <x:f>IF('Inputs'!$D$9="Ready",'Inputs'!F12,"n.a.")</x:f>
        <x:v>60</x:v>
      </x:c>
      <x:c r="L1188" s="29" t="n">
        <x:f>IF('Inputs'!$D$9="Ready",'Inputs'!G12,"n.a.")</x:f>
        <x:v>0.02</x:v>
      </x:c>
      <x:c r="M1188" s="22" t="n">
        <x:f>IF(COUNT(I1188:L1188)=4,ROUND(I1188*J1188/12,2),"n.a.")</x:f>
        <x:v>0</x:v>
      </x:c>
      <x:c r="N1188" s="22" t="n">
        <x:f>IF(COUNT(I1188:M1188)=5,MIN(I1188+M1188,ROUND(MAX(K1188,I1188*L1188+M1188),2)),"n.a.")</x:f>
        <x:v>0</x:v>
      </x:c>
      <x:c r="O1188" s="30" t="n">
        <x:f>IF(COUNT($I$1187:$I$1191)&lt;&gt;5,"n.a.",IF(I1188=0,6,IF('Inputs'!$D$5=1,COUNTIFS($I$1187:$I$1191,"&gt;0",$I$1187:$I$1191,"&lt;"&amp;I1188)+COUNTIFS($I$1187:I1188,I1188),COUNTIFS($I$1187:$I$1191,"&gt;0",$J$1187:$J$1191,"&gt;"&amp;J1188)+COUNTIFS($I$1187:I1188,"&gt;0",$J$1187:J1188,J1188))))</x:f>
        <x:v>6</x:v>
      </x:c>
      <x:c r="P1188" s="22" t="n">
        <x:f>IF(T1188="Ready",MIN(U1188,MAX(0,G1188-SUMIFS($U$1187:$U$1191,$O$1187:$O$1191,"&lt;"&amp;O1188))),"n.a.")</x:f>
        <x:v>0</x:v>
      </x:c>
      <x:c r="Q1188" s="22" t="n">
        <x:f>IF(T1188="Ready",ROUND(N1188+P1188,2),"n.a.")</x:f>
        <x:v>0</x:v>
      </x:c>
      <x:c r="R1188" s="22" t="n">
        <x:f>IF(T1188="Ready",ROUND(Q1188-M1188,2),"n.a.")</x:f>
        <x:v>0</x:v>
      </x:c>
      <x:c r="S1188" s="22" t="n">
        <x:f>IF(T1188="Ready",MAX(0,ROUND(I1188+M1188-Q1188,2)),"n.a.")</x:f>
        <x:v>0</x:v>
      </x:c>
      <x:c r="T1188" s="22" t="str">
        <x:f>IF(AND(COUNT($I$1187:$I$1191)=5,COUNT(E1188:F1188)=2),IF(E1188&gt;=F1188,"Ready","Budget below minima"),"Check inputs")</x:f>
        <x:v>Ready</x:v>
      </x:c>
      <x:c r="U1188" s="22" t="n">
        <x:f>IF(COUNT(I1188,M1188,N1188)=3,MAX(0,ROUND(I1188+M1188-N1188,2)),"n.a.")</x:f>
        <x:v>0</x:v>
      </x:c>
    </x:row>
    <x:row r="1189" ht="22" customHeight="1">
      <x:c r="A1189" s="2"/>
      <x:c r="B1189" s="2"/>
      <x:c r="C1189" s="27" t="n">
        <x:f>237</x:f>
        <x:v>237</x:v>
      </x:c>
      <x:c r="D1189" s="28" t="n">
        <x:f>IF(ISNUMBER('Inputs'!$D$7),EDATE('Inputs'!$D$7,236),"n.a.")</x:f>
        <x:v>53509</x:v>
      </x:c>
      <x:c r="E1189" s="26" t="n">
        <x:f>IF('Inputs'!$D$9&lt;&gt;"Ready","n.a.",IF(ISNUMBER('Inputs'!E255),IF('Inputs'!E255&gt;=0,'Inputs'!E255,"n.a."),IF('Inputs'!E255="",'Inputs'!$D$6,"n.a.")))</x:f>
        <x:v>500</x:v>
      </x:c>
      <x:c r="F1189" s="22" t="n">
        <x:f>IF(COUNT($N$1187:$N$1191)=5,SUM($N$1187:$N$1191),"n.a.")</x:f>
        <x:v>0</x:v>
      </x:c>
      <x:c r="G1189" s="22" t="n">
        <x:f>IF(COUNT(E1189:F1189)=2,MAX(0,E1189-F1189),"n.a.")</x:f>
        <x:v>500</x:v>
      </x:c>
      <x:c r="H1189" s="26" t="str">
        <x:f>'Inputs'!C13</x:f>
        <x:v>Loan C</x:v>
      </x:c>
      <x:c r="I1189" s="26" t="n">
        <x:f>S1184</x:f>
        <x:v>0</x:v>
      </x:c>
      <x:c r="J1189" s="29" t="n">
        <x:f>IF('Inputs'!$D$9="Ready",'Inputs'!E13,"n.a.")</x:f>
        <x:v>0.08</x:v>
      </x:c>
      <x:c r="K1189" s="26" t="n">
        <x:f>IF('Inputs'!$D$9="Ready",'Inputs'!F13,"n.a.")</x:f>
        <x:v>150</x:v>
      </x:c>
      <x:c r="L1189" s="29" t="n">
        <x:f>IF('Inputs'!$D$9="Ready",'Inputs'!G13,"n.a.")</x:f>
        <x:v>0</x:v>
      </x:c>
      <x:c r="M1189" s="22" t="n">
        <x:f>IF(COUNT(I1189:L1189)=4,ROUND(I1189*J1189/12,2),"n.a.")</x:f>
        <x:v>0</x:v>
      </x:c>
      <x:c r="N1189" s="22" t="n">
        <x:f>IF(COUNT(I1189:M1189)=5,MIN(I1189+M1189,ROUND(MAX(K1189,I1189*L1189+M1189),2)),"n.a.")</x:f>
        <x:v>0</x:v>
      </x:c>
      <x:c r="O1189" s="30" t="n">
        <x:f>IF(COUNT($I$1187:$I$1191)&lt;&gt;5,"n.a.",IF(I1189=0,6,IF('Inputs'!$D$5=1,COUNTIFS($I$1187:$I$1191,"&gt;0",$I$1187:$I$1191,"&lt;"&amp;I1189)+COUNTIFS($I$1187:I1189,I1189),COUNTIFS($I$1187:$I$1191,"&gt;0",$J$1187:$J$1191,"&gt;"&amp;J1189)+COUNTIFS($I$1187:I1189,"&gt;0",$J$1187:J1189,J1189))))</x:f>
        <x:v>6</x:v>
      </x:c>
      <x:c r="P1189" s="22" t="n">
        <x:f>IF(T1189="Ready",MIN(U1189,MAX(0,G1189-SUMIFS($U$1187:$U$1191,$O$1187:$O$1191,"&lt;"&amp;O1189))),"n.a.")</x:f>
        <x:v>0</x:v>
      </x:c>
      <x:c r="Q1189" s="22" t="n">
        <x:f>IF(T1189="Ready",ROUND(N1189+P1189,2),"n.a.")</x:f>
        <x:v>0</x:v>
      </x:c>
      <x:c r="R1189" s="22" t="n">
        <x:f>IF(T1189="Ready",ROUND(Q1189-M1189,2),"n.a.")</x:f>
        <x:v>0</x:v>
      </x:c>
      <x:c r="S1189" s="22" t="n">
        <x:f>IF(T1189="Ready",MAX(0,ROUND(I1189+M1189-Q1189,2)),"n.a.")</x:f>
        <x:v>0</x:v>
      </x:c>
      <x:c r="T1189" s="22" t="str">
        <x:f>IF(AND(COUNT($I$1187:$I$1191)=5,COUNT(E1189:F1189)=2),IF(E1189&gt;=F1189,"Ready","Budget below minima"),"Check inputs")</x:f>
        <x:v>Ready</x:v>
      </x:c>
      <x:c r="U1189" s="22" t="n">
        <x:f>IF(COUNT(I1189,M1189,N1189)=3,MAX(0,ROUND(I1189+M1189-N1189,2)),"n.a.")</x:f>
        <x:v>0</x:v>
      </x:c>
    </x:row>
    <x:row r="1190" ht="22" customHeight="1">
      <x:c r="A1190" s="2"/>
      <x:c r="B1190" s="2"/>
      <x:c r="C1190" s="27" t="n">
        <x:f>237</x:f>
        <x:v>237</x:v>
      </x:c>
      <x:c r="D1190" s="28" t="n">
        <x:f>IF(ISNUMBER('Inputs'!$D$7),EDATE('Inputs'!$D$7,236),"n.a.")</x:f>
        <x:v>53509</x:v>
      </x:c>
      <x:c r="E1190" s="26" t="n">
        <x:f>IF('Inputs'!$D$9&lt;&gt;"Ready","n.a.",IF(ISNUMBER('Inputs'!E255),IF('Inputs'!E255&gt;=0,'Inputs'!E255,"n.a."),IF('Inputs'!E255="",'Inputs'!$D$6,"n.a.")))</x:f>
        <x:v>500</x:v>
      </x:c>
      <x:c r="F1190" s="22" t="n">
        <x:f>IF(COUNT($N$1187:$N$1191)=5,SUM($N$1187:$N$1191),"n.a.")</x:f>
        <x:v>0</x:v>
      </x:c>
      <x:c r="G1190" s="22" t="n">
        <x:f>IF(COUNT(E1190:F1190)=2,MAX(0,E1190-F1190),"n.a.")</x:f>
        <x:v>500</x:v>
      </x:c>
      <x:c r="H1190" s="26" t="str">
        <x:f>'Inputs'!C14</x:f>
        <x:v>Unused 4</x:v>
      </x:c>
      <x:c r="I1190" s="26" t="n">
        <x:f>S1185</x:f>
        <x:v>0</x:v>
      </x:c>
      <x:c r="J1190" s="29" t="n">
        <x:f>IF('Inputs'!$D$9="Ready",'Inputs'!E14,"n.a.")</x:f>
        <x:v>0</x:v>
      </x:c>
      <x:c r="K1190" s="26" t="n">
        <x:f>IF('Inputs'!$D$9="Ready",'Inputs'!F14,"n.a.")</x:f>
        <x:v>0</x:v>
      </x:c>
      <x:c r="L1190" s="29" t="n">
        <x:f>IF('Inputs'!$D$9="Ready",'Inputs'!G14,"n.a.")</x:f>
        <x:v>0</x:v>
      </x:c>
      <x:c r="M1190" s="22" t="n">
        <x:f>IF(COUNT(I1190:L1190)=4,ROUND(I1190*J1190/12,2),"n.a.")</x:f>
        <x:v>0</x:v>
      </x:c>
      <x:c r="N1190" s="22" t="n">
        <x:f>IF(COUNT(I1190:M1190)=5,MIN(I1190+M1190,ROUND(MAX(K1190,I1190*L1190+M1190),2)),"n.a.")</x:f>
        <x:v>0</x:v>
      </x:c>
      <x:c r="O1190" s="30" t="n">
        <x:f>IF(COUNT($I$1187:$I$1191)&lt;&gt;5,"n.a.",IF(I1190=0,6,IF('Inputs'!$D$5=1,COUNTIFS($I$1187:$I$1191,"&gt;0",$I$1187:$I$1191,"&lt;"&amp;I1190)+COUNTIFS($I$1187:I1190,I1190),COUNTIFS($I$1187:$I$1191,"&gt;0",$J$1187:$J$1191,"&gt;"&amp;J1190)+COUNTIFS($I$1187:I1190,"&gt;0",$J$1187:J1190,J1190))))</x:f>
        <x:v>6</x:v>
      </x:c>
      <x:c r="P1190" s="22" t="n">
        <x:f>IF(T1190="Ready",MIN(U1190,MAX(0,G1190-SUMIFS($U$1187:$U$1191,$O$1187:$O$1191,"&lt;"&amp;O1190))),"n.a.")</x:f>
        <x:v>0</x:v>
      </x:c>
      <x:c r="Q1190" s="22" t="n">
        <x:f>IF(T1190="Ready",ROUND(N1190+P1190,2),"n.a.")</x:f>
        <x:v>0</x:v>
      </x:c>
      <x:c r="R1190" s="22" t="n">
        <x:f>IF(T1190="Ready",ROUND(Q1190-M1190,2),"n.a.")</x:f>
        <x:v>0</x:v>
      </x:c>
      <x:c r="S1190" s="22" t="n">
        <x:f>IF(T1190="Ready",MAX(0,ROUND(I1190+M1190-Q1190,2)),"n.a.")</x:f>
        <x:v>0</x:v>
      </x:c>
      <x:c r="T1190" s="22" t="str">
        <x:f>IF(AND(COUNT($I$1187:$I$1191)=5,COUNT(E1190:F1190)=2),IF(E1190&gt;=F1190,"Ready","Budget below minima"),"Check inputs")</x:f>
        <x:v>Ready</x:v>
      </x:c>
      <x:c r="U1190" s="22" t="n">
        <x:f>IF(COUNT(I1190,M1190,N1190)=3,MAX(0,ROUND(I1190+M1190-N1190,2)),"n.a.")</x:f>
        <x:v>0</x:v>
      </x:c>
    </x:row>
    <x:row r="1191" ht="22" customHeight="1">
      <x:c r="A1191" s="2"/>
      <x:c r="B1191" s="2"/>
      <x:c r="C1191" s="27" t="n">
        <x:f>237</x:f>
        <x:v>237</x:v>
      </x:c>
      <x:c r="D1191" s="28" t="n">
        <x:f>IF(ISNUMBER('Inputs'!$D$7),EDATE('Inputs'!$D$7,236),"n.a.")</x:f>
        <x:v>53509</x:v>
      </x:c>
      <x:c r="E1191" s="26" t="n">
        <x:f>IF('Inputs'!$D$9&lt;&gt;"Ready","n.a.",IF(ISNUMBER('Inputs'!E255),IF('Inputs'!E255&gt;=0,'Inputs'!E255,"n.a."),IF('Inputs'!E255="",'Inputs'!$D$6,"n.a.")))</x:f>
        <x:v>500</x:v>
      </x:c>
      <x:c r="F1191" s="22" t="n">
        <x:f>IF(COUNT($N$1187:$N$1191)=5,SUM($N$1187:$N$1191),"n.a.")</x:f>
        <x:v>0</x:v>
      </x:c>
      <x:c r="G1191" s="22" t="n">
        <x:f>IF(COUNT(E1191:F1191)=2,MAX(0,E1191-F1191),"n.a.")</x:f>
        <x:v>500</x:v>
      </x:c>
      <x:c r="H1191" s="26" t="str">
        <x:f>'Inputs'!C15</x:f>
        <x:v>Unused 5</x:v>
      </x:c>
      <x:c r="I1191" s="26" t="n">
        <x:f>S1186</x:f>
        <x:v>0</x:v>
      </x:c>
      <x:c r="J1191" s="29" t="n">
        <x:f>IF('Inputs'!$D$9="Ready",'Inputs'!E15,"n.a.")</x:f>
        <x:v>0</x:v>
      </x:c>
      <x:c r="K1191" s="26" t="n">
        <x:f>IF('Inputs'!$D$9="Ready",'Inputs'!F15,"n.a.")</x:f>
        <x:v>0</x:v>
      </x:c>
      <x:c r="L1191" s="29" t="n">
        <x:f>IF('Inputs'!$D$9="Ready",'Inputs'!G15,"n.a.")</x:f>
        <x:v>0</x:v>
      </x:c>
      <x:c r="M1191" s="22" t="n">
        <x:f>IF(COUNT(I1191:L1191)=4,ROUND(I1191*J1191/12,2),"n.a.")</x:f>
        <x:v>0</x:v>
      </x:c>
      <x:c r="N1191" s="22" t="n">
        <x:f>IF(COUNT(I1191:M1191)=5,MIN(I1191+M1191,ROUND(MAX(K1191,I1191*L1191+M1191),2)),"n.a.")</x:f>
        <x:v>0</x:v>
      </x:c>
      <x:c r="O1191" s="30" t="n">
        <x:f>IF(COUNT($I$1187:$I$1191)&lt;&gt;5,"n.a.",IF(I1191=0,6,IF('Inputs'!$D$5=1,COUNTIFS($I$1187:$I$1191,"&gt;0",$I$1187:$I$1191,"&lt;"&amp;I1191)+COUNTIFS($I$1187:I1191,I1191),COUNTIFS($I$1187:$I$1191,"&gt;0",$J$1187:$J$1191,"&gt;"&amp;J1191)+COUNTIFS($I$1187:I1191,"&gt;0",$J$1187:J1191,J1191))))</x:f>
        <x:v>6</x:v>
      </x:c>
      <x:c r="P1191" s="22" t="n">
        <x:f>IF(T1191="Ready",MIN(U1191,MAX(0,G1191-SUMIFS($U$1187:$U$1191,$O$1187:$O$1191,"&lt;"&amp;O1191))),"n.a.")</x:f>
        <x:v>0</x:v>
      </x:c>
      <x:c r="Q1191" s="22" t="n">
        <x:f>IF(T1191="Ready",ROUND(N1191+P1191,2),"n.a.")</x:f>
        <x:v>0</x:v>
      </x:c>
      <x:c r="R1191" s="22" t="n">
        <x:f>IF(T1191="Ready",ROUND(Q1191-M1191,2),"n.a.")</x:f>
        <x:v>0</x:v>
      </x:c>
      <x:c r="S1191" s="22" t="n">
        <x:f>IF(T1191="Ready",MAX(0,ROUND(I1191+M1191-Q1191,2)),"n.a.")</x:f>
        <x:v>0</x:v>
      </x:c>
      <x:c r="T1191" s="22" t="str">
        <x:f>IF(AND(COUNT($I$1187:$I$1191)=5,COUNT(E1191:F1191)=2),IF(E1191&gt;=F1191,"Ready","Budget below minima"),"Check inputs")</x:f>
        <x:v>Ready</x:v>
      </x:c>
      <x:c r="U1191" s="22" t="n">
        <x:f>IF(COUNT(I1191,M1191,N1191)=3,MAX(0,ROUND(I1191+M1191-N1191,2)),"n.a.")</x:f>
        <x:v>0</x:v>
      </x:c>
    </x:row>
    <x:row r="1192" ht="22" customHeight="1">
      <x:c r="A1192" s="2"/>
      <x:c r="B1192" s="2"/>
      <x:c r="C1192" s="27" t="n">
        <x:f>238</x:f>
        <x:v>238</x:v>
      </x:c>
      <x:c r="D1192" s="28" t="n">
        <x:f>IF(ISNUMBER('Inputs'!$D$7),EDATE('Inputs'!$D$7,237),"n.a.")</x:f>
        <x:v>53540</x:v>
      </x:c>
      <x:c r="E1192" s="26" t="n">
        <x:f>IF('Inputs'!$D$9&lt;&gt;"Ready","n.a.",IF(ISNUMBER('Inputs'!E256),IF('Inputs'!E256&gt;=0,'Inputs'!E256,"n.a."),IF('Inputs'!E256="",'Inputs'!$D$6,"n.a.")))</x:f>
        <x:v>500</x:v>
      </x:c>
      <x:c r="F1192" s="22" t="n">
        <x:f>IF(COUNT($N$1192:$N$1196)=5,SUM($N$1192:$N$1196),"n.a.")</x:f>
        <x:v>0</x:v>
      </x:c>
      <x:c r="G1192" s="22" t="n">
        <x:f>IF(COUNT(E1192:F1192)=2,MAX(0,E1192-F1192),"n.a.")</x:f>
        <x:v>500</x:v>
      </x:c>
      <x:c r="H1192" s="26" t="str">
        <x:f>'Inputs'!C11</x:f>
        <x:v>Card A</x:v>
      </x:c>
      <x:c r="I1192" s="26" t="n">
        <x:f>S1187</x:f>
        <x:v>0</x:v>
      </x:c>
      <x:c r="J1192" s="29" t="n">
        <x:f>IF('Inputs'!$D$9="Ready",'Inputs'!E11,"n.a.")</x:f>
        <x:v>0.24</x:v>
      </x:c>
      <x:c r="K1192" s="26" t="n">
        <x:f>IF('Inputs'!$D$9="Ready",'Inputs'!F11,"n.a.")</x:f>
        <x:v>35</x:v>
      </x:c>
      <x:c r="L1192" s="29" t="n">
        <x:f>IF('Inputs'!$D$9="Ready",'Inputs'!G11,"n.a.")</x:f>
        <x:v>0.02</x:v>
      </x:c>
      <x:c r="M1192" s="22" t="n">
        <x:f>IF(COUNT(I1192:L1192)=4,ROUND(I1192*J1192/12,2),"n.a.")</x:f>
        <x:v>0</x:v>
      </x:c>
      <x:c r="N1192" s="22" t="n">
        <x:f>IF(COUNT(I1192:M1192)=5,MIN(I1192+M1192,ROUND(MAX(K1192,I1192*L1192+M1192),2)),"n.a.")</x:f>
        <x:v>0</x:v>
      </x:c>
      <x:c r="O1192" s="30" t="n">
        <x:f>IF(COUNT($I$1192:$I$1196)&lt;&gt;5,"n.a.",IF(I1192=0,6,IF('Inputs'!$D$5=1,COUNTIFS($I$1192:$I$1196,"&gt;0",$I$1192:$I$1196,"&lt;"&amp;I1192)+COUNTIFS($I$1192:I1192,I1192),COUNTIFS($I$1192:$I$1196,"&gt;0",$J$1192:$J$1196,"&gt;"&amp;J1192)+COUNTIFS($I$1192:I1192,"&gt;0",$J$1192:J1192,J1192))))</x:f>
        <x:v>6</x:v>
      </x:c>
      <x:c r="P1192" s="22" t="n">
        <x:f>IF(T1192="Ready",MIN(U1192,MAX(0,G1192-SUMIFS($U$1192:$U$1196,$O$1192:$O$1196,"&lt;"&amp;O1192))),"n.a.")</x:f>
        <x:v>0</x:v>
      </x:c>
      <x:c r="Q1192" s="22" t="n">
        <x:f>IF(T1192="Ready",ROUND(N1192+P1192,2),"n.a.")</x:f>
        <x:v>0</x:v>
      </x:c>
      <x:c r="R1192" s="22" t="n">
        <x:f>IF(T1192="Ready",ROUND(Q1192-M1192,2),"n.a.")</x:f>
        <x:v>0</x:v>
      </x:c>
      <x:c r="S1192" s="22" t="n">
        <x:f>IF(T1192="Ready",MAX(0,ROUND(I1192+M1192-Q1192,2)),"n.a.")</x:f>
        <x:v>0</x:v>
      </x:c>
      <x:c r="T1192" s="22" t="str">
        <x:f>IF(AND(COUNT($I$1192:$I$1196)=5,COUNT(E1192:F1192)=2),IF(E1192&gt;=F1192,"Ready","Budget below minima"),"Check inputs")</x:f>
        <x:v>Ready</x:v>
      </x:c>
      <x:c r="U1192" s="22" t="n">
        <x:f>IF(COUNT(I1192,M1192,N1192)=3,MAX(0,ROUND(I1192+M1192-N1192,2)),"n.a.")</x:f>
        <x:v>0</x:v>
      </x:c>
    </x:row>
    <x:row r="1193" ht="22" customHeight="1">
      <x:c r="A1193" s="2"/>
      <x:c r="B1193" s="2"/>
      <x:c r="C1193" s="27" t="n">
        <x:f>238</x:f>
        <x:v>238</x:v>
      </x:c>
      <x:c r="D1193" s="28" t="n">
        <x:f>IF(ISNUMBER('Inputs'!$D$7),EDATE('Inputs'!$D$7,237),"n.a.")</x:f>
        <x:v>53540</x:v>
      </x:c>
      <x:c r="E1193" s="26" t="n">
        <x:f>IF('Inputs'!$D$9&lt;&gt;"Ready","n.a.",IF(ISNUMBER('Inputs'!E256),IF('Inputs'!E256&gt;=0,'Inputs'!E256,"n.a."),IF('Inputs'!E256="",'Inputs'!$D$6,"n.a.")))</x:f>
        <x:v>500</x:v>
      </x:c>
      <x:c r="F1193" s="22" t="n">
        <x:f>IF(COUNT($N$1192:$N$1196)=5,SUM($N$1192:$N$1196),"n.a.")</x:f>
        <x:v>0</x:v>
      </x:c>
      <x:c r="G1193" s="22" t="n">
        <x:f>IF(COUNT(E1193:F1193)=2,MAX(0,E1193-F1193),"n.a.")</x:f>
        <x:v>500</x:v>
      </x:c>
      <x:c r="H1193" s="26" t="str">
        <x:f>'Inputs'!C12</x:f>
        <x:v>Card B</x:v>
      </x:c>
      <x:c r="I1193" s="26" t="n">
        <x:f>S1188</x:f>
        <x:v>0</x:v>
      </x:c>
      <x:c r="J1193" s="29" t="n">
        <x:f>IF('Inputs'!$D$9="Ready",'Inputs'!E12,"n.a.")</x:f>
        <x:v>0.18</x:v>
      </x:c>
      <x:c r="K1193" s="26" t="n">
        <x:f>IF('Inputs'!$D$9="Ready",'Inputs'!F12,"n.a.")</x:f>
        <x:v>60</x:v>
      </x:c>
      <x:c r="L1193" s="29" t="n">
        <x:f>IF('Inputs'!$D$9="Ready",'Inputs'!G12,"n.a.")</x:f>
        <x:v>0.02</x:v>
      </x:c>
      <x:c r="M1193" s="22" t="n">
        <x:f>IF(COUNT(I1193:L1193)=4,ROUND(I1193*J1193/12,2),"n.a.")</x:f>
        <x:v>0</x:v>
      </x:c>
      <x:c r="N1193" s="22" t="n">
        <x:f>IF(COUNT(I1193:M1193)=5,MIN(I1193+M1193,ROUND(MAX(K1193,I1193*L1193+M1193),2)),"n.a.")</x:f>
        <x:v>0</x:v>
      </x:c>
      <x:c r="O1193" s="30" t="n">
        <x:f>IF(COUNT($I$1192:$I$1196)&lt;&gt;5,"n.a.",IF(I1193=0,6,IF('Inputs'!$D$5=1,COUNTIFS($I$1192:$I$1196,"&gt;0",$I$1192:$I$1196,"&lt;"&amp;I1193)+COUNTIFS($I$1192:I1193,I1193),COUNTIFS($I$1192:$I$1196,"&gt;0",$J$1192:$J$1196,"&gt;"&amp;J1193)+COUNTIFS($I$1192:I1193,"&gt;0",$J$1192:J1193,J1193))))</x:f>
        <x:v>6</x:v>
      </x:c>
      <x:c r="P1193" s="22" t="n">
        <x:f>IF(T1193="Ready",MIN(U1193,MAX(0,G1193-SUMIFS($U$1192:$U$1196,$O$1192:$O$1196,"&lt;"&amp;O1193))),"n.a.")</x:f>
        <x:v>0</x:v>
      </x:c>
      <x:c r="Q1193" s="22" t="n">
        <x:f>IF(T1193="Ready",ROUND(N1193+P1193,2),"n.a.")</x:f>
        <x:v>0</x:v>
      </x:c>
      <x:c r="R1193" s="22" t="n">
        <x:f>IF(T1193="Ready",ROUND(Q1193-M1193,2),"n.a.")</x:f>
        <x:v>0</x:v>
      </x:c>
      <x:c r="S1193" s="22" t="n">
        <x:f>IF(T1193="Ready",MAX(0,ROUND(I1193+M1193-Q1193,2)),"n.a.")</x:f>
        <x:v>0</x:v>
      </x:c>
      <x:c r="T1193" s="22" t="str">
        <x:f>IF(AND(COUNT($I$1192:$I$1196)=5,COUNT(E1193:F1193)=2),IF(E1193&gt;=F1193,"Ready","Budget below minima"),"Check inputs")</x:f>
        <x:v>Ready</x:v>
      </x:c>
      <x:c r="U1193" s="22" t="n">
        <x:f>IF(COUNT(I1193,M1193,N1193)=3,MAX(0,ROUND(I1193+M1193-N1193,2)),"n.a.")</x:f>
        <x:v>0</x:v>
      </x:c>
    </x:row>
    <x:row r="1194" ht="22" customHeight="1">
      <x:c r="A1194" s="2"/>
      <x:c r="B1194" s="2"/>
      <x:c r="C1194" s="27" t="n">
        <x:f>238</x:f>
        <x:v>238</x:v>
      </x:c>
      <x:c r="D1194" s="28" t="n">
        <x:f>IF(ISNUMBER('Inputs'!$D$7),EDATE('Inputs'!$D$7,237),"n.a.")</x:f>
        <x:v>53540</x:v>
      </x:c>
      <x:c r="E1194" s="26" t="n">
        <x:f>IF('Inputs'!$D$9&lt;&gt;"Ready","n.a.",IF(ISNUMBER('Inputs'!E256),IF('Inputs'!E256&gt;=0,'Inputs'!E256,"n.a."),IF('Inputs'!E256="",'Inputs'!$D$6,"n.a.")))</x:f>
        <x:v>500</x:v>
      </x:c>
      <x:c r="F1194" s="22" t="n">
        <x:f>IF(COUNT($N$1192:$N$1196)=5,SUM($N$1192:$N$1196),"n.a.")</x:f>
        <x:v>0</x:v>
      </x:c>
      <x:c r="G1194" s="22" t="n">
        <x:f>IF(COUNT(E1194:F1194)=2,MAX(0,E1194-F1194),"n.a.")</x:f>
        <x:v>500</x:v>
      </x:c>
      <x:c r="H1194" s="26" t="str">
        <x:f>'Inputs'!C13</x:f>
        <x:v>Loan C</x:v>
      </x:c>
      <x:c r="I1194" s="26" t="n">
        <x:f>S1189</x:f>
        <x:v>0</x:v>
      </x:c>
      <x:c r="J1194" s="29" t="n">
        <x:f>IF('Inputs'!$D$9="Ready",'Inputs'!E13,"n.a.")</x:f>
        <x:v>0.08</x:v>
      </x:c>
      <x:c r="K1194" s="26" t="n">
        <x:f>IF('Inputs'!$D$9="Ready",'Inputs'!F13,"n.a.")</x:f>
        <x:v>150</x:v>
      </x:c>
      <x:c r="L1194" s="29" t="n">
        <x:f>IF('Inputs'!$D$9="Ready",'Inputs'!G13,"n.a.")</x:f>
        <x:v>0</x:v>
      </x:c>
      <x:c r="M1194" s="22" t="n">
        <x:f>IF(COUNT(I1194:L1194)=4,ROUND(I1194*J1194/12,2),"n.a.")</x:f>
        <x:v>0</x:v>
      </x:c>
      <x:c r="N1194" s="22" t="n">
        <x:f>IF(COUNT(I1194:M1194)=5,MIN(I1194+M1194,ROUND(MAX(K1194,I1194*L1194+M1194),2)),"n.a.")</x:f>
        <x:v>0</x:v>
      </x:c>
      <x:c r="O1194" s="30" t="n">
        <x:f>IF(COUNT($I$1192:$I$1196)&lt;&gt;5,"n.a.",IF(I1194=0,6,IF('Inputs'!$D$5=1,COUNTIFS($I$1192:$I$1196,"&gt;0",$I$1192:$I$1196,"&lt;"&amp;I1194)+COUNTIFS($I$1192:I1194,I1194),COUNTIFS($I$1192:$I$1196,"&gt;0",$J$1192:$J$1196,"&gt;"&amp;J1194)+COUNTIFS($I$1192:I1194,"&gt;0",$J$1192:J1194,J1194))))</x:f>
        <x:v>6</x:v>
      </x:c>
      <x:c r="P1194" s="22" t="n">
        <x:f>IF(T1194="Ready",MIN(U1194,MAX(0,G1194-SUMIFS($U$1192:$U$1196,$O$1192:$O$1196,"&lt;"&amp;O1194))),"n.a.")</x:f>
        <x:v>0</x:v>
      </x:c>
      <x:c r="Q1194" s="22" t="n">
        <x:f>IF(T1194="Ready",ROUND(N1194+P1194,2),"n.a.")</x:f>
        <x:v>0</x:v>
      </x:c>
      <x:c r="R1194" s="22" t="n">
        <x:f>IF(T1194="Ready",ROUND(Q1194-M1194,2),"n.a.")</x:f>
        <x:v>0</x:v>
      </x:c>
      <x:c r="S1194" s="22" t="n">
        <x:f>IF(T1194="Ready",MAX(0,ROUND(I1194+M1194-Q1194,2)),"n.a.")</x:f>
        <x:v>0</x:v>
      </x:c>
      <x:c r="T1194" s="22" t="str">
        <x:f>IF(AND(COUNT($I$1192:$I$1196)=5,COUNT(E1194:F1194)=2),IF(E1194&gt;=F1194,"Ready","Budget below minima"),"Check inputs")</x:f>
        <x:v>Ready</x:v>
      </x:c>
      <x:c r="U1194" s="22" t="n">
        <x:f>IF(COUNT(I1194,M1194,N1194)=3,MAX(0,ROUND(I1194+M1194-N1194,2)),"n.a.")</x:f>
        <x:v>0</x:v>
      </x:c>
    </x:row>
    <x:row r="1195" ht="22" customHeight="1">
      <x:c r="A1195" s="2"/>
      <x:c r="B1195" s="2"/>
      <x:c r="C1195" s="27" t="n">
        <x:f>238</x:f>
        <x:v>238</x:v>
      </x:c>
      <x:c r="D1195" s="28" t="n">
        <x:f>IF(ISNUMBER('Inputs'!$D$7),EDATE('Inputs'!$D$7,237),"n.a.")</x:f>
        <x:v>53540</x:v>
      </x:c>
      <x:c r="E1195" s="26" t="n">
        <x:f>IF('Inputs'!$D$9&lt;&gt;"Ready","n.a.",IF(ISNUMBER('Inputs'!E256),IF('Inputs'!E256&gt;=0,'Inputs'!E256,"n.a."),IF('Inputs'!E256="",'Inputs'!$D$6,"n.a.")))</x:f>
        <x:v>500</x:v>
      </x:c>
      <x:c r="F1195" s="22" t="n">
        <x:f>IF(COUNT($N$1192:$N$1196)=5,SUM($N$1192:$N$1196),"n.a.")</x:f>
        <x:v>0</x:v>
      </x:c>
      <x:c r="G1195" s="22" t="n">
        <x:f>IF(COUNT(E1195:F1195)=2,MAX(0,E1195-F1195),"n.a.")</x:f>
        <x:v>500</x:v>
      </x:c>
      <x:c r="H1195" s="26" t="str">
        <x:f>'Inputs'!C14</x:f>
        <x:v>Unused 4</x:v>
      </x:c>
      <x:c r="I1195" s="26" t="n">
        <x:f>S1190</x:f>
        <x:v>0</x:v>
      </x:c>
      <x:c r="J1195" s="29" t="n">
        <x:f>IF('Inputs'!$D$9="Ready",'Inputs'!E14,"n.a.")</x:f>
        <x:v>0</x:v>
      </x:c>
      <x:c r="K1195" s="26" t="n">
        <x:f>IF('Inputs'!$D$9="Ready",'Inputs'!F14,"n.a.")</x:f>
        <x:v>0</x:v>
      </x:c>
      <x:c r="L1195" s="29" t="n">
        <x:f>IF('Inputs'!$D$9="Ready",'Inputs'!G14,"n.a.")</x:f>
        <x:v>0</x:v>
      </x:c>
      <x:c r="M1195" s="22" t="n">
        <x:f>IF(COUNT(I1195:L1195)=4,ROUND(I1195*J1195/12,2),"n.a.")</x:f>
        <x:v>0</x:v>
      </x:c>
      <x:c r="N1195" s="22" t="n">
        <x:f>IF(COUNT(I1195:M1195)=5,MIN(I1195+M1195,ROUND(MAX(K1195,I1195*L1195+M1195),2)),"n.a.")</x:f>
        <x:v>0</x:v>
      </x:c>
      <x:c r="O1195" s="30" t="n">
        <x:f>IF(COUNT($I$1192:$I$1196)&lt;&gt;5,"n.a.",IF(I1195=0,6,IF('Inputs'!$D$5=1,COUNTIFS($I$1192:$I$1196,"&gt;0",$I$1192:$I$1196,"&lt;"&amp;I1195)+COUNTIFS($I$1192:I1195,I1195),COUNTIFS($I$1192:$I$1196,"&gt;0",$J$1192:$J$1196,"&gt;"&amp;J1195)+COUNTIFS($I$1192:I1195,"&gt;0",$J$1192:J1195,J1195))))</x:f>
        <x:v>6</x:v>
      </x:c>
      <x:c r="P1195" s="22" t="n">
        <x:f>IF(T1195="Ready",MIN(U1195,MAX(0,G1195-SUMIFS($U$1192:$U$1196,$O$1192:$O$1196,"&lt;"&amp;O1195))),"n.a.")</x:f>
        <x:v>0</x:v>
      </x:c>
      <x:c r="Q1195" s="22" t="n">
        <x:f>IF(T1195="Ready",ROUND(N1195+P1195,2),"n.a.")</x:f>
        <x:v>0</x:v>
      </x:c>
      <x:c r="R1195" s="22" t="n">
        <x:f>IF(T1195="Ready",ROUND(Q1195-M1195,2),"n.a.")</x:f>
        <x:v>0</x:v>
      </x:c>
      <x:c r="S1195" s="22" t="n">
        <x:f>IF(T1195="Ready",MAX(0,ROUND(I1195+M1195-Q1195,2)),"n.a.")</x:f>
        <x:v>0</x:v>
      </x:c>
      <x:c r="T1195" s="22" t="str">
        <x:f>IF(AND(COUNT($I$1192:$I$1196)=5,COUNT(E1195:F1195)=2),IF(E1195&gt;=F1195,"Ready","Budget below minima"),"Check inputs")</x:f>
        <x:v>Ready</x:v>
      </x:c>
      <x:c r="U1195" s="22" t="n">
        <x:f>IF(COUNT(I1195,M1195,N1195)=3,MAX(0,ROUND(I1195+M1195-N1195,2)),"n.a.")</x:f>
        <x:v>0</x:v>
      </x:c>
    </x:row>
    <x:row r="1196" ht="22" customHeight="1">
      <x:c r="A1196" s="2"/>
      <x:c r="B1196" s="2"/>
      <x:c r="C1196" s="27" t="n">
        <x:f>238</x:f>
        <x:v>238</x:v>
      </x:c>
      <x:c r="D1196" s="28" t="n">
        <x:f>IF(ISNUMBER('Inputs'!$D$7),EDATE('Inputs'!$D$7,237),"n.a.")</x:f>
        <x:v>53540</x:v>
      </x:c>
      <x:c r="E1196" s="26" t="n">
        <x:f>IF('Inputs'!$D$9&lt;&gt;"Ready","n.a.",IF(ISNUMBER('Inputs'!E256),IF('Inputs'!E256&gt;=0,'Inputs'!E256,"n.a."),IF('Inputs'!E256="",'Inputs'!$D$6,"n.a.")))</x:f>
        <x:v>500</x:v>
      </x:c>
      <x:c r="F1196" s="22" t="n">
        <x:f>IF(COUNT($N$1192:$N$1196)=5,SUM($N$1192:$N$1196),"n.a.")</x:f>
        <x:v>0</x:v>
      </x:c>
      <x:c r="G1196" s="22" t="n">
        <x:f>IF(COUNT(E1196:F1196)=2,MAX(0,E1196-F1196),"n.a.")</x:f>
        <x:v>500</x:v>
      </x:c>
      <x:c r="H1196" s="26" t="str">
        <x:f>'Inputs'!C15</x:f>
        <x:v>Unused 5</x:v>
      </x:c>
      <x:c r="I1196" s="26" t="n">
        <x:f>S1191</x:f>
        <x:v>0</x:v>
      </x:c>
      <x:c r="J1196" s="29" t="n">
        <x:f>IF('Inputs'!$D$9="Ready",'Inputs'!E15,"n.a.")</x:f>
        <x:v>0</x:v>
      </x:c>
      <x:c r="K1196" s="26" t="n">
        <x:f>IF('Inputs'!$D$9="Ready",'Inputs'!F15,"n.a.")</x:f>
        <x:v>0</x:v>
      </x:c>
      <x:c r="L1196" s="29" t="n">
        <x:f>IF('Inputs'!$D$9="Ready",'Inputs'!G15,"n.a.")</x:f>
        <x:v>0</x:v>
      </x:c>
      <x:c r="M1196" s="22" t="n">
        <x:f>IF(COUNT(I1196:L1196)=4,ROUND(I1196*J1196/12,2),"n.a.")</x:f>
        <x:v>0</x:v>
      </x:c>
      <x:c r="N1196" s="22" t="n">
        <x:f>IF(COUNT(I1196:M1196)=5,MIN(I1196+M1196,ROUND(MAX(K1196,I1196*L1196+M1196),2)),"n.a.")</x:f>
        <x:v>0</x:v>
      </x:c>
      <x:c r="O1196" s="30" t="n">
        <x:f>IF(COUNT($I$1192:$I$1196)&lt;&gt;5,"n.a.",IF(I1196=0,6,IF('Inputs'!$D$5=1,COUNTIFS($I$1192:$I$1196,"&gt;0",$I$1192:$I$1196,"&lt;"&amp;I1196)+COUNTIFS($I$1192:I1196,I1196),COUNTIFS($I$1192:$I$1196,"&gt;0",$J$1192:$J$1196,"&gt;"&amp;J1196)+COUNTIFS($I$1192:I1196,"&gt;0",$J$1192:J1196,J1196))))</x:f>
        <x:v>6</x:v>
      </x:c>
      <x:c r="P1196" s="22" t="n">
        <x:f>IF(T1196="Ready",MIN(U1196,MAX(0,G1196-SUMIFS($U$1192:$U$1196,$O$1192:$O$1196,"&lt;"&amp;O1196))),"n.a.")</x:f>
        <x:v>0</x:v>
      </x:c>
      <x:c r="Q1196" s="22" t="n">
        <x:f>IF(T1196="Ready",ROUND(N1196+P1196,2),"n.a.")</x:f>
        <x:v>0</x:v>
      </x:c>
      <x:c r="R1196" s="22" t="n">
        <x:f>IF(T1196="Ready",ROUND(Q1196-M1196,2),"n.a.")</x:f>
        <x:v>0</x:v>
      </x:c>
      <x:c r="S1196" s="22" t="n">
        <x:f>IF(T1196="Ready",MAX(0,ROUND(I1196+M1196-Q1196,2)),"n.a.")</x:f>
        <x:v>0</x:v>
      </x:c>
      <x:c r="T1196" s="22" t="str">
        <x:f>IF(AND(COUNT($I$1192:$I$1196)=5,COUNT(E1196:F1196)=2),IF(E1196&gt;=F1196,"Ready","Budget below minima"),"Check inputs")</x:f>
        <x:v>Ready</x:v>
      </x:c>
      <x:c r="U1196" s="22" t="n">
        <x:f>IF(COUNT(I1196,M1196,N1196)=3,MAX(0,ROUND(I1196+M1196-N1196,2)),"n.a.")</x:f>
        <x:v>0</x:v>
      </x:c>
    </x:row>
    <x:row r="1197" ht="22" customHeight="1">
      <x:c r="A1197" s="2"/>
      <x:c r="B1197" s="2"/>
      <x:c r="C1197" s="27" t="n">
        <x:f>239</x:f>
        <x:v>239</x:v>
      </x:c>
      <x:c r="D1197" s="28" t="n">
        <x:f>IF(ISNUMBER('Inputs'!$D$7),EDATE('Inputs'!$D$7,238),"n.a.")</x:f>
        <x:v>53571</x:v>
      </x:c>
      <x:c r="E1197" s="26" t="n">
        <x:f>IF('Inputs'!$D$9&lt;&gt;"Ready","n.a.",IF(ISNUMBER('Inputs'!E257),IF('Inputs'!E257&gt;=0,'Inputs'!E257,"n.a."),IF('Inputs'!E257="",'Inputs'!$D$6,"n.a.")))</x:f>
        <x:v>500</x:v>
      </x:c>
      <x:c r="F1197" s="22" t="n">
        <x:f>IF(COUNT($N$1197:$N$1201)=5,SUM($N$1197:$N$1201),"n.a.")</x:f>
        <x:v>0</x:v>
      </x:c>
      <x:c r="G1197" s="22" t="n">
        <x:f>IF(COUNT(E1197:F1197)=2,MAX(0,E1197-F1197),"n.a.")</x:f>
        <x:v>500</x:v>
      </x:c>
      <x:c r="H1197" s="26" t="str">
        <x:f>'Inputs'!C11</x:f>
        <x:v>Card A</x:v>
      </x:c>
      <x:c r="I1197" s="26" t="n">
        <x:f>S1192</x:f>
        <x:v>0</x:v>
      </x:c>
      <x:c r="J1197" s="29" t="n">
        <x:f>IF('Inputs'!$D$9="Ready",'Inputs'!E11,"n.a.")</x:f>
        <x:v>0.24</x:v>
      </x:c>
      <x:c r="K1197" s="26" t="n">
        <x:f>IF('Inputs'!$D$9="Ready",'Inputs'!F11,"n.a.")</x:f>
        <x:v>35</x:v>
      </x:c>
      <x:c r="L1197" s="29" t="n">
        <x:f>IF('Inputs'!$D$9="Ready",'Inputs'!G11,"n.a.")</x:f>
        <x:v>0.02</x:v>
      </x:c>
      <x:c r="M1197" s="22" t="n">
        <x:f>IF(COUNT(I1197:L1197)=4,ROUND(I1197*J1197/12,2),"n.a.")</x:f>
        <x:v>0</x:v>
      </x:c>
      <x:c r="N1197" s="22" t="n">
        <x:f>IF(COUNT(I1197:M1197)=5,MIN(I1197+M1197,ROUND(MAX(K1197,I1197*L1197+M1197),2)),"n.a.")</x:f>
        <x:v>0</x:v>
      </x:c>
      <x:c r="O1197" s="30" t="n">
        <x:f>IF(COUNT($I$1197:$I$1201)&lt;&gt;5,"n.a.",IF(I1197=0,6,IF('Inputs'!$D$5=1,COUNTIFS($I$1197:$I$1201,"&gt;0",$I$1197:$I$1201,"&lt;"&amp;I1197)+COUNTIFS($I$1197:I1197,I1197),COUNTIFS($I$1197:$I$1201,"&gt;0",$J$1197:$J$1201,"&gt;"&amp;J1197)+COUNTIFS($I$1197:I1197,"&gt;0",$J$1197:J1197,J1197))))</x:f>
        <x:v>6</x:v>
      </x:c>
      <x:c r="P1197" s="22" t="n">
        <x:f>IF(T1197="Ready",MIN(U1197,MAX(0,G1197-SUMIFS($U$1197:$U$1201,$O$1197:$O$1201,"&lt;"&amp;O1197))),"n.a.")</x:f>
        <x:v>0</x:v>
      </x:c>
      <x:c r="Q1197" s="22" t="n">
        <x:f>IF(T1197="Ready",ROUND(N1197+P1197,2),"n.a.")</x:f>
        <x:v>0</x:v>
      </x:c>
      <x:c r="R1197" s="22" t="n">
        <x:f>IF(T1197="Ready",ROUND(Q1197-M1197,2),"n.a.")</x:f>
        <x:v>0</x:v>
      </x:c>
      <x:c r="S1197" s="22" t="n">
        <x:f>IF(T1197="Ready",MAX(0,ROUND(I1197+M1197-Q1197,2)),"n.a.")</x:f>
        <x:v>0</x:v>
      </x:c>
      <x:c r="T1197" s="22" t="str">
        <x:f>IF(AND(COUNT($I$1197:$I$1201)=5,COUNT(E1197:F1197)=2),IF(E1197&gt;=F1197,"Ready","Budget below minima"),"Check inputs")</x:f>
        <x:v>Ready</x:v>
      </x:c>
      <x:c r="U1197" s="22" t="n">
        <x:f>IF(COUNT(I1197,M1197,N1197)=3,MAX(0,ROUND(I1197+M1197-N1197,2)),"n.a.")</x:f>
        <x:v>0</x:v>
      </x:c>
    </x:row>
    <x:row r="1198" ht="22" customHeight="1">
      <x:c r="A1198" s="2"/>
      <x:c r="B1198" s="2"/>
      <x:c r="C1198" s="27" t="n">
        <x:f>239</x:f>
        <x:v>239</x:v>
      </x:c>
      <x:c r="D1198" s="28" t="n">
        <x:f>IF(ISNUMBER('Inputs'!$D$7),EDATE('Inputs'!$D$7,238),"n.a.")</x:f>
        <x:v>53571</x:v>
      </x:c>
      <x:c r="E1198" s="26" t="n">
        <x:f>IF('Inputs'!$D$9&lt;&gt;"Ready","n.a.",IF(ISNUMBER('Inputs'!E257),IF('Inputs'!E257&gt;=0,'Inputs'!E257,"n.a."),IF('Inputs'!E257="",'Inputs'!$D$6,"n.a.")))</x:f>
        <x:v>500</x:v>
      </x:c>
      <x:c r="F1198" s="22" t="n">
        <x:f>IF(COUNT($N$1197:$N$1201)=5,SUM($N$1197:$N$1201),"n.a.")</x:f>
        <x:v>0</x:v>
      </x:c>
      <x:c r="G1198" s="22" t="n">
        <x:f>IF(COUNT(E1198:F1198)=2,MAX(0,E1198-F1198),"n.a.")</x:f>
        <x:v>500</x:v>
      </x:c>
      <x:c r="H1198" s="26" t="str">
        <x:f>'Inputs'!C12</x:f>
        <x:v>Card B</x:v>
      </x:c>
      <x:c r="I1198" s="26" t="n">
        <x:f>S1193</x:f>
        <x:v>0</x:v>
      </x:c>
      <x:c r="J1198" s="29" t="n">
        <x:f>IF('Inputs'!$D$9="Ready",'Inputs'!E12,"n.a.")</x:f>
        <x:v>0.18</x:v>
      </x:c>
      <x:c r="K1198" s="26" t="n">
        <x:f>IF('Inputs'!$D$9="Ready",'Inputs'!F12,"n.a.")</x:f>
        <x:v>60</x:v>
      </x:c>
      <x:c r="L1198" s="29" t="n">
        <x:f>IF('Inputs'!$D$9="Ready",'Inputs'!G12,"n.a.")</x:f>
        <x:v>0.02</x:v>
      </x:c>
      <x:c r="M1198" s="22" t="n">
        <x:f>IF(COUNT(I1198:L1198)=4,ROUND(I1198*J1198/12,2),"n.a.")</x:f>
        <x:v>0</x:v>
      </x:c>
      <x:c r="N1198" s="22" t="n">
        <x:f>IF(COUNT(I1198:M1198)=5,MIN(I1198+M1198,ROUND(MAX(K1198,I1198*L1198+M1198),2)),"n.a.")</x:f>
        <x:v>0</x:v>
      </x:c>
      <x:c r="O1198" s="30" t="n">
        <x:f>IF(COUNT($I$1197:$I$1201)&lt;&gt;5,"n.a.",IF(I1198=0,6,IF('Inputs'!$D$5=1,COUNTIFS($I$1197:$I$1201,"&gt;0",$I$1197:$I$1201,"&lt;"&amp;I1198)+COUNTIFS($I$1197:I1198,I1198),COUNTIFS($I$1197:$I$1201,"&gt;0",$J$1197:$J$1201,"&gt;"&amp;J1198)+COUNTIFS($I$1197:I1198,"&gt;0",$J$1197:J1198,J1198))))</x:f>
        <x:v>6</x:v>
      </x:c>
      <x:c r="P1198" s="22" t="n">
        <x:f>IF(T1198="Ready",MIN(U1198,MAX(0,G1198-SUMIFS($U$1197:$U$1201,$O$1197:$O$1201,"&lt;"&amp;O1198))),"n.a.")</x:f>
        <x:v>0</x:v>
      </x:c>
      <x:c r="Q1198" s="22" t="n">
        <x:f>IF(T1198="Ready",ROUND(N1198+P1198,2),"n.a.")</x:f>
        <x:v>0</x:v>
      </x:c>
      <x:c r="R1198" s="22" t="n">
        <x:f>IF(T1198="Ready",ROUND(Q1198-M1198,2),"n.a.")</x:f>
        <x:v>0</x:v>
      </x:c>
      <x:c r="S1198" s="22" t="n">
        <x:f>IF(T1198="Ready",MAX(0,ROUND(I1198+M1198-Q1198,2)),"n.a.")</x:f>
        <x:v>0</x:v>
      </x:c>
      <x:c r="T1198" s="22" t="str">
        <x:f>IF(AND(COUNT($I$1197:$I$1201)=5,COUNT(E1198:F1198)=2),IF(E1198&gt;=F1198,"Ready","Budget below minima"),"Check inputs")</x:f>
        <x:v>Ready</x:v>
      </x:c>
      <x:c r="U1198" s="22" t="n">
        <x:f>IF(COUNT(I1198,M1198,N1198)=3,MAX(0,ROUND(I1198+M1198-N1198,2)),"n.a.")</x:f>
        <x:v>0</x:v>
      </x:c>
    </x:row>
    <x:row r="1199" ht="22" customHeight="1">
      <x:c r="A1199" s="2"/>
      <x:c r="B1199" s="2"/>
      <x:c r="C1199" s="27" t="n">
        <x:f>239</x:f>
        <x:v>239</x:v>
      </x:c>
      <x:c r="D1199" s="28" t="n">
        <x:f>IF(ISNUMBER('Inputs'!$D$7),EDATE('Inputs'!$D$7,238),"n.a.")</x:f>
        <x:v>53571</x:v>
      </x:c>
      <x:c r="E1199" s="26" t="n">
        <x:f>IF('Inputs'!$D$9&lt;&gt;"Ready","n.a.",IF(ISNUMBER('Inputs'!E257),IF('Inputs'!E257&gt;=0,'Inputs'!E257,"n.a."),IF('Inputs'!E257="",'Inputs'!$D$6,"n.a.")))</x:f>
        <x:v>500</x:v>
      </x:c>
      <x:c r="F1199" s="22" t="n">
        <x:f>IF(COUNT($N$1197:$N$1201)=5,SUM($N$1197:$N$1201),"n.a.")</x:f>
        <x:v>0</x:v>
      </x:c>
      <x:c r="G1199" s="22" t="n">
        <x:f>IF(COUNT(E1199:F1199)=2,MAX(0,E1199-F1199),"n.a.")</x:f>
        <x:v>500</x:v>
      </x:c>
      <x:c r="H1199" s="26" t="str">
        <x:f>'Inputs'!C13</x:f>
        <x:v>Loan C</x:v>
      </x:c>
      <x:c r="I1199" s="26" t="n">
        <x:f>S1194</x:f>
        <x:v>0</x:v>
      </x:c>
      <x:c r="J1199" s="29" t="n">
        <x:f>IF('Inputs'!$D$9="Ready",'Inputs'!E13,"n.a.")</x:f>
        <x:v>0.08</x:v>
      </x:c>
      <x:c r="K1199" s="26" t="n">
        <x:f>IF('Inputs'!$D$9="Ready",'Inputs'!F13,"n.a.")</x:f>
        <x:v>150</x:v>
      </x:c>
      <x:c r="L1199" s="29" t="n">
        <x:f>IF('Inputs'!$D$9="Ready",'Inputs'!G13,"n.a.")</x:f>
        <x:v>0</x:v>
      </x:c>
      <x:c r="M1199" s="22" t="n">
        <x:f>IF(COUNT(I1199:L1199)=4,ROUND(I1199*J1199/12,2),"n.a.")</x:f>
        <x:v>0</x:v>
      </x:c>
      <x:c r="N1199" s="22" t="n">
        <x:f>IF(COUNT(I1199:M1199)=5,MIN(I1199+M1199,ROUND(MAX(K1199,I1199*L1199+M1199),2)),"n.a.")</x:f>
        <x:v>0</x:v>
      </x:c>
      <x:c r="O1199" s="30" t="n">
        <x:f>IF(COUNT($I$1197:$I$1201)&lt;&gt;5,"n.a.",IF(I1199=0,6,IF('Inputs'!$D$5=1,COUNTIFS($I$1197:$I$1201,"&gt;0",$I$1197:$I$1201,"&lt;"&amp;I1199)+COUNTIFS($I$1197:I1199,I1199),COUNTIFS($I$1197:$I$1201,"&gt;0",$J$1197:$J$1201,"&gt;"&amp;J1199)+COUNTIFS($I$1197:I1199,"&gt;0",$J$1197:J1199,J1199))))</x:f>
        <x:v>6</x:v>
      </x:c>
      <x:c r="P1199" s="22" t="n">
        <x:f>IF(T1199="Ready",MIN(U1199,MAX(0,G1199-SUMIFS($U$1197:$U$1201,$O$1197:$O$1201,"&lt;"&amp;O1199))),"n.a.")</x:f>
        <x:v>0</x:v>
      </x:c>
      <x:c r="Q1199" s="22" t="n">
        <x:f>IF(T1199="Ready",ROUND(N1199+P1199,2),"n.a.")</x:f>
        <x:v>0</x:v>
      </x:c>
      <x:c r="R1199" s="22" t="n">
        <x:f>IF(T1199="Ready",ROUND(Q1199-M1199,2),"n.a.")</x:f>
        <x:v>0</x:v>
      </x:c>
      <x:c r="S1199" s="22" t="n">
        <x:f>IF(T1199="Ready",MAX(0,ROUND(I1199+M1199-Q1199,2)),"n.a.")</x:f>
        <x:v>0</x:v>
      </x:c>
      <x:c r="T1199" s="22" t="str">
        <x:f>IF(AND(COUNT($I$1197:$I$1201)=5,COUNT(E1199:F1199)=2),IF(E1199&gt;=F1199,"Ready","Budget below minima"),"Check inputs")</x:f>
        <x:v>Ready</x:v>
      </x:c>
      <x:c r="U1199" s="22" t="n">
        <x:f>IF(COUNT(I1199,M1199,N1199)=3,MAX(0,ROUND(I1199+M1199-N1199,2)),"n.a.")</x:f>
        <x:v>0</x:v>
      </x:c>
    </x:row>
    <x:row r="1200" ht="22" customHeight="1">
      <x:c r="A1200" s="2"/>
      <x:c r="B1200" s="2"/>
      <x:c r="C1200" s="27" t="n">
        <x:f>239</x:f>
        <x:v>239</x:v>
      </x:c>
      <x:c r="D1200" s="28" t="n">
        <x:f>IF(ISNUMBER('Inputs'!$D$7),EDATE('Inputs'!$D$7,238),"n.a.")</x:f>
        <x:v>53571</x:v>
      </x:c>
      <x:c r="E1200" s="26" t="n">
        <x:f>IF('Inputs'!$D$9&lt;&gt;"Ready","n.a.",IF(ISNUMBER('Inputs'!E257),IF('Inputs'!E257&gt;=0,'Inputs'!E257,"n.a."),IF('Inputs'!E257="",'Inputs'!$D$6,"n.a.")))</x:f>
        <x:v>500</x:v>
      </x:c>
      <x:c r="F1200" s="22" t="n">
        <x:f>IF(COUNT($N$1197:$N$1201)=5,SUM($N$1197:$N$1201),"n.a.")</x:f>
        <x:v>0</x:v>
      </x:c>
      <x:c r="G1200" s="22" t="n">
        <x:f>IF(COUNT(E1200:F1200)=2,MAX(0,E1200-F1200),"n.a.")</x:f>
        <x:v>500</x:v>
      </x:c>
      <x:c r="H1200" s="26" t="str">
        <x:f>'Inputs'!C14</x:f>
        <x:v>Unused 4</x:v>
      </x:c>
      <x:c r="I1200" s="26" t="n">
        <x:f>S1195</x:f>
        <x:v>0</x:v>
      </x:c>
      <x:c r="J1200" s="29" t="n">
        <x:f>IF('Inputs'!$D$9="Ready",'Inputs'!E14,"n.a.")</x:f>
        <x:v>0</x:v>
      </x:c>
      <x:c r="K1200" s="26" t="n">
        <x:f>IF('Inputs'!$D$9="Ready",'Inputs'!F14,"n.a.")</x:f>
        <x:v>0</x:v>
      </x:c>
      <x:c r="L1200" s="29" t="n">
        <x:f>IF('Inputs'!$D$9="Ready",'Inputs'!G14,"n.a.")</x:f>
        <x:v>0</x:v>
      </x:c>
      <x:c r="M1200" s="22" t="n">
        <x:f>IF(COUNT(I1200:L1200)=4,ROUND(I1200*J1200/12,2),"n.a.")</x:f>
        <x:v>0</x:v>
      </x:c>
      <x:c r="N1200" s="22" t="n">
        <x:f>IF(COUNT(I1200:M1200)=5,MIN(I1200+M1200,ROUND(MAX(K1200,I1200*L1200+M1200),2)),"n.a.")</x:f>
        <x:v>0</x:v>
      </x:c>
      <x:c r="O1200" s="30" t="n">
        <x:f>IF(COUNT($I$1197:$I$1201)&lt;&gt;5,"n.a.",IF(I1200=0,6,IF('Inputs'!$D$5=1,COUNTIFS($I$1197:$I$1201,"&gt;0",$I$1197:$I$1201,"&lt;"&amp;I1200)+COUNTIFS($I$1197:I1200,I1200),COUNTIFS($I$1197:$I$1201,"&gt;0",$J$1197:$J$1201,"&gt;"&amp;J1200)+COUNTIFS($I$1197:I1200,"&gt;0",$J$1197:J1200,J1200))))</x:f>
        <x:v>6</x:v>
      </x:c>
      <x:c r="P1200" s="22" t="n">
        <x:f>IF(T1200="Ready",MIN(U1200,MAX(0,G1200-SUMIFS($U$1197:$U$1201,$O$1197:$O$1201,"&lt;"&amp;O1200))),"n.a.")</x:f>
        <x:v>0</x:v>
      </x:c>
      <x:c r="Q1200" s="22" t="n">
        <x:f>IF(T1200="Ready",ROUND(N1200+P1200,2),"n.a.")</x:f>
        <x:v>0</x:v>
      </x:c>
      <x:c r="R1200" s="22" t="n">
        <x:f>IF(T1200="Ready",ROUND(Q1200-M1200,2),"n.a.")</x:f>
        <x:v>0</x:v>
      </x:c>
      <x:c r="S1200" s="22" t="n">
        <x:f>IF(T1200="Ready",MAX(0,ROUND(I1200+M1200-Q1200,2)),"n.a.")</x:f>
        <x:v>0</x:v>
      </x:c>
      <x:c r="T1200" s="22" t="str">
        <x:f>IF(AND(COUNT($I$1197:$I$1201)=5,COUNT(E1200:F1200)=2),IF(E1200&gt;=F1200,"Ready","Budget below minima"),"Check inputs")</x:f>
        <x:v>Ready</x:v>
      </x:c>
      <x:c r="U1200" s="22" t="n">
        <x:f>IF(COUNT(I1200,M1200,N1200)=3,MAX(0,ROUND(I1200+M1200-N1200,2)),"n.a.")</x:f>
        <x:v>0</x:v>
      </x:c>
    </x:row>
    <x:row r="1201" ht="22" customHeight="1">
      <x:c r="A1201" s="2"/>
      <x:c r="B1201" s="2"/>
      <x:c r="C1201" s="27" t="n">
        <x:f>239</x:f>
        <x:v>239</x:v>
      </x:c>
      <x:c r="D1201" s="28" t="n">
        <x:f>IF(ISNUMBER('Inputs'!$D$7),EDATE('Inputs'!$D$7,238),"n.a.")</x:f>
        <x:v>53571</x:v>
      </x:c>
      <x:c r="E1201" s="26" t="n">
        <x:f>IF('Inputs'!$D$9&lt;&gt;"Ready","n.a.",IF(ISNUMBER('Inputs'!E257),IF('Inputs'!E257&gt;=0,'Inputs'!E257,"n.a."),IF('Inputs'!E257="",'Inputs'!$D$6,"n.a.")))</x:f>
        <x:v>500</x:v>
      </x:c>
      <x:c r="F1201" s="22" t="n">
        <x:f>IF(COUNT($N$1197:$N$1201)=5,SUM($N$1197:$N$1201),"n.a.")</x:f>
        <x:v>0</x:v>
      </x:c>
      <x:c r="G1201" s="22" t="n">
        <x:f>IF(COUNT(E1201:F1201)=2,MAX(0,E1201-F1201),"n.a.")</x:f>
        <x:v>500</x:v>
      </x:c>
      <x:c r="H1201" s="26" t="str">
        <x:f>'Inputs'!C15</x:f>
        <x:v>Unused 5</x:v>
      </x:c>
      <x:c r="I1201" s="26" t="n">
        <x:f>S1196</x:f>
        <x:v>0</x:v>
      </x:c>
      <x:c r="J1201" s="29" t="n">
        <x:f>IF('Inputs'!$D$9="Ready",'Inputs'!E15,"n.a.")</x:f>
        <x:v>0</x:v>
      </x:c>
      <x:c r="K1201" s="26" t="n">
        <x:f>IF('Inputs'!$D$9="Ready",'Inputs'!F15,"n.a.")</x:f>
        <x:v>0</x:v>
      </x:c>
      <x:c r="L1201" s="29" t="n">
        <x:f>IF('Inputs'!$D$9="Ready",'Inputs'!G15,"n.a.")</x:f>
        <x:v>0</x:v>
      </x:c>
      <x:c r="M1201" s="22" t="n">
        <x:f>IF(COUNT(I1201:L1201)=4,ROUND(I1201*J1201/12,2),"n.a.")</x:f>
        <x:v>0</x:v>
      </x:c>
      <x:c r="N1201" s="22" t="n">
        <x:f>IF(COUNT(I1201:M1201)=5,MIN(I1201+M1201,ROUND(MAX(K1201,I1201*L1201+M1201),2)),"n.a.")</x:f>
        <x:v>0</x:v>
      </x:c>
      <x:c r="O1201" s="30" t="n">
        <x:f>IF(COUNT($I$1197:$I$1201)&lt;&gt;5,"n.a.",IF(I1201=0,6,IF('Inputs'!$D$5=1,COUNTIFS($I$1197:$I$1201,"&gt;0",$I$1197:$I$1201,"&lt;"&amp;I1201)+COUNTIFS($I$1197:I1201,I1201),COUNTIFS($I$1197:$I$1201,"&gt;0",$J$1197:$J$1201,"&gt;"&amp;J1201)+COUNTIFS($I$1197:I1201,"&gt;0",$J$1197:J1201,J1201))))</x:f>
        <x:v>6</x:v>
      </x:c>
      <x:c r="P1201" s="22" t="n">
        <x:f>IF(T1201="Ready",MIN(U1201,MAX(0,G1201-SUMIFS($U$1197:$U$1201,$O$1197:$O$1201,"&lt;"&amp;O1201))),"n.a.")</x:f>
        <x:v>0</x:v>
      </x:c>
      <x:c r="Q1201" s="22" t="n">
        <x:f>IF(T1201="Ready",ROUND(N1201+P1201,2),"n.a.")</x:f>
        <x:v>0</x:v>
      </x:c>
      <x:c r="R1201" s="22" t="n">
        <x:f>IF(T1201="Ready",ROUND(Q1201-M1201,2),"n.a.")</x:f>
        <x:v>0</x:v>
      </x:c>
      <x:c r="S1201" s="22" t="n">
        <x:f>IF(T1201="Ready",MAX(0,ROUND(I1201+M1201-Q1201,2)),"n.a.")</x:f>
        <x:v>0</x:v>
      </x:c>
      <x:c r="T1201" s="22" t="str">
        <x:f>IF(AND(COUNT($I$1197:$I$1201)=5,COUNT(E1201:F1201)=2),IF(E1201&gt;=F1201,"Ready","Budget below minima"),"Check inputs")</x:f>
        <x:v>Ready</x:v>
      </x:c>
      <x:c r="U1201" s="22" t="n">
        <x:f>IF(COUNT(I1201,M1201,N1201)=3,MAX(0,ROUND(I1201+M1201-N1201,2)),"n.a.")</x:f>
        <x:v>0</x:v>
      </x:c>
    </x:row>
    <x:row r="1202" ht="22" customHeight="1">
      <x:c r="A1202" s="2"/>
      <x:c r="B1202" s="2"/>
      <x:c r="C1202" s="27" t="n">
        <x:f>240</x:f>
        <x:v>240</x:v>
      </x:c>
      <x:c r="D1202" s="28" t="n">
        <x:f>IF(ISNUMBER('Inputs'!$D$7),EDATE('Inputs'!$D$7,239),"n.a.")</x:f>
        <x:v>53601</x:v>
      </x:c>
      <x:c r="E1202" s="26" t="n">
        <x:f>IF('Inputs'!$D$9&lt;&gt;"Ready","n.a.",IF(ISNUMBER('Inputs'!E258),IF('Inputs'!E258&gt;=0,'Inputs'!E258,"n.a."),IF('Inputs'!E258="",'Inputs'!$D$6,"n.a.")))</x:f>
        <x:v>500</x:v>
      </x:c>
      <x:c r="F1202" s="22" t="n">
        <x:f>IF(COUNT($N$1202:$N$1206)=5,SUM($N$1202:$N$1206),"n.a.")</x:f>
        <x:v>0</x:v>
      </x:c>
      <x:c r="G1202" s="22" t="n">
        <x:f>IF(COUNT(E1202:F1202)=2,MAX(0,E1202-F1202),"n.a.")</x:f>
        <x:v>500</x:v>
      </x:c>
      <x:c r="H1202" s="26" t="str">
        <x:f>'Inputs'!C11</x:f>
        <x:v>Card A</x:v>
      </x:c>
      <x:c r="I1202" s="26" t="n">
        <x:f>S1197</x:f>
        <x:v>0</x:v>
      </x:c>
      <x:c r="J1202" s="29" t="n">
        <x:f>IF('Inputs'!$D$9="Ready",'Inputs'!E11,"n.a.")</x:f>
        <x:v>0.24</x:v>
      </x:c>
      <x:c r="K1202" s="26" t="n">
        <x:f>IF('Inputs'!$D$9="Ready",'Inputs'!F11,"n.a.")</x:f>
        <x:v>35</x:v>
      </x:c>
      <x:c r="L1202" s="29" t="n">
        <x:f>IF('Inputs'!$D$9="Ready",'Inputs'!G11,"n.a.")</x:f>
        <x:v>0.02</x:v>
      </x:c>
      <x:c r="M1202" s="22" t="n">
        <x:f>IF(COUNT(I1202:L1202)=4,ROUND(I1202*J1202/12,2),"n.a.")</x:f>
        <x:v>0</x:v>
      </x:c>
      <x:c r="N1202" s="22" t="n">
        <x:f>IF(COUNT(I1202:M1202)=5,MIN(I1202+M1202,ROUND(MAX(K1202,I1202*L1202+M1202),2)),"n.a.")</x:f>
        <x:v>0</x:v>
      </x:c>
      <x:c r="O1202" s="30" t="n">
        <x:f>IF(COUNT($I$1202:$I$1206)&lt;&gt;5,"n.a.",IF(I1202=0,6,IF('Inputs'!$D$5=1,COUNTIFS($I$1202:$I$1206,"&gt;0",$I$1202:$I$1206,"&lt;"&amp;I1202)+COUNTIFS($I$1202:I1202,I1202),COUNTIFS($I$1202:$I$1206,"&gt;0",$J$1202:$J$1206,"&gt;"&amp;J1202)+COUNTIFS($I$1202:I1202,"&gt;0",$J$1202:J1202,J1202))))</x:f>
        <x:v>6</x:v>
      </x:c>
      <x:c r="P1202" s="22" t="n">
        <x:f>IF(T1202="Ready",MIN(U1202,MAX(0,G1202-SUMIFS($U$1202:$U$1206,$O$1202:$O$1206,"&lt;"&amp;O1202))),"n.a.")</x:f>
        <x:v>0</x:v>
      </x:c>
      <x:c r="Q1202" s="22" t="n">
        <x:f>IF(T1202="Ready",ROUND(N1202+P1202,2),"n.a.")</x:f>
        <x:v>0</x:v>
      </x:c>
      <x:c r="R1202" s="22" t="n">
        <x:f>IF(T1202="Ready",ROUND(Q1202-M1202,2),"n.a.")</x:f>
        <x:v>0</x:v>
      </x:c>
      <x:c r="S1202" s="22" t="n">
        <x:f>IF(T1202="Ready",MAX(0,ROUND(I1202+M1202-Q1202,2)),"n.a.")</x:f>
        <x:v>0</x:v>
      </x:c>
      <x:c r="T1202" s="22" t="str">
        <x:f>IF(AND(COUNT($I$1202:$I$1206)=5,COUNT(E1202:F1202)=2),IF(E1202&gt;=F1202,"Ready","Budget below minima"),"Check inputs")</x:f>
        <x:v>Ready</x:v>
      </x:c>
      <x:c r="U1202" s="22" t="n">
        <x:f>IF(COUNT(I1202,M1202,N1202)=3,MAX(0,ROUND(I1202+M1202-N1202,2)),"n.a.")</x:f>
        <x:v>0</x:v>
      </x:c>
    </x:row>
    <x:row r="1203" ht="22" customHeight="1">
      <x:c r="A1203" s="2"/>
      <x:c r="B1203" s="2"/>
      <x:c r="C1203" s="27" t="n">
        <x:f>240</x:f>
        <x:v>240</x:v>
      </x:c>
      <x:c r="D1203" s="28" t="n">
        <x:f>IF(ISNUMBER('Inputs'!$D$7),EDATE('Inputs'!$D$7,239),"n.a.")</x:f>
        <x:v>53601</x:v>
      </x:c>
      <x:c r="E1203" s="26" t="n">
        <x:f>IF('Inputs'!$D$9&lt;&gt;"Ready","n.a.",IF(ISNUMBER('Inputs'!E258),IF('Inputs'!E258&gt;=0,'Inputs'!E258,"n.a."),IF('Inputs'!E258="",'Inputs'!$D$6,"n.a.")))</x:f>
        <x:v>500</x:v>
      </x:c>
      <x:c r="F1203" s="22" t="n">
        <x:f>IF(COUNT($N$1202:$N$1206)=5,SUM($N$1202:$N$1206),"n.a.")</x:f>
        <x:v>0</x:v>
      </x:c>
      <x:c r="G1203" s="22" t="n">
        <x:f>IF(COUNT(E1203:F1203)=2,MAX(0,E1203-F1203),"n.a.")</x:f>
        <x:v>500</x:v>
      </x:c>
      <x:c r="H1203" s="26" t="str">
        <x:f>'Inputs'!C12</x:f>
        <x:v>Card B</x:v>
      </x:c>
      <x:c r="I1203" s="26" t="n">
        <x:f>S1198</x:f>
        <x:v>0</x:v>
      </x:c>
      <x:c r="J1203" s="29" t="n">
        <x:f>IF('Inputs'!$D$9="Ready",'Inputs'!E12,"n.a.")</x:f>
        <x:v>0.18</x:v>
      </x:c>
      <x:c r="K1203" s="26" t="n">
        <x:f>IF('Inputs'!$D$9="Ready",'Inputs'!F12,"n.a.")</x:f>
        <x:v>60</x:v>
      </x:c>
      <x:c r="L1203" s="29" t="n">
        <x:f>IF('Inputs'!$D$9="Ready",'Inputs'!G12,"n.a.")</x:f>
        <x:v>0.02</x:v>
      </x:c>
      <x:c r="M1203" s="22" t="n">
        <x:f>IF(COUNT(I1203:L1203)=4,ROUND(I1203*J1203/12,2),"n.a.")</x:f>
        <x:v>0</x:v>
      </x:c>
      <x:c r="N1203" s="22" t="n">
        <x:f>IF(COUNT(I1203:M1203)=5,MIN(I1203+M1203,ROUND(MAX(K1203,I1203*L1203+M1203),2)),"n.a.")</x:f>
        <x:v>0</x:v>
      </x:c>
      <x:c r="O1203" s="30" t="n">
        <x:f>IF(COUNT($I$1202:$I$1206)&lt;&gt;5,"n.a.",IF(I1203=0,6,IF('Inputs'!$D$5=1,COUNTIFS($I$1202:$I$1206,"&gt;0",$I$1202:$I$1206,"&lt;"&amp;I1203)+COUNTIFS($I$1202:I1203,I1203),COUNTIFS($I$1202:$I$1206,"&gt;0",$J$1202:$J$1206,"&gt;"&amp;J1203)+COUNTIFS($I$1202:I1203,"&gt;0",$J$1202:J1203,J1203))))</x:f>
        <x:v>6</x:v>
      </x:c>
      <x:c r="P1203" s="22" t="n">
        <x:f>IF(T1203="Ready",MIN(U1203,MAX(0,G1203-SUMIFS($U$1202:$U$1206,$O$1202:$O$1206,"&lt;"&amp;O1203))),"n.a.")</x:f>
        <x:v>0</x:v>
      </x:c>
      <x:c r="Q1203" s="22" t="n">
        <x:f>IF(T1203="Ready",ROUND(N1203+P1203,2),"n.a.")</x:f>
        <x:v>0</x:v>
      </x:c>
      <x:c r="R1203" s="22" t="n">
        <x:f>IF(T1203="Ready",ROUND(Q1203-M1203,2),"n.a.")</x:f>
        <x:v>0</x:v>
      </x:c>
      <x:c r="S1203" s="22" t="n">
        <x:f>IF(T1203="Ready",MAX(0,ROUND(I1203+M1203-Q1203,2)),"n.a.")</x:f>
        <x:v>0</x:v>
      </x:c>
      <x:c r="T1203" s="22" t="str">
        <x:f>IF(AND(COUNT($I$1202:$I$1206)=5,COUNT(E1203:F1203)=2),IF(E1203&gt;=F1203,"Ready","Budget below minima"),"Check inputs")</x:f>
        <x:v>Ready</x:v>
      </x:c>
      <x:c r="U1203" s="22" t="n">
        <x:f>IF(COUNT(I1203,M1203,N1203)=3,MAX(0,ROUND(I1203+M1203-N1203,2)),"n.a.")</x:f>
        <x:v>0</x:v>
      </x:c>
    </x:row>
    <x:row r="1204" ht="22" customHeight="1">
      <x:c r="A1204" s="2"/>
      <x:c r="B1204" s="2"/>
      <x:c r="C1204" s="27" t="n">
        <x:f>240</x:f>
        <x:v>240</x:v>
      </x:c>
      <x:c r="D1204" s="28" t="n">
        <x:f>IF(ISNUMBER('Inputs'!$D$7),EDATE('Inputs'!$D$7,239),"n.a.")</x:f>
        <x:v>53601</x:v>
      </x:c>
      <x:c r="E1204" s="26" t="n">
        <x:f>IF('Inputs'!$D$9&lt;&gt;"Ready","n.a.",IF(ISNUMBER('Inputs'!E258),IF('Inputs'!E258&gt;=0,'Inputs'!E258,"n.a."),IF('Inputs'!E258="",'Inputs'!$D$6,"n.a.")))</x:f>
        <x:v>500</x:v>
      </x:c>
      <x:c r="F1204" s="22" t="n">
        <x:f>IF(COUNT($N$1202:$N$1206)=5,SUM($N$1202:$N$1206),"n.a.")</x:f>
        <x:v>0</x:v>
      </x:c>
      <x:c r="G1204" s="22" t="n">
        <x:f>IF(COUNT(E1204:F1204)=2,MAX(0,E1204-F1204),"n.a.")</x:f>
        <x:v>500</x:v>
      </x:c>
      <x:c r="H1204" s="26" t="str">
        <x:f>'Inputs'!C13</x:f>
        <x:v>Loan C</x:v>
      </x:c>
      <x:c r="I1204" s="26" t="n">
        <x:f>S1199</x:f>
        <x:v>0</x:v>
      </x:c>
      <x:c r="J1204" s="29" t="n">
        <x:f>IF('Inputs'!$D$9="Ready",'Inputs'!E13,"n.a.")</x:f>
        <x:v>0.08</x:v>
      </x:c>
      <x:c r="K1204" s="26" t="n">
        <x:f>IF('Inputs'!$D$9="Ready",'Inputs'!F13,"n.a.")</x:f>
        <x:v>150</x:v>
      </x:c>
      <x:c r="L1204" s="29" t="n">
        <x:f>IF('Inputs'!$D$9="Ready",'Inputs'!G13,"n.a.")</x:f>
        <x:v>0</x:v>
      </x:c>
      <x:c r="M1204" s="22" t="n">
        <x:f>IF(COUNT(I1204:L1204)=4,ROUND(I1204*J1204/12,2),"n.a.")</x:f>
        <x:v>0</x:v>
      </x:c>
      <x:c r="N1204" s="22" t="n">
        <x:f>IF(COUNT(I1204:M1204)=5,MIN(I1204+M1204,ROUND(MAX(K1204,I1204*L1204+M1204),2)),"n.a.")</x:f>
        <x:v>0</x:v>
      </x:c>
      <x:c r="O1204" s="30" t="n">
        <x:f>IF(COUNT($I$1202:$I$1206)&lt;&gt;5,"n.a.",IF(I1204=0,6,IF('Inputs'!$D$5=1,COUNTIFS($I$1202:$I$1206,"&gt;0",$I$1202:$I$1206,"&lt;"&amp;I1204)+COUNTIFS($I$1202:I1204,I1204),COUNTIFS($I$1202:$I$1206,"&gt;0",$J$1202:$J$1206,"&gt;"&amp;J1204)+COUNTIFS($I$1202:I1204,"&gt;0",$J$1202:J1204,J1204))))</x:f>
        <x:v>6</x:v>
      </x:c>
      <x:c r="P1204" s="22" t="n">
        <x:f>IF(T1204="Ready",MIN(U1204,MAX(0,G1204-SUMIFS($U$1202:$U$1206,$O$1202:$O$1206,"&lt;"&amp;O1204))),"n.a.")</x:f>
        <x:v>0</x:v>
      </x:c>
      <x:c r="Q1204" s="22" t="n">
        <x:f>IF(T1204="Ready",ROUND(N1204+P1204,2),"n.a.")</x:f>
        <x:v>0</x:v>
      </x:c>
      <x:c r="R1204" s="22" t="n">
        <x:f>IF(T1204="Ready",ROUND(Q1204-M1204,2),"n.a.")</x:f>
        <x:v>0</x:v>
      </x:c>
      <x:c r="S1204" s="22" t="n">
        <x:f>IF(T1204="Ready",MAX(0,ROUND(I1204+M1204-Q1204,2)),"n.a.")</x:f>
        <x:v>0</x:v>
      </x:c>
      <x:c r="T1204" s="22" t="str">
        <x:f>IF(AND(COUNT($I$1202:$I$1206)=5,COUNT(E1204:F1204)=2),IF(E1204&gt;=F1204,"Ready","Budget below minima"),"Check inputs")</x:f>
        <x:v>Ready</x:v>
      </x:c>
      <x:c r="U1204" s="22" t="n">
        <x:f>IF(COUNT(I1204,M1204,N1204)=3,MAX(0,ROUND(I1204+M1204-N1204,2)),"n.a.")</x:f>
        <x:v>0</x:v>
      </x:c>
    </x:row>
    <x:row r="1205" ht="22" customHeight="1">
      <x:c r="A1205" s="2"/>
      <x:c r="B1205" s="2"/>
      <x:c r="C1205" s="27" t="n">
        <x:f>240</x:f>
        <x:v>240</x:v>
      </x:c>
      <x:c r="D1205" s="28" t="n">
        <x:f>IF(ISNUMBER('Inputs'!$D$7),EDATE('Inputs'!$D$7,239),"n.a.")</x:f>
        <x:v>53601</x:v>
      </x:c>
      <x:c r="E1205" s="26" t="n">
        <x:f>IF('Inputs'!$D$9&lt;&gt;"Ready","n.a.",IF(ISNUMBER('Inputs'!E258),IF('Inputs'!E258&gt;=0,'Inputs'!E258,"n.a."),IF('Inputs'!E258="",'Inputs'!$D$6,"n.a.")))</x:f>
        <x:v>500</x:v>
      </x:c>
      <x:c r="F1205" s="22" t="n">
        <x:f>IF(COUNT($N$1202:$N$1206)=5,SUM($N$1202:$N$1206),"n.a.")</x:f>
        <x:v>0</x:v>
      </x:c>
      <x:c r="G1205" s="22" t="n">
        <x:f>IF(COUNT(E1205:F1205)=2,MAX(0,E1205-F1205),"n.a.")</x:f>
        <x:v>500</x:v>
      </x:c>
      <x:c r="H1205" s="26" t="str">
        <x:f>'Inputs'!C14</x:f>
        <x:v>Unused 4</x:v>
      </x:c>
      <x:c r="I1205" s="26" t="n">
        <x:f>S1200</x:f>
        <x:v>0</x:v>
      </x:c>
      <x:c r="J1205" s="29" t="n">
        <x:f>IF('Inputs'!$D$9="Ready",'Inputs'!E14,"n.a.")</x:f>
        <x:v>0</x:v>
      </x:c>
      <x:c r="K1205" s="26" t="n">
        <x:f>IF('Inputs'!$D$9="Ready",'Inputs'!F14,"n.a.")</x:f>
        <x:v>0</x:v>
      </x:c>
      <x:c r="L1205" s="29" t="n">
        <x:f>IF('Inputs'!$D$9="Ready",'Inputs'!G14,"n.a.")</x:f>
        <x:v>0</x:v>
      </x:c>
      <x:c r="M1205" s="22" t="n">
        <x:f>IF(COUNT(I1205:L1205)=4,ROUND(I1205*J1205/12,2),"n.a.")</x:f>
        <x:v>0</x:v>
      </x:c>
      <x:c r="N1205" s="22" t="n">
        <x:f>IF(COUNT(I1205:M1205)=5,MIN(I1205+M1205,ROUND(MAX(K1205,I1205*L1205+M1205),2)),"n.a.")</x:f>
        <x:v>0</x:v>
      </x:c>
      <x:c r="O1205" s="30" t="n">
        <x:f>IF(COUNT($I$1202:$I$1206)&lt;&gt;5,"n.a.",IF(I1205=0,6,IF('Inputs'!$D$5=1,COUNTIFS($I$1202:$I$1206,"&gt;0",$I$1202:$I$1206,"&lt;"&amp;I1205)+COUNTIFS($I$1202:I1205,I1205),COUNTIFS($I$1202:$I$1206,"&gt;0",$J$1202:$J$1206,"&gt;"&amp;J1205)+COUNTIFS($I$1202:I1205,"&gt;0",$J$1202:J1205,J1205))))</x:f>
        <x:v>6</x:v>
      </x:c>
      <x:c r="P1205" s="22" t="n">
        <x:f>IF(T1205="Ready",MIN(U1205,MAX(0,G1205-SUMIFS($U$1202:$U$1206,$O$1202:$O$1206,"&lt;"&amp;O1205))),"n.a.")</x:f>
        <x:v>0</x:v>
      </x:c>
      <x:c r="Q1205" s="22" t="n">
        <x:f>IF(T1205="Ready",ROUND(N1205+P1205,2),"n.a.")</x:f>
        <x:v>0</x:v>
      </x:c>
      <x:c r="R1205" s="22" t="n">
        <x:f>IF(T1205="Ready",ROUND(Q1205-M1205,2),"n.a.")</x:f>
        <x:v>0</x:v>
      </x:c>
      <x:c r="S1205" s="22" t="n">
        <x:f>IF(T1205="Ready",MAX(0,ROUND(I1205+M1205-Q1205,2)),"n.a.")</x:f>
        <x:v>0</x:v>
      </x:c>
      <x:c r="T1205" s="22" t="str">
        <x:f>IF(AND(COUNT($I$1202:$I$1206)=5,COUNT(E1205:F1205)=2),IF(E1205&gt;=F1205,"Ready","Budget below minima"),"Check inputs")</x:f>
        <x:v>Ready</x:v>
      </x:c>
      <x:c r="U1205" s="22" t="n">
        <x:f>IF(COUNT(I1205,M1205,N1205)=3,MAX(0,ROUND(I1205+M1205-N1205,2)),"n.a.")</x:f>
        <x:v>0</x:v>
      </x:c>
    </x:row>
    <x:row r="1206" ht="22" customHeight="1">
      <x:c r="A1206" s="2"/>
      <x:c r="B1206" s="2"/>
      <x:c r="C1206" s="27" t="n">
        <x:f>240</x:f>
        <x:v>240</x:v>
      </x:c>
      <x:c r="D1206" s="28" t="n">
        <x:f>IF(ISNUMBER('Inputs'!$D$7),EDATE('Inputs'!$D$7,239),"n.a.")</x:f>
        <x:v>53601</x:v>
      </x:c>
      <x:c r="E1206" s="26" t="n">
        <x:f>IF('Inputs'!$D$9&lt;&gt;"Ready","n.a.",IF(ISNUMBER('Inputs'!E258),IF('Inputs'!E258&gt;=0,'Inputs'!E258,"n.a."),IF('Inputs'!E258="",'Inputs'!$D$6,"n.a.")))</x:f>
        <x:v>500</x:v>
      </x:c>
      <x:c r="F1206" s="22" t="n">
        <x:f>IF(COUNT($N$1202:$N$1206)=5,SUM($N$1202:$N$1206),"n.a.")</x:f>
        <x:v>0</x:v>
      </x:c>
      <x:c r="G1206" s="22" t="n">
        <x:f>IF(COUNT(E1206:F1206)=2,MAX(0,E1206-F1206),"n.a.")</x:f>
        <x:v>500</x:v>
      </x:c>
      <x:c r="H1206" s="26" t="str">
        <x:f>'Inputs'!C15</x:f>
        <x:v>Unused 5</x:v>
      </x:c>
      <x:c r="I1206" s="26" t="n">
        <x:f>S1201</x:f>
        <x:v>0</x:v>
      </x:c>
      <x:c r="J1206" s="29" t="n">
        <x:f>IF('Inputs'!$D$9="Ready",'Inputs'!E15,"n.a.")</x:f>
        <x:v>0</x:v>
      </x:c>
      <x:c r="K1206" s="26" t="n">
        <x:f>IF('Inputs'!$D$9="Ready",'Inputs'!F15,"n.a.")</x:f>
        <x:v>0</x:v>
      </x:c>
      <x:c r="L1206" s="29" t="n">
        <x:f>IF('Inputs'!$D$9="Ready",'Inputs'!G15,"n.a.")</x:f>
        <x:v>0</x:v>
      </x:c>
      <x:c r="M1206" s="22" t="n">
        <x:f>IF(COUNT(I1206:L1206)=4,ROUND(I1206*J1206/12,2),"n.a.")</x:f>
        <x:v>0</x:v>
      </x:c>
      <x:c r="N1206" s="22" t="n">
        <x:f>IF(COUNT(I1206:M1206)=5,MIN(I1206+M1206,ROUND(MAX(K1206,I1206*L1206+M1206),2)),"n.a.")</x:f>
        <x:v>0</x:v>
      </x:c>
      <x:c r="O1206" s="30" t="n">
        <x:f>IF(COUNT($I$1202:$I$1206)&lt;&gt;5,"n.a.",IF(I1206=0,6,IF('Inputs'!$D$5=1,COUNTIFS($I$1202:$I$1206,"&gt;0",$I$1202:$I$1206,"&lt;"&amp;I1206)+COUNTIFS($I$1202:I1206,I1206),COUNTIFS($I$1202:$I$1206,"&gt;0",$J$1202:$J$1206,"&gt;"&amp;J1206)+COUNTIFS($I$1202:I1206,"&gt;0",$J$1202:J1206,J1206))))</x:f>
        <x:v>6</x:v>
      </x:c>
      <x:c r="P1206" s="22" t="n">
        <x:f>IF(T1206="Ready",MIN(U1206,MAX(0,G1206-SUMIFS($U$1202:$U$1206,$O$1202:$O$1206,"&lt;"&amp;O1206))),"n.a.")</x:f>
        <x:v>0</x:v>
      </x:c>
      <x:c r="Q1206" s="22" t="n">
        <x:f>IF(T1206="Ready",ROUND(N1206+P1206,2),"n.a.")</x:f>
        <x:v>0</x:v>
      </x:c>
      <x:c r="R1206" s="22" t="n">
        <x:f>IF(T1206="Ready",ROUND(Q1206-M1206,2),"n.a.")</x:f>
        <x:v>0</x:v>
      </x:c>
      <x:c r="S1206" s="22" t="n">
        <x:f>IF(T1206="Ready",MAX(0,ROUND(I1206+M1206-Q1206,2)),"n.a.")</x:f>
        <x:v>0</x:v>
      </x:c>
      <x:c r="T1206" s="22" t="str">
        <x:f>IF(AND(COUNT($I$1202:$I$1206)=5,COUNT(E1206:F1206)=2),IF(E1206&gt;=F1206,"Ready","Budget below minima"),"Check inputs")</x:f>
        <x:v>Ready</x:v>
      </x:c>
      <x:c r="U1206" s="22" t="n">
        <x:f>IF(COUNT(I1206,M1206,N1206)=3,MAX(0,ROUND(I1206+M1206-N1206,2)),"n.a.")</x:f>
        <x:v>0</x:v>
      </x:c>
    </x:row>
    <x:row r="1207" ht="22" customHeight="1">
      <x:c r="A1207" s="2"/>
      <x:c r="B1207" s="2"/>
      <x:c r="C1207" s="27" t="n">
        <x:f>241</x:f>
        <x:v>241</x:v>
      </x:c>
      <x:c r="D1207" s="28" t="n">
        <x:f>IF(ISNUMBER('Inputs'!$D$7),EDATE('Inputs'!$D$7,240),"n.a.")</x:f>
        <x:v>53632</x:v>
      </x:c>
      <x:c r="E1207" s="26" t="n">
        <x:f>IF('Inputs'!$D$9&lt;&gt;"Ready","n.a.",IF(ISNUMBER('Inputs'!E259),IF('Inputs'!E259&gt;=0,'Inputs'!E259,"n.a."),IF('Inputs'!E259="",'Inputs'!$D$6,"n.a.")))</x:f>
        <x:v>500</x:v>
      </x:c>
      <x:c r="F1207" s="22" t="n">
        <x:f>IF(COUNT($N$1207:$N$1211)=5,SUM($N$1207:$N$1211),"n.a.")</x:f>
        <x:v>0</x:v>
      </x:c>
      <x:c r="G1207" s="22" t="n">
        <x:f>IF(COUNT(E1207:F1207)=2,MAX(0,E1207-F1207),"n.a.")</x:f>
        <x:v>500</x:v>
      </x:c>
      <x:c r="H1207" s="26" t="str">
        <x:f>'Inputs'!C11</x:f>
        <x:v>Card A</x:v>
      </x:c>
      <x:c r="I1207" s="26" t="n">
        <x:f>S1202</x:f>
        <x:v>0</x:v>
      </x:c>
      <x:c r="J1207" s="29" t="n">
        <x:f>IF('Inputs'!$D$9="Ready",'Inputs'!E11,"n.a.")</x:f>
        <x:v>0.24</x:v>
      </x:c>
      <x:c r="K1207" s="26" t="n">
        <x:f>IF('Inputs'!$D$9="Ready",'Inputs'!F11,"n.a.")</x:f>
        <x:v>35</x:v>
      </x:c>
      <x:c r="L1207" s="29" t="n">
        <x:f>IF('Inputs'!$D$9="Ready",'Inputs'!G11,"n.a.")</x:f>
        <x:v>0.02</x:v>
      </x:c>
      <x:c r="M1207" s="22" t="n">
        <x:f>IF(COUNT(I1207:L1207)=4,ROUND(I1207*J1207/12,2),"n.a.")</x:f>
        <x:v>0</x:v>
      </x:c>
      <x:c r="N1207" s="22" t="n">
        <x:f>IF(COUNT(I1207:M1207)=5,MIN(I1207+M1207,ROUND(MAX(K1207,I1207*L1207+M1207),2)),"n.a.")</x:f>
        <x:v>0</x:v>
      </x:c>
      <x:c r="O1207" s="30" t="n">
        <x:f>IF(COUNT($I$1207:$I$1211)&lt;&gt;5,"n.a.",IF(I1207=0,6,IF('Inputs'!$D$5=1,COUNTIFS($I$1207:$I$1211,"&gt;0",$I$1207:$I$1211,"&lt;"&amp;I1207)+COUNTIFS($I$1207:I1207,I1207),COUNTIFS($I$1207:$I$1211,"&gt;0",$J$1207:$J$1211,"&gt;"&amp;J1207)+COUNTIFS($I$1207:I1207,"&gt;0",$J$1207:J1207,J1207))))</x:f>
        <x:v>6</x:v>
      </x:c>
      <x:c r="P1207" s="22" t="n">
        <x:f>IF(T1207="Ready",MIN(U1207,MAX(0,G1207-SUMIFS($U$1207:$U$1211,$O$1207:$O$1211,"&lt;"&amp;O1207))),"n.a.")</x:f>
        <x:v>0</x:v>
      </x:c>
      <x:c r="Q1207" s="22" t="n">
        <x:f>IF(T1207="Ready",ROUND(N1207+P1207,2),"n.a.")</x:f>
        <x:v>0</x:v>
      </x:c>
      <x:c r="R1207" s="22" t="n">
        <x:f>IF(T1207="Ready",ROUND(Q1207-M1207,2),"n.a.")</x:f>
        <x:v>0</x:v>
      </x:c>
      <x:c r="S1207" s="22" t="n">
        <x:f>IF(T1207="Ready",MAX(0,ROUND(I1207+M1207-Q1207,2)),"n.a.")</x:f>
        <x:v>0</x:v>
      </x:c>
      <x:c r="T1207" s="22" t="str">
        <x:f>IF(AND(COUNT($I$1207:$I$1211)=5,COUNT(E1207:F1207)=2),IF(E1207&gt;=F1207,"Ready","Budget below minima"),"Check inputs")</x:f>
        <x:v>Ready</x:v>
      </x:c>
      <x:c r="U1207" s="22" t="n">
        <x:f>IF(COUNT(I1207,M1207,N1207)=3,MAX(0,ROUND(I1207+M1207-N1207,2)),"n.a.")</x:f>
        <x:v>0</x:v>
      </x:c>
    </x:row>
    <x:row r="1208" ht="22" customHeight="1">
      <x:c r="A1208" s="2"/>
      <x:c r="B1208" s="2"/>
      <x:c r="C1208" s="27" t="n">
        <x:f>241</x:f>
        <x:v>241</x:v>
      </x:c>
      <x:c r="D1208" s="28" t="n">
        <x:f>IF(ISNUMBER('Inputs'!$D$7),EDATE('Inputs'!$D$7,240),"n.a.")</x:f>
        <x:v>53632</x:v>
      </x:c>
      <x:c r="E1208" s="26" t="n">
        <x:f>IF('Inputs'!$D$9&lt;&gt;"Ready","n.a.",IF(ISNUMBER('Inputs'!E259),IF('Inputs'!E259&gt;=0,'Inputs'!E259,"n.a."),IF('Inputs'!E259="",'Inputs'!$D$6,"n.a.")))</x:f>
        <x:v>500</x:v>
      </x:c>
      <x:c r="F1208" s="22" t="n">
        <x:f>IF(COUNT($N$1207:$N$1211)=5,SUM($N$1207:$N$1211),"n.a.")</x:f>
        <x:v>0</x:v>
      </x:c>
      <x:c r="G1208" s="22" t="n">
        <x:f>IF(COUNT(E1208:F1208)=2,MAX(0,E1208-F1208),"n.a.")</x:f>
        <x:v>500</x:v>
      </x:c>
      <x:c r="H1208" s="26" t="str">
        <x:f>'Inputs'!C12</x:f>
        <x:v>Card B</x:v>
      </x:c>
      <x:c r="I1208" s="26" t="n">
        <x:f>S1203</x:f>
        <x:v>0</x:v>
      </x:c>
      <x:c r="J1208" s="29" t="n">
        <x:f>IF('Inputs'!$D$9="Ready",'Inputs'!E12,"n.a.")</x:f>
        <x:v>0.18</x:v>
      </x:c>
      <x:c r="K1208" s="26" t="n">
        <x:f>IF('Inputs'!$D$9="Ready",'Inputs'!F12,"n.a.")</x:f>
        <x:v>60</x:v>
      </x:c>
      <x:c r="L1208" s="29" t="n">
        <x:f>IF('Inputs'!$D$9="Ready",'Inputs'!G12,"n.a.")</x:f>
        <x:v>0.02</x:v>
      </x:c>
      <x:c r="M1208" s="22" t="n">
        <x:f>IF(COUNT(I1208:L1208)=4,ROUND(I1208*J1208/12,2),"n.a.")</x:f>
        <x:v>0</x:v>
      </x:c>
      <x:c r="N1208" s="22" t="n">
        <x:f>IF(COUNT(I1208:M1208)=5,MIN(I1208+M1208,ROUND(MAX(K1208,I1208*L1208+M1208),2)),"n.a.")</x:f>
        <x:v>0</x:v>
      </x:c>
      <x:c r="O1208" s="30" t="n">
        <x:f>IF(COUNT($I$1207:$I$1211)&lt;&gt;5,"n.a.",IF(I1208=0,6,IF('Inputs'!$D$5=1,COUNTIFS($I$1207:$I$1211,"&gt;0",$I$1207:$I$1211,"&lt;"&amp;I1208)+COUNTIFS($I$1207:I1208,I1208),COUNTIFS($I$1207:$I$1211,"&gt;0",$J$1207:$J$1211,"&gt;"&amp;J1208)+COUNTIFS($I$1207:I1208,"&gt;0",$J$1207:J1208,J1208))))</x:f>
        <x:v>6</x:v>
      </x:c>
      <x:c r="P1208" s="22" t="n">
        <x:f>IF(T1208="Ready",MIN(U1208,MAX(0,G1208-SUMIFS($U$1207:$U$1211,$O$1207:$O$1211,"&lt;"&amp;O1208))),"n.a.")</x:f>
        <x:v>0</x:v>
      </x:c>
      <x:c r="Q1208" s="22" t="n">
        <x:f>IF(T1208="Ready",ROUND(N1208+P1208,2),"n.a.")</x:f>
        <x:v>0</x:v>
      </x:c>
      <x:c r="R1208" s="22" t="n">
        <x:f>IF(T1208="Ready",ROUND(Q1208-M1208,2),"n.a.")</x:f>
        <x:v>0</x:v>
      </x:c>
      <x:c r="S1208" s="22" t="n">
        <x:f>IF(T1208="Ready",MAX(0,ROUND(I1208+M1208-Q1208,2)),"n.a.")</x:f>
        <x:v>0</x:v>
      </x:c>
      <x:c r="T1208" s="22" t="str">
        <x:f>IF(AND(COUNT($I$1207:$I$1211)=5,COUNT(E1208:F1208)=2),IF(E1208&gt;=F1208,"Ready","Budget below minima"),"Check inputs")</x:f>
        <x:v>Ready</x:v>
      </x:c>
      <x:c r="U1208" s="22" t="n">
        <x:f>IF(COUNT(I1208,M1208,N1208)=3,MAX(0,ROUND(I1208+M1208-N1208,2)),"n.a.")</x:f>
        <x:v>0</x:v>
      </x:c>
    </x:row>
    <x:row r="1209" ht="22" customHeight="1">
      <x:c r="A1209" s="2"/>
      <x:c r="B1209" s="2"/>
      <x:c r="C1209" s="27" t="n">
        <x:f>241</x:f>
        <x:v>241</x:v>
      </x:c>
      <x:c r="D1209" s="28" t="n">
        <x:f>IF(ISNUMBER('Inputs'!$D$7),EDATE('Inputs'!$D$7,240),"n.a.")</x:f>
        <x:v>53632</x:v>
      </x:c>
      <x:c r="E1209" s="26" t="n">
        <x:f>IF('Inputs'!$D$9&lt;&gt;"Ready","n.a.",IF(ISNUMBER('Inputs'!E259),IF('Inputs'!E259&gt;=0,'Inputs'!E259,"n.a."),IF('Inputs'!E259="",'Inputs'!$D$6,"n.a.")))</x:f>
        <x:v>500</x:v>
      </x:c>
      <x:c r="F1209" s="22" t="n">
        <x:f>IF(COUNT($N$1207:$N$1211)=5,SUM($N$1207:$N$1211),"n.a.")</x:f>
        <x:v>0</x:v>
      </x:c>
      <x:c r="G1209" s="22" t="n">
        <x:f>IF(COUNT(E1209:F1209)=2,MAX(0,E1209-F1209),"n.a.")</x:f>
        <x:v>500</x:v>
      </x:c>
      <x:c r="H1209" s="26" t="str">
        <x:f>'Inputs'!C13</x:f>
        <x:v>Loan C</x:v>
      </x:c>
      <x:c r="I1209" s="26" t="n">
        <x:f>S1204</x:f>
        <x:v>0</x:v>
      </x:c>
      <x:c r="J1209" s="29" t="n">
        <x:f>IF('Inputs'!$D$9="Ready",'Inputs'!E13,"n.a.")</x:f>
        <x:v>0.08</x:v>
      </x:c>
      <x:c r="K1209" s="26" t="n">
        <x:f>IF('Inputs'!$D$9="Ready",'Inputs'!F13,"n.a.")</x:f>
        <x:v>150</x:v>
      </x:c>
      <x:c r="L1209" s="29" t="n">
        <x:f>IF('Inputs'!$D$9="Ready",'Inputs'!G13,"n.a.")</x:f>
        <x:v>0</x:v>
      </x:c>
      <x:c r="M1209" s="22" t="n">
        <x:f>IF(COUNT(I1209:L1209)=4,ROUND(I1209*J1209/12,2),"n.a.")</x:f>
        <x:v>0</x:v>
      </x:c>
      <x:c r="N1209" s="22" t="n">
        <x:f>IF(COUNT(I1209:M1209)=5,MIN(I1209+M1209,ROUND(MAX(K1209,I1209*L1209+M1209),2)),"n.a.")</x:f>
        <x:v>0</x:v>
      </x:c>
      <x:c r="O1209" s="30" t="n">
        <x:f>IF(COUNT($I$1207:$I$1211)&lt;&gt;5,"n.a.",IF(I1209=0,6,IF('Inputs'!$D$5=1,COUNTIFS($I$1207:$I$1211,"&gt;0",$I$1207:$I$1211,"&lt;"&amp;I1209)+COUNTIFS($I$1207:I1209,I1209),COUNTIFS($I$1207:$I$1211,"&gt;0",$J$1207:$J$1211,"&gt;"&amp;J1209)+COUNTIFS($I$1207:I1209,"&gt;0",$J$1207:J1209,J1209))))</x:f>
        <x:v>6</x:v>
      </x:c>
      <x:c r="P1209" s="22" t="n">
        <x:f>IF(T1209="Ready",MIN(U1209,MAX(0,G1209-SUMIFS($U$1207:$U$1211,$O$1207:$O$1211,"&lt;"&amp;O1209))),"n.a.")</x:f>
        <x:v>0</x:v>
      </x:c>
      <x:c r="Q1209" s="22" t="n">
        <x:f>IF(T1209="Ready",ROUND(N1209+P1209,2),"n.a.")</x:f>
        <x:v>0</x:v>
      </x:c>
      <x:c r="R1209" s="22" t="n">
        <x:f>IF(T1209="Ready",ROUND(Q1209-M1209,2),"n.a.")</x:f>
        <x:v>0</x:v>
      </x:c>
      <x:c r="S1209" s="22" t="n">
        <x:f>IF(T1209="Ready",MAX(0,ROUND(I1209+M1209-Q1209,2)),"n.a.")</x:f>
        <x:v>0</x:v>
      </x:c>
      <x:c r="T1209" s="22" t="str">
        <x:f>IF(AND(COUNT($I$1207:$I$1211)=5,COUNT(E1209:F1209)=2),IF(E1209&gt;=F1209,"Ready","Budget below minima"),"Check inputs")</x:f>
        <x:v>Ready</x:v>
      </x:c>
      <x:c r="U1209" s="22" t="n">
        <x:f>IF(COUNT(I1209,M1209,N1209)=3,MAX(0,ROUND(I1209+M1209-N1209,2)),"n.a.")</x:f>
        <x:v>0</x:v>
      </x:c>
    </x:row>
    <x:row r="1210" ht="22" customHeight="1">
      <x:c r="A1210" s="2"/>
      <x:c r="B1210" s="2"/>
      <x:c r="C1210" s="27" t="n">
        <x:f>241</x:f>
        <x:v>241</x:v>
      </x:c>
      <x:c r="D1210" s="28" t="n">
        <x:f>IF(ISNUMBER('Inputs'!$D$7),EDATE('Inputs'!$D$7,240),"n.a.")</x:f>
        <x:v>53632</x:v>
      </x:c>
      <x:c r="E1210" s="26" t="n">
        <x:f>IF('Inputs'!$D$9&lt;&gt;"Ready","n.a.",IF(ISNUMBER('Inputs'!E259),IF('Inputs'!E259&gt;=0,'Inputs'!E259,"n.a."),IF('Inputs'!E259="",'Inputs'!$D$6,"n.a.")))</x:f>
        <x:v>500</x:v>
      </x:c>
      <x:c r="F1210" s="22" t="n">
        <x:f>IF(COUNT($N$1207:$N$1211)=5,SUM($N$1207:$N$1211),"n.a.")</x:f>
        <x:v>0</x:v>
      </x:c>
      <x:c r="G1210" s="22" t="n">
        <x:f>IF(COUNT(E1210:F1210)=2,MAX(0,E1210-F1210),"n.a.")</x:f>
        <x:v>500</x:v>
      </x:c>
      <x:c r="H1210" s="26" t="str">
        <x:f>'Inputs'!C14</x:f>
        <x:v>Unused 4</x:v>
      </x:c>
      <x:c r="I1210" s="26" t="n">
        <x:f>S1205</x:f>
        <x:v>0</x:v>
      </x:c>
      <x:c r="J1210" s="29" t="n">
        <x:f>IF('Inputs'!$D$9="Ready",'Inputs'!E14,"n.a.")</x:f>
        <x:v>0</x:v>
      </x:c>
      <x:c r="K1210" s="26" t="n">
        <x:f>IF('Inputs'!$D$9="Ready",'Inputs'!F14,"n.a.")</x:f>
        <x:v>0</x:v>
      </x:c>
      <x:c r="L1210" s="29" t="n">
        <x:f>IF('Inputs'!$D$9="Ready",'Inputs'!G14,"n.a.")</x:f>
        <x:v>0</x:v>
      </x:c>
      <x:c r="M1210" s="22" t="n">
        <x:f>IF(COUNT(I1210:L1210)=4,ROUND(I1210*J1210/12,2),"n.a.")</x:f>
        <x:v>0</x:v>
      </x:c>
      <x:c r="N1210" s="22" t="n">
        <x:f>IF(COUNT(I1210:M1210)=5,MIN(I1210+M1210,ROUND(MAX(K1210,I1210*L1210+M1210),2)),"n.a.")</x:f>
        <x:v>0</x:v>
      </x:c>
      <x:c r="O1210" s="30" t="n">
        <x:f>IF(COUNT($I$1207:$I$1211)&lt;&gt;5,"n.a.",IF(I1210=0,6,IF('Inputs'!$D$5=1,COUNTIFS($I$1207:$I$1211,"&gt;0",$I$1207:$I$1211,"&lt;"&amp;I1210)+COUNTIFS($I$1207:I1210,I1210),COUNTIFS($I$1207:$I$1211,"&gt;0",$J$1207:$J$1211,"&gt;"&amp;J1210)+COUNTIFS($I$1207:I1210,"&gt;0",$J$1207:J1210,J1210))))</x:f>
        <x:v>6</x:v>
      </x:c>
      <x:c r="P1210" s="22" t="n">
        <x:f>IF(T1210="Ready",MIN(U1210,MAX(0,G1210-SUMIFS($U$1207:$U$1211,$O$1207:$O$1211,"&lt;"&amp;O1210))),"n.a.")</x:f>
        <x:v>0</x:v>
      </x:c>
      <x:c r="Q1210" s="22" t="n">
        <x:f>IF(T1210="Ready",ROUND(N1210+P1210,2),"n.a.")</x:f>
        <x:v>0</x:v>
      </x:c>
      <x:c r="R1210" s="22" t="n">
        <x:f>IF(T1210="Ready",ROUND(Q1210-M1210,2),"n.a.")</x:f>
        <x:v>0</x:v>
      </x:c>
      <x:c r="S1210" s="22" t="n">
        <x:f>IF(T1210="Ready",MAX(0,ROUND(I1210+M1210-Q1210,2)),"n.a.")</x:f>
        <x:v>0</x:v>
      </x:c>
      <x:c r="T1210" s="22" t="str">
        <x:f>IF(AND(COUNT($I$1207:$I$1211)=5,COUNT(E1210:F1210)=2),IF(E1210&gt;=F1210,"Ready","Budget below minima"),"Check inputs")</x:f>
        <x:v>Ready</x:v>
      </x:c>
      <x:c r="U1210" s="22" t="n">
        <x:f>IF(COUNT(I1210,M1210,N1210)=3,MAX(0,ROUND(I1210+M1210-N1210,2)),"n.a.")</x:f>
        <x:v>0</x:v>
      </x:c>
    </x:row>
    <x:row r="1211" ht="22" customHeight="1">
      <x:c r="A1211" s="2"/>
      <x:c r="B1211" s="2"/>
      <x:c r="C1211" s="27" t="n">
        <x:f>241</x:f>
        <x:v>241</x:v>
      </x:c>
      <x:c r="D1211" s="28" t="n">
        <x:f>IF(ISNUMBER('Inputs'!$D$7),EDATE('Inputs'!$D$7,240),"n.a.")</x:f>
        <x:v>53632</x:v>
      </x:c>
      <x:c r="E1211" s="26" t="n">
        <x:f>IF('Inputs'!$D$9&lt;&gt;"Ready","n.a.",IF(ISNUMBER('Inputs'!E259),IF('Inputs'!E259&gt;=0,'Inputs'!E259,"n.a."),IF('Inputs'!E259="",'Inputs'!$D$6,"n.a.")))</x:f>
        <x:v>500</x:v>
      </x:c>
      <x:c r="F1211" s="22" t="n">
        <x:f>IF(COUNT($N$1207:$N$1211)=5,SUM($N$1207:$N$1211),"n.a.")</x:f>
        <x:v>0</x:v>
      </x:c>
      <x:c r="G1211" s="22" t="n">
        <x:f>IF(COUNT(E1211:F1211)=2,MAX(0,E1211-F1211),"n.a.")</x:f>
        <x:v>500</x:v>
      </x:c>
      <x:c r="H1211" s="26" t="str">
        <x:f>'Inputs'!C15</x:f>
        <x:v>Unused 5</x:v>
      </x:c>
      <x:c r="I1211" s="26" t="n">
        <x:f>S1206</x:f>
        <x:v>0</x:v>
      </x:c>
      <x:c r="J1211" s="29" t="n">
        <x:f>IF('Inputs'!$D$9="Ready",'Inputs'!E15,"n.a.")</x:f>
        <x:v>0</x:v>
      </x:c>
      <x:c r="K1211" s="26" t="n">
        <x:f>IF('Inputs'!$D$9="Ready",'Inputs'!F15,"n.a.")</x:f>
        <x:v>0</x:v>
      </x:c>
      <x:c r="L1211" s="29" t="n">
        <x:f>IF('Inputs'!$D$9="Ready",'Inputs'!G15,"n.a.")</x:f>
        <x:v>0</x:v>
      </x:c>
      <x:c r="M1211" s="22" t="n">
        <x:f>IF(COUNT(I1211:L1211)=4,ROUND(I1211*J1211/12,2),"n.a.")</x:f>
        <x:v>0</x:v>
      </x:c>
      <x:c r="N1211" s="22" t="n">
        <x:f>IF(COUNT(I1211:M1211)=5,MIN(I1211+M1211,ROUND(MAX(K1211,I1211*L1211+M1211),2)),"n.a.")</x:f>
        <x:v>0</x:v>
      </x:c>
      <x:c r="O1211" s="30" t="n">
        <x:f>IF(COUNT($I$1207:$I$1211)&lt;&gt;5,"n.a.",IF(I1211=0,6,IF('Inputs'!$D$5=1,COUNTIFS($I$1207:$I$1211,"&gt;0",$I$1207:$I$1211,"&lt;"&amp;I1211)+COUNTIFS($I$1207:I1211,I1211),COUNTIFS($I$1207:$I$1211,"&gt;0",$J$1207:$J$1211,"&gt;"&amp;J1211)+COUNTIFS($I$1207:I1211,"&gt;0",$J$1207:J1211,J1211))))</x:f>
        <x:v>6</x:v>
      </x:c>
      <x:c r="P1211" s="22" t="n">
        <x:f>IF(T1211="Ready",MIN(U1211,MAX(0,G1211-SUMIFS($U$1207:$U$1211,$O$1207:$O$1211,"&lt;"&amp;O1211))),"n.a.")</x:f>
        <x:v>0</x:v>
      </x:c>
      <x:c r="Q1211" s="22" t="n">
        <x:f>IF(T1211="Ready",ROUND(N1211+P1211,2),"n.a.")</x:f>
        <x:v>0</x:v>
      </x:c>
      <x:c r="R1211" s="22" t="n">
        <x:f>IF(T1211="Ready",ROUND(Q1211-M1211,2),"n.a.")</x:f>
        <x:v>0</x:v>
      </x:c>
      <x:c r="S1211" s="22" t="n">
        <x:f>IF(T1211="Ready",MAX(0,ROUND(I1211+M1211-Q1211,2)),"n.a.")</x:f>
        <x:v>0</x:v>
      </x:c>
      <x:c r="T1211" s="22" t="str">
        <x:f>IF(AND(COUNT($I$1207:$I$1211)=5,COUNT(E1211:F1211)=2),IF(E1211&gt;=F1211,"Ready","Budget below minima"),"Check inputs")</x:f>
        <x:v>Ready</x:v>
      </x:c>
      <x:c r="U1211" s="22" t="n">
        <x:f>IF(COUNT(I1211,M1211,N1211)=3,MAX(0,ROUND(I1211+M1211-N1211,2)),"n.a.")</x:f>
        <x:v>0</x:v>
      </x:c>
    </x:row>
    <x:row r="1212" ht="22" customHeight="1">
      <x:c r="A1212" s="2"/>
      <x:c r="B1212" s="2"/>
      <x:c r="C1212" s="27" t="n">
        <x:f>242</x:f>
        <x:v>242</x:v>
      </x:c>
      <x:c r="D1212" s="28" t="n">
        <x:f>IF(ISNUMBER('Inputs'!$D$7),EDATE('Inputs'!$D$7,241),"n.a.")</x:f>
        <x:v>53662</x:v>
      </x:c>
      <x:c r="E1212" s="26" t="n">
        <x:f>IF('Inputs'!$D$9&lt;&gt;"Ready","n.a.",IF(ISNUMBER('Inputs'!E260),IF('Inputs'!E260&gt;=0,'Inputs'!E260,"n.a."),IF('Inputs'!E260="",'Inputs'!$D$6,"n.a.")))</x:f>
        <x:v>500</x:v>
      </x:c>
      <x:c r="F1212" s="22" t="n">
        <x:f>IF(COUNT($N$1212:$N$1216)=5,SUM($N$1212:$N$1216),"n.a.")</x:f>
        <x:v>0</x:v>
      </x:c>
      <x:c r="G1212" s="22" t="n">
        <x:f>IF(COUNT(E1212:F1212)=2,MAX(0,E1212-F1212),"n.a.")</x:f>
        <x:v>500</x:v>
      </x:c>
      <x:c r="H1212" s="26" t="str">
        <x:f>'Inputs'!C11</x:f>
        <x:v>Card A</x:v>
      </x:c>
      <x:c r="I1212" s="26" t="n">
        <x:f>S1207</x:f>
        <x:v>0</x:v>
      </x:c>
      <x:c r="J1212" s="29" t="n">
        <x:f>IF('Inputs'!$D$9="Ready",'Inputs'!E11,"n.a.")</x:f>
        <x:v>0.24</x:v>
      </x:c>
      <x:c r="K1212" s="26" t="n">
        <x:f>IF('Inputs'!$D$9="Ready",'Inputs'!F11,"n.a.")</x:f>
        <x:v>35</x:v>
      </x:c>
      <x:c r="L1212" s="29" t="n">
        <x:f>IF('Inputs'!$D$9="Ready",'Inputs'!G11,"n.a.")</x:f>
        <x:v>0.02</x:v>
      </x:c>
      <x:c r="M1212" s="22" t="n">
        <x:f>IF(COUNT(I1212:L1212)=4,ROUND(I1212*J1212/12,2),"n.a.")</x:f>
        <x:v>0</x:v>
      </x:c>
      <x:c r="N1212" s="22" t="n">
        <x:f>IF(COUNT(I1212:M1212)=5,MIN(I1212+M1212,ROUND(MAX(K1212,I1212*L1212+M1212),2)),"n.a.")</x:f>
        <x:v>0</x:v>
      </x:c>
      <x:c r="O1212" s="30" t="n">
        <x:f>IF(COUNT($I$1212:$I$1216)&lt;&gt;5,"n.a.",IF(I1212=0,6,IF('Inputs'!$D$5=1,COUNTIFS($I$1212:$I$1216,"&gt;0",$I$1212:$I$1216,"&lt;"&amp;I1212)+COUNTIFS($I$1212:I1212,I1212),COUNTIFS($I$1212:$I$1216,"&gt;0",$J$1212:$J$1216,"&gt;"&amp;J1212)+COUNTIFS($I$1212:I1212,"&gt;0",$J$1212:J1212,J1212))))</x:f>
        <x:v>6</x:v>
      </x:c>
      <x:c r="P1212" s="22" t="n">
        <x:f>IF(T1212="Ready",MIN(U1212,MAX(0,G1212-SUMIFS($U$1212:$U$1216,$O$1212:$O$1216,"&lt;"&amp;O1212))),"n.a.")</x:f>
        <x:v>0</x:v>
      </x:c>
      <x:c r="Q1212" s="22" t="n">
        <x:f>IF(T1212="Ready",ROUND(N1212+P1212,2),"n.a.")</x:f>
        <x:v>0</x:v>
      </x:c>
      <x:c r="R1212" s="22" t="n">
        <x:f>IF(T1212="Ready",ROUND(Q1212-M1212,2),"n.a.")</x:f>
        <x:v>0</x:v>
      </x:c>
      <x:c r="S1212" s="22" t="n">
        <x:f>IF(T1212="Ready",MAX(0,ROUND(I1212+M1212-Q1212,2)),"n.a.")</x:f>
        <x:v>0</x:v>
      </x:c>
      <x:c r="T1212" s="22" t="str">
        <x:f>IF(AND(COUNT($I$1212:$I$1216)=5,COUNT(E1212:F1212)=2),IF(E1212&gt;=F1212,"Ready","Budget below minima"),"Check inputs")</x:f>
        <x:v>Ready</x:v>
      </x:c>
      <x:c r="U1212" s="22" t="n">
        <x:f>IF(COUNT(I1212,M1212,N1212)=3,MAX(0,ROUND(I1212+M1212-N1212,2)),"n.a.")</x:f>
        <x:v>0</x:v>
      </x:c>
    </x:row>
    <x:row r="1213" ht="22" customHeight="1">
      <x:c r="A1213" s="2"/>
      <x:c r="B1213" s="2"/>
      <x:c r="C1213" s="27" t="n">
        <x:f>242</x:f>
        <x:v>242</x:v>
      </x:c>
      <x:c r="D1213" s="28" t="n">
        <x:f>IF(ISNUMBER('Inputs'!$D$7),EDATE('Inputs'!$D$7,241),"n.a.")</x:f>
        <x:v>53662</x:v>
      </x:c>
      <x:c r="E1213" s="26" t="n">
        <x:f>IF('Inputs'!$D$9&lt;&gt;"Ready","n.a.",IF(ISNUMBER('Inputs'!E260),IF('Inputs'!E260&gt;=0,'Inputs'!E260,"n.a."),IF('Inputs'!E260="",'Inputs'!$D$6,"n.a.")))</x:f>
        <x:v>500</x:v>
      </x:c>
      <x:c r="F1213" s="22" t="n">
        <x:f>IF(COUNT($N$1212:$N$1216)=5,SUM($N$1212:$N$1216),"n.a.")</x:f>
        <x:v>0</x:v>
      </x:c>
      <x:c r="G1213" s="22" t="n">
        <x:f>IF(COUNT(E1213:F1213)=2,MAX(0,E1213-F1213),"n.a.")</x:f>
        <x:v>500</x:v>
      </x:c>
      <x:c r="H1213" s="26" t="str">
        <x:f>'Inputs'!C12</x:f>
        <x:v>Card B</x:v>
      </x:c>
      <x:c r="I1213" s="26" t="n">
        <x:f>S1208</x:f>
        <x:v>0</x:v>
      </x:c>
      <x:c r="J1213" s="29" t="n">
        <x:f>IF('Inputs'!$D$9="Ready",'Inputs'!E12,"n.a.")</x:f>
        <x:v>0.18</x:v>
      </x:c>
      <x:c r="K1213" s="26" t="n">
        <x:f>IF('Inputs'!$D$9="Ready",'Inputs'!F12,"n.a.")</x:f>
        <x:v>60</x:v>
      </x:c>
      <x:c r="L1213" s="29" t="n">
        <x:f>IF('Inputs'!$D$9="Ready",'Inputs'!G12,"n.a.")</x:f>
        <x:v>0.02</x:v>
      </x:c>
      <x:c r="M1213" s="22" t="n">
        <x:f>IF(COUNT(I1213:L1213)=4,ROUND(I1213*J1213/12,2),"n.a.")</x:f>
        <x:v>0</x:v>
      </x:c>
      <x:c r="N1213" s="22" t="n">
        <x:f>IF(COUNT(I1213:M1213)=5,MIN(I1213+M1213,ROUND(MAX(K1213,I1213*L1213+M1213),2)),"n.a.")</x:f>
        <x:v>0</x:v>
      </x:c>
      <x:c r="O1213" s="30" t="n">
        <x:f>IF(COUNT($I$1212:$I$1216)&lt;&gt;5,"n.a.",IF(I1213=0,6,IF('Inputs'!$D$5=1,COUNTIFS($I$1212:$I$1216,"&gt;0",$I$1212:$I$1216,"&lt;"&amp;I1213)+COUNTIFS($I$1212:I1213,I1213),COUNTIFS($I$1212:$I$1216,"&gt;0",$J$1212:$J$1216,"&gt;"&amp;J1213)+COUNTIFS($I$1212:I1213,"&gt;0",$J$1212:J1213,J1213))))</x:f>
        <x:v>6</x:v>
      </x:c>
      <x:c r="P1213" s="22" t="n">
        <x:f>IF(T1213="Ready",MIN(U1213,MAX(0,G1213-SUMIFS($U$1212:$U$1216,$O$1212:$O$1216,"&lt;"&amp;O1213))),"n.a.")</x:f>
        <x:v>0</x:v>
      </x:c>
      <x:c r="Q1213" s="22" t="n">
        <x:f>IF(T1213="Ready",ROUND(N1213+P1213,2),"n.a.")</x:f>
        <x:v>0</x:v>
      </x:c>
      <x:c r="R1213" s="22" t="n">
        <x:f>IF(T1213="Ready",ROUND(Q1213-M1213,2),"n.a.")</x:f>
        <x:v>0</x:v>
      </x:c>
      <x:c r="S1213" s="22" t="n">
        <x:f>IF(T1213="Ready",MAX(0,ROUND(I1213+M1213-Q1213,2)),"n.a.")</x:f>
        <x:v>0</x:v>
      </x:c>
      <x:c r="T1213" s="22" t="str">
        <x:f>IF(AND(COUNT($I$1212:$I$1216)=5,COUNT(E1213:F1213)=2),IF(E1213&gt;=F1213,"Ready","Budget below minima"),"Check inputs")</x:f>
        <x:v>Ready</x:v>
      </x:c>
      <x:c r="U1213" s="22" t="n">
        <x:f>IF(COUNT(I1213,M1213,N1213)=3,MAX(0,ROUND(I1213+M1213-N1213,2)),"n.a.")</x:f>
        <x:v>0</x:v>
      </x:c>
    </x:row>
    <x:row r="1214" ht="22" customHeight="1">
      <x:c r="A1214" s="2"/>
      <x:c r="B1214" s="2"/>
      <x:c r="C1214" s="27" t="n">
        <x:f>242</x:f>
        <x:v>242</x:v>
      </x:c>
      <x:c r="D1214" s="28" t="n">
        <x:f>IF(ISNUMBER('Inputs'!$D$7),EDATE('Inputs'!$D$7,241),"n.a.")</x:f>
        <x:v>53662</x:v>
      </x:c>
      <x:c r="E1214" s="26" t="n">
        <x:f>IF('Inputs'!$D$9&lt;&gt;"Ready","n.a.",IF(ISNUMBER('Inputs'!E260),IF('Inputs'!E260&gt;=0,'Inputs'!E260,"n.a."),IF('Inputs'!E260="",'Inputs'!$D$6,"n.a.")))</x:f>
        <x:v>500</x:v>
      </x:c>
      <x:c r="F1214" s="22" t="n">
        <x:f>IF(COUNT($N$1212:$N$1216)=5,SUM($N$1212:$N$1216),"n.a.")</x:f>
        <x:v>0</x:v>
      </x:c>
      <x:c r="G1214" s="22" t="n">
        <x:f>IF(COUNT(E1214:F1214)=2,MAX(0,E1214-F1214),"n.a.")</x:f>
        <x:v>500</x:v>
      </x:c>
      <x:c r="H1214" s="26" t="str">
        <x:f>'Inputs'!C13</x:f>
        <x:v>Loan C</x:v>
      </x:c>
      <x:c r="I1214" s="26" t="n">
        <x:f>S1209</x:f>
        <x:v>0</x:v>
      </x:c>
      <x:c r="J1214" s="29" t="n">
        <x:f>IF('Inputs'!$D$9="Ready",'Inputs'!E13,"n.a.")</x:f>
        <x:v>0.08</x:v>
      </x:c>
      <x:c r="K1214" s="26" t="n">
        <x:f>IF('Inputs'!$D$9="Ready",'Inputs'!F13,"n.a.")</x:f>
        <x:v>150</x:v>
      </x:c>
      <x:c r="L1214" s="29" t="n">
        <x:f>IF('Inputs'!$D$9="Ready",'Inputs'!G13,"n.a.")</x:f>
        <x:v>0</x:v>
      </x:c>
      <x:c r="M1214" s="22" t="n">
        <x:f>IF(COUNT(I1214:L1214)=4,ROUND(I1214*J1214/12,2),"n.a.")</x:f>
        <x:v>0</x:v>
      </x:c>
      <x:c r="N1214" s="22" t="n">
        <x:f>IF(COUNT(I1214:M1214)=5,MIN(I1214+M1214,ROUND(MAX(K1214,I1214*L1214+M1214),2)),"n.a.")</x:f>
        <x:v>0</x:v>
      </x:c>
      <x:c r="O1214" s="30" t="n">
        <x:f>IF(COUNT($I$1212:$I$1216)&lt;&gt;5,"n.a.",IF(I1214=0,6,IF('Inputs'!$D$5=1,COUNTIFS($I$1212:$I$1216,"&gt;0",$I$1212:$I$1216,"&lt;"&amp;I1214)+COUNTIFS($I$1212:I1214,I1214),COUNTIFS($I$1212:$I$1216,"&gt;0",$J$1212:$J$1216,"&gt;"&amp;J1214)+COUNTIFS($I$1212:I1214,"&gt;0",$J$1212:J1214,J1214))))</x:f>
        <x:v>6</x:v>
      </x:c>
      <x:c r="P1214" s="22" t="n">
        <x:f>IF(T1214="Ready",MIN(U1214,MAX(0,G1214-SUMIFS($U$1212:$U$1216,$O$1212:$O$1216,"&lt;"&amp;O1214))),"n.a.")</x:f>
        <x:v>0</x:v>
      </x:c>
      <x:c r="Q1214" s="22" t="n">
        <x:f>IF(T1214="Ready",ROUND(N1214+P1214,2),"n.a.")</x:f>
        <x:v>0</x:v>
      </x:c>
      <x:c r="R1214" s="22" t="n">
        <x:f>IF(T1214="Ready",ROUND(Q1214-M1214,2),"n.a.")</x:f>
        <x:v>0</x:v>
      </x:c>
      <x:c r="S1214" s="22" t="n">
        <x:f>IF(T1214="Ready",MAX(0,ROUND(I1214+M1214-Q1214,2)),"n.a.")</x:f>
        <x:v>0</x:v>
      </x:c>
      <x:c r="T1214" s="22" t="str">
        <x:f>IF(AND(COUNT($I$1212:$I$1216)=5,COUNT(E1214:F1214)=2),IF(E1214&gt;=F1214,"Ready","Budget below minima"),"Check inputs")</x:f>
        <x:v>Ready</x:v>
      </x:c>
      <x:c r="U1214" s="22" t="n">
        <x:f>IF(COUNT(I1214,M1214,N1214)=3,MAX(0,ROUND(I1214+M1214-N1214,2)),"n.a.")</x:f>
        <x:v>0</x:v>
      </x:c>
    </x:row>
    <x:row r="1215" ht="22" customHeight="1">
      <x:c r="A1215" s="2"/>
      <x:c r="B1215" s="2"/>
      <x:c r="C1215" s="27" t="n">
        <x:f>242</x:f>
        <x:v>242</x:v>
      </x:c>
      <x:c r="D1215" s="28" t="n">
        <x:f>IF(ISNUMBER('Inputs'!$D$7),EDATE('Inputs'!$D$7,241),"n.a.")</x:f>
        <x:v>53662</x:v>
      </x:c>
      <x:c r="E1215" s="26" t="n">
        <x:f>IF('Inputs'!$D$9&lt;&gt;"Ready","n.a.",IF(ISNUMBER('Inputs'!E260),IF('Inputs'!E260&gt;=0,'Inputs'!E260,"n.a."),IF('Inputs'!E260="",'Inputs'!$D$6,"n.a.")))</x:f>
        <x:v>500</x:v>
      </x:c>
      <x:c r="F1215" s="22" t="n">
        <x:f>IF(COUNT($N$1212:$N$1216)=5,SUM($N$1212:$N$1216),"n.a.")</x:f>
        <x:v>0</x:v>
      </x:c>
      <x:c r="G1215" s="22" t="n">
        <x:f>IF(COUNT(E1215:F1215)=2,MAX(0,E1215-F1215),"n.a.")</x:f>
        <x:v>500</x:v>
      </x:c>
      <x:c r="H1215" s="26" t="str">
        <x:f>'Inputs'!C14</x:f>
        <x:v>Unused 4</x:v>
      </x:c>
      <x:c r="I1215" s="26" t="n">
        <x:f>S1210</x:f>
        <x:v>0</x:v>
      </x:c>
      <x:c r="J1215" s="29" t="n">
        <x:f>IF('Inputs'!$D$9="Ready",'Inputs'!E14,"n.a.")</x:f>
        <x:v>0</x:v>
      </x:c>
      <x:c r="K1215" s="26" t="n">
        <x:f>IF('Inputs'!$D$9="Ready",'Inputs'!F14,"n.a.")</x:f>
        <x:v>0</x:v>
      </x:c>
      <x:c r="L1215" s="29" t="n">
        <x:f>IF('Inputs'!$D$9="Ready",'Inputs'!G14,"n.a.")</x:f>
        <x:v>0</x:v>
      </x:c>
      <x:c r="M1215" s="22" t="n">
        <x:f>IF(COUNT(I1215:L1215)=4,ROUND(I1215*J1215/12,2),"n.a.")</x:f>
        <x:v>0</x:v>
      </x:c>
      <x:c r="N1215" s="22" t="n">
        <x:f>IF(COUNT(I1215:M1215)=5,MIN(I1215+M1215,ROUND(MAX(K1215,I1215*L1215+M1215),2)),"n.a.")</x:f>
        <x:v>0</x:v>
      </x:c>
      <x:c r="O1215" s="30" t="n">
        <x:f>IF(COUNT($I$1212:$I$1216)&lt;&gt;5,"n.a.",IF(I1215=0,6,IF('Inputs'!$D$5=1,COUNTIFS($I$1212:$I$1216,"&gt;0",$I$1212:$I$1216,"&lt;"&amp;I1215)+COUNTIFS($I$1212:I1215,I1215),COUNTIFS($I$1212:$I$1216,"&gt;0",$J$1212:$J$1216,"&gt;"&amp;J1215)+COUNTIFS($I$1212:I1215,"&gt;0",$J$1212:J1215,J1215))))</x:f>
        <x:v>6</x:v>
      </x:c>
      <x:c r="P1215" s="22" t="n">
        <x:f>IF(T1215="Ready",MIN(U1215,MAX(0,G1215-SUMIFS($U$1212:$U$1216,$O$1212:$O$1216,"&lt;"&amp;O1215))),"n.a.")</x:f>
        <x:v>0</x:v>
      </x:c>
      <x:c r="Q1215" s="22" t="n">
        <x:f>IF(T1215="Ready",ROUND(N1215+P1215,2),"n.a.")</x:f>
        <x:v>0</x:v>
      </x:c>
      <x:c r="R1215" s="22" t="n">
        <x:f>IF(T1215="Ready",ROUND(Q1215-M1215,2),"n.a.")</x:f>
        <x:v>0</x:v>
      </x:c>
      <x:c r="S1215" s="22" t="n">
        <x:f>IF(T1215="Ready",MAX(0,ROUND(I1215+M1215-Q1215,2)),"n.a.")</x:f>
        <x:v>0</x:v>
      </x:c>
      <x:c r="T1215" s="22" t="str">
        <x:f>IF(AND(COUNT($I$1212:$I$1216)=5,COUNT(E1215:F1215)=2),IF(E1215&gt;=F1215,"Ready","Budget below minima"),"Check inputs")</x:f>
        <x:v>Ready</x:v>
      </x:c>
      <x:c r="U1215" s="22" t="n">
        <x:f>IF(COUNT(I1215,M1215,N1215)=3,MAX(0,ROUND(I1215+M1215-N1215,2)),"n.a.")</x:f>
        <x:v>0</x:v>
      </x:c>
    </x:row>
    <x:row r="1216" ht="22" customHeight="1">
      <x:c r="A1216" s="2"/>
      <x:c r="B1216" s="2"/>
      <x:c r="C1216" s="27" t="n">
        <x:f>242</x:f>
        <x:v>242</x:v>
      </x:c>
      <x:c r="D1216" s="28" t="n">
        <x:f>IF(ISNUMBER('Inputs'!$D$7),EDATE('Inputs'!$D$7,241),"n.a.")</x:f>
        <x:v>53662</x:v>
      </x:c>
      <x:c r="E1216" s="26" t="n">
        <x:f>IF('Inputs'!$D$9&lt;&gt;"Ready","n.a.",IF(ISNUMBER('Inputs'!E260),IF('Inputs'!E260&gt;=0,'Inputs'!E260,"n.a."),IF('Inputs'!E260="",'Inputs'!$D$6,"n.a.")))</x:f>
        <x:v>500</x:v>
      </x:c>
      <x:c r="F1216" s="22" t="n">
        <x:f>IF(COUNT($N$1212:$N$1216)=5,SUM($N$1212:$N$1216),"n.a.")</x:f>
        <x:v>0</x:v>
      </x:c>
      <x:c r="G1216" s="22" t="n">
        <x:f>IF(COUNT(E1216:F1216)=2,MAX(0,E1216-F1216),"n.a.")</x:f>
        <x:v>500</x:v>
      </x:c>
      <x:c r="H1216" s="26" t="str">
        <x:f>'Inputs'!C15</x:f>
        <x:v>Unused 5</x:v>
      </x:c>
      <x:c r="I1216" s="26" t="n">
        <x:f>S1211</x:f>
        <x:v>0</x:v>
      </x:c>
      <x:c r="J1216" s="29" t="n">
        <x:f>IF('Inputs'!$D$9="Ready",'Inputs'!E15,"n.a.")</x:f>
        <x:v>0</x:v>
      </x:c>
      <x:c r="K1216" s="26" t="n">
        <x:f>IF('Inputs'!$D$9="Ready",'Inputs'!F15,"n.a.")</x:f>
        <x:v>0</x:v>
      </x:c>
      <x:c r="L1216" s="29" t="n">
        <x:f>IF('Inputs'!$D$9="Ready",'Inputs'!G15,"n.a.")</x:f>
        <x:v>0</x:v>
      </x:c>
      <x:c r="M1216" s="22" t="n">
        <x:f>IF(COUNT(I1216:L1216)=4,ROUND(I1216*J1216/12,2),"n.a.")</x:f>
        <x:v>0</x:v>
      </x:c>
      <x:c r="N1216" s="22" t="n">
        <x:f>IF(COUNT(I1216:M1216)=5,MIN(I1216+M1216,ROUND(MAX(K1216,I1216*L1216+M1216),2)),"n.a.")</x:f>
        <x:v>0</x:v>
      </x:c>
      <x:c r="O1216" s="30" t="n">
        <x:f>IF(COUNT($I$1212:$I$1216)&lt;&gt;5,"n.a.",IF(I1216=0,6,IF('Inputs'!$D$5=1,COUNTIFS($I$1212:$I$1216,"&gt;0",$I$1212:$I$1216,"&lt;"&amp;I1216)+COUNTIFS($I$1212:I1216,I1216),COUNTIFS($I$1212:$I$1216,"&gt;0",$J$1212:$J$1216,"&gt;"&amp;J1216)+COUNTIFS($I$1212:I1216,"&gt;0",$J$1212:J1216,J1216))))</x:f>
        <x:v>6</x:v>
      </x:c>
      <x:c r="P1216" s="22" t="n">
        <x:f>IF(T1216="Ready",MIN(U1216,MAX(0,G1216-SUMIFS($U$1212:$U$1216,$O$1212:$O$1216,"&lt;"&amp;O1216))),"n.a.")</x:f>
        <x:v>0</x:v>
      </x:c>
      <x:c r="Q1216" s="22" t="n">
        <x:f>IF(T1216="Ready",ROUND(N1216+P1216,2),"n.a.")</x:f>
        <x:v>0</x:v>
      </x:c>
      <x:c r="R1216" s="22" t="n">
        <x:f>IF(T1216="Ready",ROUND(Q1216-M1216,2),"n.a.")</x:f>
        <x:v>0</x:v>
      </x:c>
      <x:c r="S1216" s="22" t="n">
        <x:f>IF(T1216="Ready",MAX(0,ROUND(I1216+M1216-Q1216,2)),"n.a.")</x:f>
        <x:v>0</x:v>
      </x:c>
      <x:c r="T1216" s="22" t="str">
        <x:f>IF(AND(COUNT($I$1212:$I$1216)=5,COUNT(E1216:F1216)=2),IF(E1216&gt;=F1216,"Ready","Budget below minima"),"Check inputs")</x:f>
        <x:v>Ready</x:v>
      </x:c>
      <x:c r="U1216" s="22" t="n">
        <x:f>IF(COUNT(I1216,M1216,N1216)=3,MAX(0,ROUND(I1216+M1216-N1216,2)),"n.a.")</x:f>
        <x:v>0</x:v>
      </x:c>
    </x:row>
    <x:row r="1217" ht="22" customHeight="1">
      <x:c r="A1217" s="2"/>
      <x:c r="B1217" s="2"/>
      <x:c r="C1217" s="27" t="n">
        <x:f>243</x:f>
        <x:v>243</x:v>
      </x:c>
      <x:c r="D1217" s="28" t="n">
        <x:f>IF(ISNUMBER('Inputs'!$D$7),EDATE('Inputs'!$D$7,242),"n.a.")</x:f>
        <x:v>53693</x:v>
      </x:c>
      <x:c r="E1217" s="26" t="n">
        <x:f>IF('Inputs'!$D$9&lt;&gt;"Ready","n.a.",IF(ISNUMBER('Inputs'!E261),IF('Inputs'!E261&gt;=0,'Inputs'!E261,"n.a."),IF('Inputs'!E261="",'Inputs'!$D$6,"n.a.")))</x:f>
        <x:v>500</x:v>
      </x:c>
      <x:c r="F1217" s="22" t="n">
        <x:f>IF(COUNT($N$1217:$N$1221)=5,SUM($N$1217:$N$1221),"n.a.")</x:f>
        <x:v>0</x:v>
      </x:c>
      <x:c r="G1217" s="22" t="n">
        <x:f>IF(COUNT(E1217:F1217)=2,MAX(0,E1217-F1217),"n.a.")</x:f>
        <x:v>500</x:v>
      </x:c>
      <x:c r="H1217" s="26" t="str">
        <x:f>'Inputs'!C11</x:f>
        <x:v>Card A</x:v>
      </x:c>
      <x:c r="I1217" s="26" t="n">
        <x:f>S1212</x:f>
        <x:v>0</x:v>
      </x:c>
      <x:c r="J1217" s="29" t="n">
        <x:f>IF('Inputs'!$D$9="Ready",'Inputs'!E11,"n.a.")</x:f>
        <x:v>0.24</x:v>
      </x:c>
      <x:c r="K1217" s="26" t="n">
        <x:f>IF('Inputs'!$D$9="Ready",'Inputs'!F11,"n.a.")</x:f>
        <x:v>35</x:v>
      </x:c>
      <x:c r="L1217" s="29" t="n">
        <x:f>IF('Inputs'!$D$9="Ready",'Inputs'!G11,"n.a.")</x:f>
        <x:v>0.02</x:v>
      </x:c>
      <x:c r="M1217" s="22" t="n">
        <x:f>IF(COUNT(I1217:L1217)=4,ROUND(I1217*J1217/12,2),"n.a.")</x:f>
        <x:v>0</x:v>
      </x:c>
      <x:c r="N1217" s="22" t="n">
        <x:f>IF(COUNT(I1217:M1217)=5,MIN(I1217+M1217,ROUND(MAX(K1217,I1217*L1217+M1217),2)),"n.a.")</x:f>
        <x:v>0</x:v>
      </x:c>
      <x:c r="O1217" s="30" t="n">
        <x:f>IF(COUNT($I$1217:$I$1221)&lt;&gt;5,"n.a.",IF(I1217=0,6,IF('Inputs'!$D$5=1,COUNTIFS($I$1217:$I$1221,"&gt;0",$I$1217:$I$1221,"&lt;"&amp;I1217)+COUNTIFS($I$1217:I1217,I1217),COUNTIFS($I$1217:$I$1221,"&gt;0",$J$1217:$J$1221,"&gt;"&amp;J1217)+COUNTIFS($I$1217:I1217,"&gt;0",$J$1217:J1217,J1217))))</x:f>
        <x:v>6</x:v>
      </x:c>
      <x:c r="P1217" s="22" t="n">
        <x:f>IF(T1217="Ready",MIN(U1217,MAX(0,G1217-SUMIFS($U$1217:$U$1221,$O$1217:$O$1221,"&lt;"&amp;O1217))),"n.a.")</x:f>
        <x:v>0</x:v>
      </x:c>
      <x:c r="Q1217" s="22" t="n">
        <x:f>IF(T1217="Ready",ROUND(N1217+P1217,2),"n.a.")</x:f>
        <x:v>0</x:v>
      </x:c>
      <x:c r="R1217" s="22" t="n">
        <x:f>IF(T1217="Ready",ROUND(Q1217-M1217,2),"n.a.")</x:f>
        <x:v>0</x:v>
      </x:c>
      <x:c r="S1217" s="22" t="n">
        <x:f>IF(T1217="Ready",MAX(0,ROUND(I1217+M1217-Q1217,2)),"n.a.")</x:f>
        <x:v>0</x:v>
      </x:c>
      <x:c r="T1217" s="22" t="str">
        <x:f>IF(AND(COUNT($I$1217:$I$1221)=5,COUNT(E1217:F1217)=2),IF(E1217&gt;=F1217,"Ready","Budget below minima"),"Check inputs")</x:f>
        <x:v>Ready</x:v>
      </x:c>
      <x:c r="U1217" s="22" t="n">
        <x:f>IF(COUNT(I1217,M1217,N1217)=3,MAX(0,ROUND(I1217+M1217-N1217,2)),"n.a.")</x:f>
        <x:v>0</x:v>
      </x:c>
    </x:row>
    <x:row r="1218" ht="22" customHeight="1">
      <x:c r="A1218" s="2"/>
      <x:c r="B1218" s="2"/>
      <x:c r="C1218" s="27" t="n">
        <x:f>243</x:f>
        <x:v>243</x:v>
      </x:c>
      <x:c r="D1218" s="28" t="n">
        <x:f>IF(ISNUMBER('Inputs'!$D$7),EDATE('Inputs'!$D$7,242),"n.a.")</x:f>
        <x:v>53693</x:v>
      </x:c>
      <x:c r="E1218" s="26" t="n">
        <x:f>IF('Inputs'!$D$9&lt;&gt;"Ready","n.a.",IF(ISNUMBER('Inputs'!E261),IF('Inputs'!E261&gt;=0,'Inputs'!E261,"n.a."),IF('Inputs'!E261="",'Inputs'!$D$6,"n.a.")))</x:f>
        <x:v>500</x:v>
      </x:c>
      <x:c r="F1218" s="22" t="n">
        <x:f>IF(COUNT($N$1217:$N$1221)=5,SUM($N$1217:$N$1221),"n.a.")</x:f>
        <x:v>0</x:v>
      </x:c>
      <x:c r="G1218" s="22" t="n">
        <x:f>IF(COUNT(E1218:F1218)=2,MAX(0,E1218-F1218),"n.a.")</x:f>
        <x:v>500</x:v>
      </x:c>
      <x:c r="H1218" s="26" t="str">
        <x:f>'Inputs'!C12</x:f>
        <x:v>Card B</x:v>
      </x:c>
      <x:c r="I1218" s="26" t="n">
        <x:f>S1213</x:f>
        <x:v>0</x:v>
      </x:c>
      <x:c r="J1218" s="29" t="n">
        <x:f>IF('Inputs'!$D$9="Ready",'Inputs'!E12,"n.a.")</x:f>
        <x:v>0.18</x:v>
      </x:c>
      <x:c r="K1218" s="26" t="n">
        <x:f>IF('Inputs'!$D$9="Ready",'Inputs'!F12,"n.a.")</x:f>
        <x:v>60</x:v>
      </x:c>
      <x:c r="L1218" s="29" t="n">
        <x:f>IF('Inputs'!$D$9="Ready",'Inputs'!G12,"n.a.")</x:f>
        <x:v>0.02</x:v>
      </x:c>
      <x:c r="M1218" s="22" t="n">
        <x:f>IF(COUNT(I1218:L1218)=4,ROUND(I1218*J1218/12,2),"n.a.")</x:f>
        <x:v>0</x:v>
      </x:c>
      <x:c r="N1218" s="22" t="n">
        <x:f>IF(COUNT(I1218:M1218)=5,MIN(I1218+M1218,ROUND(MAX(K1218,I1218*L1218+M1218),2)),"n.a.")</x:f>
        <x:v>0</x:v>
      </x:c>
      <x:c r="O1218" s="30" t="n">
        <x:f>IF(COUNT($I$1217:$I$1221)&lt;&gt;5,"n.a.",IF(I1218=0,6,IF('Inputs'!$D$5=1,COUNTIFS($I$1217:$I$1221,"&gt;0",$I$1217:$I$1221,"&lt;"&amp;I1218)+COUNTIFS($I$1217:I1218,I1218),COUNTIFS($I$1217:$I$1221,"&gt;0",$J$1217:$J$1221,"&gt;"&amp;J1218)+COUNTIFS($I$1217:I1218,"&gt;0",$J$1217:J1218,J1218))))</x:f>
        <x:v>6</x:v>
      </x:c>
      <x:c r="P1218" s="22" t="n">
        <x:f>IF(T1218="Ready",MIN(U1218,MAX(0,G1218-SUMIFS($U$1217:$U$1221,$O$1217:$O$1221,"&lt;"&amp;O1218))),"n.a.")</x:f>
        <x:v>0</x:v>
      </x:c>
      <x:c r="Q1218" s="22" t="n">
        <x:f>IF(T1218="Ready",ROUND(N1218+P1218,2),"n.a.")</x:f>
        <x:v>0</x:v>
      </x:c>
      <x:c r="R1218" s="22" t="n">
        <x:f>IF(T1218="Ready",ROUND(Q1218-M1218,2),"n.a.")</x:f>
        <x:v>0</x:v>
      </x:c>
      <x:c r="S1218" s="22" t="n">
        <x:f>IF(T1218="Ready",MAX(0,ROUND(I1218+M1218-Q1218,2)),"n.a.")</x:f>
        <x:v>0</x:v>
      </x:c>
      <x:c r="T1218" s="22" t="str">
        <x:f>IF(AND(COUNT($I$1217:$I$1221)=5,COUNT(E1218:F1218)=2),IF(E1218&gt;=F1218,"Ready","Budget below minima"),"Check inputs")</x:f>
        <x:v>Ready</x:v>
      </x:c>
      <x:c r="U1218" s="22" t="n">
        <x:f>IF(COUNT(I1218,M1218,N1218)=3,MAX(0,ROUND(I1218+M1218-N1218,2)),"n.a.")</x:f>
        <x:v>0</x:v>
      </x:c>
    </x:row>
    <x:row r="1219" ht="22" customHeight="1">
      <x:c r="A1219" s="2"/>
      <x:c r="B1219" s="2"/>
      <x:c r="C1219" s="27" t="n">
        <x:f>243</x:f>
        <x:v>243</x:v>
      </x:c>
      <x:c r="D1219" s="28" t="n">
        <x:f>IF(ISNUMBER('Inputs'!$D$7),EDATE('Inputs'!$D$7,242),"n.a.")</x:f>
        <x:v>53693</x:v>
      </x:c>
      <x:c r="E1219" s="26" t="n">
        <x:f>IF('Inputs'!$D$9&lt;&gt;"Ready","n.a.",IF(ISNUMBER('Inputs'!E261),IF('Inputs'!E261&gt;=0,'Inputs'!E261,"n.a."),IF('Inputs'!E261="",'Inputs'!$D$6,"n.a.")))</x:f>
        <x:v>500</x:v>
      </x:c>
      <x:c r="F1219" s="22" t="n">
        <x:f>IF(COUNT($N$1217:$N$1221)=5,SUM($N$1217:$N$1221),"n.a.")</x:f>
        <x:v>0</x:v>
      </x:c>
      <x:c r="G1219" s="22" t="n">
        <x:f>IF(COUNT(E1219:F1219)=2,MAX(0,E1219-F1219),"n.a.")</x:f>
        <x:v>500</x:v>
      </x:c>
      <x:c r="H1219" s="26" t="str">
        <x:f>'Inputs'!C13</x:f>
        <x:v>Loan C</x:v>
      </x:c>
      <x:c r="I1219" s="26" t="n">
        <x:f>S1214</x:f>
        <x:v>0</x:v>
      </x:c>
      <x:c r="J1219" s="29" t="n">
        <x:f>IF('Inputs'!$D$9="Ready",'Inputs'!E13,"n.a.")</x:f>
        <x:v>0.08</x:v>
      </x:c>
      <x:c r="K1219" s="26" t="n">
        <x:f>IF('Inputs'!$D$9="Ready",'Inputs'!F13,"n.a.")</x:f>
        <x:v>150</x:v>
      </x:c>
      <x:c r="L1219" s="29" t="n">
        <x:f>IF('Inputs'!$D$9="Ready",'Inputs'!G13,"n.a.")</x:f>
        <x:v>0</x:v>
      </x:c>
      <x:c r="M1219" s="22" t="n">
        <x:f>IF(COUNT(I1219:L1219)=4,ROUND(I1219*J1219/12,2),"n.a.")</x:f>
        <x:v>0</x:v>
      </x:c>
      <x:c r="N1219" s="22" t="n">
        <x:f>IF(COUNT(I1219:M1219)=5,MIN(I1219+M1219,ROUND(MAX(K1219,I1219*L1219+M1219),2)),"n.a.")</x:f>
        <x:v>0</x:v>
      </x:c>
      <x:c r="O1219" s="30" t="n">
        <x:f>IF(COUNT($I$1217:$I$1221)&lt;&gt;5,"n.a.",IF(I1219=0,6,IF('Inputs'!$D$5=1,COUNTIFS($I$1217:$I$1221,"&gt;0",$I$1217:$I$1221,"&lt;"&amp;I1219)+COUNTIFS($I$1217:I1219,I1219),COUNTIFS($I$1217:$I$1221,"&gt;0",$J$1217:$J$1221,"&gt;"&amp;J1219)+COUNTIFS($I$1217:I1219,"&gt;0",$J$1217:J1219,J1219))))</x:f>
        <x:v>6</x:v>
      </x:c>
      <x:c r="P1219" s="22" t="n">
        <x:f>IF(T1219="Ready",MIN(U1219,MAX(0,G1219-SUMIFS($U$1217:$U$1221,$O$1217:$O$1221,"&lt;"&amp;O1219))),"n.a.")</x:f>
        <x:v>0</x:v>
      </x:c>
      <x:c r="Q1219" s="22" t="n">
        <x:f>IF(T1219="Ready",ROUND(N1219+P1219,2),"n.a.")</x:f>
        <x:v>0</x:v>
      </x:c>
      <x:c r="R1219" s="22" t="n">
        <x:f>IF(T1219="Ready",ROUND(Q1219-M1219,2),"n.a.")</x:f>
        <x:v>0</x:v>
      </x:c>
      <x:c r="S1219" s="22" t="n">
        <x:f>IF(T1219="Ready",MAX(0,ROUND(I1219+M1219-Q1219,2)),"n.a.")</x:f>
        <x:v>0</x:v>
      </x:c>
      <x:c r="T1219" s="22" t="str">
        <x:f>IF(AND(COUNT($I$1217:$I$1221)=5,COUNT(E1219:F1219)=2),IF(E1219&gt;=F1219,"Ready","Budget below minima"),"Check inputs")</x:f>
        <x:v>Ready</x:v>
      </x:c>
      <x:c r="U1219" s="22" t="n">
        <x:f>IF(COUNT(I1219,M1219,N1219)=3,MAX(0,ROUND(I1219+M1219-N1219,2)),"n.a.")</x:f>
        <x:v>0</x:v>
      </x:c>
    </x:row>
    <x:row r="1220" ht="22" customHeight="1">
      <x:c r="A1220" s="2"/>
      <x:c r="B1220" s="2"/>
      <x:c r="C1220" s="27" t="n">
        <x:f>243</x:f>
        <x:v>243</x:v>
      </x:c>
      <x:c r="D1220" s="28" t="n">
        <x:f>IF(ISNUMBER('Inputs'!$D$7),EDATE('Inputs'!$D$7,242),"n.a.")</x:f>
        <x:v>53693</x:v>
      </x:c>
      <x:c r="E1220" s="26" t="n">
        <x:f>IF('Inputs'!$D$9&lt;&gt;"Ready","n.a.",IF(ISNUMBER('Inputs'!E261),IF('Inputs'!E261&gt;=0,'Inputs'!E261,"n.a."),IF('Inputs'!E261="",'Inputs'!$D$6,"n.a.")))</x:f>
        <x:v>500</x:v>
      </x:c>
      <x:c r="F1220" s="22" t="n">
        <x:f>IF(COUNT($N$1217:$N$1221)=5,SUM($N$1217:$N$1221),"n.a.")</x:f>
        <x:v>0</x:v>
      </x:c>
      <x:c r="G1220" s="22" t="n">
        <x:f>IF(COUNT(E1220:F1220)=2,MAX(0,E1220-F1220),"n.a.")</x:f>
        <x:v>500</x:v>
      </x:c>
      <x:c r="H1220" s="26" t="str">
        <x:f>'Inputs'!C14</x:f>
        <x:v>Unused 4</x:v>
      </x:c>
      <x:c r="I1220" s="26" t="n">
        <x:f>S1215</x:f>
        <x:v>0</x:v>
      </x:c>
      <x:c r="J1220" s="29" t="n">
        <x:f>IF('Inputs'!$D$9="Ready",'Inputs'!E14,"n.a.")</x:f>
        <x:v>0</x:v>
      </x:c>
      <x:c r="K1220" s="26" t="n">
        <x:f>IF('Inputs'!$D$9="Ready",'Inputs'!F14,"n.a.")</x:f>
        <x:v>0</x:v>
      </x:c>
      <x:c r="L1220" s="29" t="n">
        <x:f>IF('Inputs'!$D$9="Ready",'Inputs'!G14,"n.a.")</x:f>
        <x:v>0</x:v>
      </x:c>
      <x:c r="M1220" s="22" t="n">
        <x:f>IF(COUNT(I1220:L1220)=4,ROUND(I1220*J1220/12,2),"n.a.")</x:f>
        <x:v>0</x:v>
      </x:c>
      <x:c r="N1220" s="22" t="n">
        <x:f>IF(COUNT(I1220:M1220)=5,MIN(I1220+M1220,ROUND(MAX(K1220,I1220*L1220+M1220),2)),"n.a.")</x:f>
        <x:v>0</x:v>
      </x:c>
      <x:c r="O1220" s="30" t="n">
        <x:f>IF(COUNT($I$1217:$I$1221)&lt;&gt;5,"n.a.",IF(I1220=0,6,IF('Inputs'!$D$5=1,COUNTIFS($I$1217:$I$1221,"&gt;0",$I$1217:$I$1221,"&lt;"&amp;I1220)+COUNTIFS($I$1217:I1220,I1220),COUNTIFS($I$1217:$I$1221,"&gt;0",$J$1217:$J$1221,"&gt;"&amp;J1220)+COUNTIFS($I$1217:I1220,"&gt;0",$J$1217:J1220,J1220))))</x:f>
        <x:v>6</x:v>
      </x:c>
      <x:c r="P1220" s="22" t="n">
        <x:f>IF(T1220="Ready",MIN(U1220,MAX(0,G1220-SUMIFS($U$1217:$U$1221,$O$1217:$O$1221,"&lt;"&amp;O1220))),"n.a.")</x:f>
        <x:v>0</x:v>
      </x:c>
      <x:c r="Q1220" s="22" t="n">
        <x:f>IF(T1220="Ready",ROUND(N1220+P1220,2),"n.a.")</x:f>
        <x:v>0</x:v>
      </x:c>
      <x:c r="R1220" s="22" t="n">
        <x:f>IF(T1220="Ready",ROUND(Q1220-M1220,2),"n.a.")</x:f>
        <x:v>0</x:v>
      </x:c>
      <x:c r="S1220" s="22" t="n">
        <x:f>IF(T1220="Ready",MAX(0,ROUND(I1220+M1220-Q1220,2)),"n.a.")</x:f>
        <x:v>0</x:v>
      </x:c>
      <x:c r="T1220" s="22" t="str">
        <x:f>IF(AND(COUNT($I$1217:$I$1221)=5,COUNT(E1220:F1220)=2),IF(E1220&gt;=F1220,"Ready","Budget below minima"),"Check inputs")</x:f>
        <x:v>Ready</x:v>
      </x:c>
      <x:c r="U1220" s="22" t="n">
        <x:f>IF(COUNT(I1220,M1220,N1220)=3,MAX(0,ROUND(I1220+M1220-N1220,2)),"n.a.")</x:f>
        <x:v>0</x:v>
      </x:c>
    </x:row>
    <x:row r="1221" ht="22" customHeight="1">
      <x:c r="A1221" s="2"/>
      <x:c r="B1221" s="2"/>
      <x:c r="C1221" s="27" t="n">
        <x:f>243</x:f>
        <x:v>243</x:v>
      </x:c>
      <x:c r="D1221" s="28" t="n">
        <x:f>IF(ISNUMBER('Inputs'!$D$7),EDATE('Inputs'!$D$7,242),"n.a.")</x:f>
        <x:v>53693</x:v>
      </x:c>
      <x:c r="E1221" s="26" t="n">
        <x:f>IF('Inputs'!$D$9&lt;&gt;"Ready","n.a.",IF(ISNUMBER('Inputs'!E261),IF('Inputs'!E261&gt;=0,'Inputs'!E261,"n.a."),IF('Inputs'!E261="",'Inputs'!$D$6,"n.a.")))</x:f>
        <x:v>500</x:v>
      </x:c>
      <x:c r="F1221" s="22" t="n">
        <x:f>IF(COUNT($N$1217:$N$1221)=5,SUM($N$1217:$N$1221),"n.a.")</x:f>
        <x:v>0</x:v>
      </x:c>
      <x:c r="G1221" s="22" t="n">
        <x:f>IF(COUNT(E1221:F1221)=2,MAX(0,E1221-F1221),"n.a.")</x:f>
        <x:v>500</x:v>
      </x:c>
      <x:c r="H1221" s="26" t="str">
        <x:f>'Inputs'!C15</x:f>
        <x:v>Unused 5</x:v>
      </x:c>
      <x:c r="I1221" s="26" t="n">
        <x:f>S1216</x:f>
        <x:v>0</x:v>
      </x:c>
      <x:c r="J1221" s="29" t="n">
        <x:f>IF('Inputs'!$D$9="Ready",'Inputs'!E15,"n.a.")</x:f>
        <x:v>0</x:v>
      </x:c>
      <x:c r="K1221" s="26" t="n">
        <x:f>IF('Inputs'!$D$9="Ready",'Inputs'!F15,"n.a.")</x:f>
        <x:v>0</x:v>
      </x:c>
      <x:c r="L1221" s="29" t="n">
        <x:f>IF('Inputs'!$D$9="Ready",'Inputs'!G15,"n.a.")</x:f>
        <x:v>0</x:v>
      </x:c>
      <x:c r="M1221" s="22" t="n">
        <x:f>IF(COUNT(I1221:L1221)=4,ROUND(I1221*J1221/12,2),"n.a.")</x:f>
        <x:v>0</x:v>
      </x:c>
      <x:c r="N1221" s="22" t="n">
        <x:f>IF(COUNT(I1221:M1221)=5,MIN(I1221+M1221,ROUND(MAX(K1221,I1221*L1221+M1221),2)),"n.a.")</x:f>
        <x:v>0</x:v>
      </x:c>
      <x:c r="O1221" s="30" t="n">
        <x:f>IF(COUNT($I$1217:$I$1221)&lt;&gt;5,"n.a.",IF(I1221=0,6,IF('Inputs'!$D$5=1,COUNTIFS($I$1217:$I$1221,"&gt;0",$I$1217:$I$1221,"&lt;"&amp;I1221)+COUNTIFS($I$1217:I1221,I1221),COUNTIFS($I$1217:$I$1221,"&gt;0",$J$1217:$J$1221,"&gt;"&amp;J1221)+COUNTIFS($I$1217:I1221,"&gt;0",$J$1217:J1221,J1221))))</x:f>
        <x:v>6</x:v>
      </x:c>
      <x:c r="P1221" s="22" t="n">
        <x:f>IF(T1221="Ready",MIN(U1221,MAX(0,G1221-SUMIFS($U$1217:$U$1221,$O$1217:$O$1221,"&lt;"&amp;O1221))),"n.a.")</x:f>
        <x:v>0</x:v>
      </x:c>
      <x:c r="Q1221" s="22" t="n">
        <x:f>IF(T1221="Ready",ROUND(N1221+P1221,2),"n.a.")</x:f>
        <x:v>0</x:v>
      </x:c>
      <x:c r="R1221" s="22" t="n">
        <x:f>IF(T1221="Ready",ROUND(Q1221-M1221,2),"n.a.")</x:f>
        <x:v>0</x:v>
      </x:c>
      <x:c r="S1221" s="22" t="n">
        <x:f>IF(T1221="Ready",MAX(0,ROUND(I1221+M1221-Q1221,2)),"n.a.")</x:f>
        <x:v>0</x:v>
      </x:c>
      <x:c r="T1221" s="22" t="str">
        <x:f>IF(AND(COUNT($I$1217:$I$1221)=5,COUNT(E1221:F1221)=2),IF(E1221&gt;=F1221,"Ready","Budget below minima"),"Check inputs")</x:f>
        <x:v>Ready</x:v>
      </x:c>
      <x:c r="U1221" s="22" t="n">
        <x:f>IF(COUNT(I1221,M1221,N1221)=3,MAX(0,ROUND(I1221+M1221-N1221,2)),"n.a.")</x:f>
        <x:v>0</x:v>
      </x:c>
    </x:row>
    <x:row r="1222" ht="22" customHeight="1">
      <x:c r="A1222" s="2"/>
      <x:c r="B1222" s="2"/>
      <x:c r="C1222" s="27" t="n">
        <x:f>244</x:f>
        <x:v>244</x:v>
      </x:c>
      <x:c r="D1222" s="28" t="n">
        <x:f>IF(ISNUMBER('Inputs'!$D$7),EDATE('Inputs'!$D$7,243),"n.a.")</x:f>
        <x:v>53724</x:v>
      </x:c>
      <x:c r="E1222" s="26" t="n">
        <x:f>IF('Inputs'!$D$9&lt;&gt;"Ready","n.a.",IF(ISNUMBER('Inputs'!E262),IF('Inputs'!E262&gt;=0,'Inputs'!E262,"n.a."),IF('Inputs'!E262="",'Inputs'!$D$6,"n.a.")))</x:f>
        <x:v>500</x:v>
      </x:c>
      <x:c r="F1222" s="22" t="n">
        <x:f>IF(COUNT($N$1222:$N$1226)=5,SUM($N$1222:$N$1226),"n.a.")</x:f>
        <x:v>0</x:v>
      </x:c>
      <x:c r="G1222" s="22" t="n">
        <x:f>IF(COUNT(E1222:F1222)=2,MAX(0,E1222-F1222),"n.a.")</x:f>
        <x:v>500</x:v>
      </x:c>
      <x:c r="H1222" s="26" t="str">
        <x:f>'Inputs'!C11</x:f>
        <x:v>Card A</x:v>
      </x:c>
      <x:c r="I1222" s="26" t="n">
        <x:f>S1217</x:f>
        <x:v>0</x:v>
      </x:c>
      <x:c r="J1222" s="29" t="n">
        <x:f>IF('Inputs'!$D$9="Ready",'Inputs'!E11,"n.a.")</x:f>
        <x:v>0.24</x:v>
      </x:c>
      <x:c r="K1222" s="26" t="n">
        <x:f>IF('Inputs'!$D$9="Ready",'Inputs'!F11,"n.a.")</x:f>
        <x:v>35</x:v>
      </x:c>
      <x:c r="L1222" s="29" t="n">
        <x:f>IF('Inputs'!$D$9="Ready",'Inputs'!G11,"n.a.")</x:f>
        <x:v>0.02</x:v>
      </x:c>
      <x:c r="M1222" s="22" t="n">
        <x:f>IF(COUNT(I1222:L1222)=4,ROUND(I1222*J1222/12,2),"n.a.")</x:f>
        <x:v>0</x:v>
      </x:c>
      <x:c r="N1222" s="22" t="n">
        <x:f>IF(COUNT(I1222:M1222)=5,MIN(I1222+M1222,ROUND(MAX(K1222,I1222*L1222+M1222),2)),"n.a.")</x:f>
        <x:v>0</x:v>
      </x:c>
      <x:c r="O1222" s="30" t="n">
        <x:f>IF(COUNT($I$1222:$I$1226)&lt;&gt;5,"n.a.",IF(I1222=0,6,IF('Inputs'!$D$5=1,COUNTIFS($I$1222:$I$1226,"&gt;0",$I$1222:$I$1226,"&lt;"&amp;I1222)+COUNTIFS($I$1222:I1222,I1222),COUNTIFS($I$1222:$I$1226,"&gt;0",$J$1222:$J$1226,"&gt;"&amp;J1222)+COUNTIFS($I$1222:I1222,"&gt;0",$J$1222:J1222,J1222))))</x:f>
        <x:v>6</x:v>
      </x:c>
      <x:c r="P1222" s="22" t="n">
        <x:f>IF(T1222="Ready",MIN(U1222,MAX(0,G1222-SUMIFS($U$1222:$U$1226,$O$1222:$O$1226,"&lt;"&amp;O1222))),"n.a.")</x:f>
        <x:v>0</x:v>
      </x:c>
      <x:c r="Q1222" s="22" t="n">
        <x:f>IF(T1222="Ready",ROUND(N1222+P1222,2),"n.a.")</x:f>
        <x:v>0</x:v>
      </x:c>
      <x:c r="R1222" s="22" t="n">
        <x:f>IF(T1222="Ready",ROUND(Q1222-M1222,2),"n.a.")</x:f>
        <x:v>0</x:v>
      </x:c>
      <x:c r="S1222" s="22" t="n">
        <x:f>IF(T1222="Ready",MAX(0,ROUND(I1222+M1222-Q1222,2)),"n.a.")</x:f>
        <x:v>0</x:v>
      </x:c>
      <x:c r="T1222" s="22" t="str">
        <x:f>IF(AND(COUNT($I$1222:$I$1226)=5,COUNT(E1222:F1222)=2),IF(E1222&gt;=F1222,"Ready","Budget below minima"),"Check inputs")</x:f>
        <x:v>Ready</x:v>
      </x:c>
      <x:c r="U1222" s="22" t="n">
        <x:f>IF(COUNT(I1222,M1222,N1222)=3,MAX(0,ROUND(I1222+M1222-N1222,2)),"n.a.")</x:f>
        <x:v>0</x:v>
      </x:c>
    </x:row>
    <x:row r="1223" ht="22" customHeight="1">
      <x:c r="A1223" s="2"/>
      <x:c r="B1223" s="2"/>
      <x:c r="C1223" s="27" t="n">
        <x:f>244</x:f>
        <x:v>244</x:v>
      </x:c>
      <x:c r="D1223" s="28" t="n">
        <x:f>IF(ISNUMBER('Inputs'!$D$7),EDATE('Inputs'!$D$7,243),"n.a.")</x:f>
        <x:v>53724</x:v>
      </x:c>
      <x:c r="E1223" s="26" t="n">
        <x:f>IF('Inputs'!$D$9&lt;&gt;"Ready","n.a.",IF(ISNUMBER('Inputs'!E262),IF('Inputs'!E262&gt;=0,'Inputs'!E262,"n.a."),IF('Inputs'!E262="",'Inputs'!$D$6,"n.a.")))</x:f>
        <x:v>500</x:v>
      </x:c>
      <x:c r="F1223" s="22" t="n">
        <x:f>IF(COUNT($N$1222:$N$1226)=5,SUM($N$1222:$N$1226),"n.a.")</x:f>
        <x:v>0</x:v>
      </x:c>
      <x:c r="G1223" s="22" t="n">
        <x:f>IF(COUNT(E1223:F1223)=2,MAX(0,E1223-F1223),"n.a.")</x:f>
        <x:v>500</x:v>
      </x:c>
      <x:c r="H1223" s="26" t="str">
        <x:f>'Inputs'!C12</x:f>
        <x:v>Card B</x:v>
      </x:c>
      <x:c r="I1223" s="26" t="n">
        <x:f>S1218</x:f>
        <x:v>0</x:v>
      </x:c>
      <x:c r="J1223" s="29" t="n">
        <x:f>IF('Inputs'!$D$9="Ready",'Inputs'!E12,"n.a.")</x:f>
        <x:v>0.18</x:v>
      </x:c>
      <x:c r="K1223" s="26" t="n">
        <x:f>IF('Inputs'!$D$9="Ready",'Inputs'!F12,"n.a.")</x:f>
        <x:v>60</x:v>
      </x:c>
      <x:c r="L1223" s="29" t="n">
        <x:f>IF('Inputs'!$D$9="Ready",'Inputs'!G12,"n.a.")</x:f>
        <x:v>0.02</x:v>
      </x:c>
      <x:c r="M1223" s="22" t="n">
        <x:f>IF(COUNT(I1223:L1223)=4,ROUND(I1223*J1223/12,2),"n.a.")</x:f>
        <x:v>0</x:v>
      </x:c>
      <x:c r="N1223" s="22" t="n">
        <x:f>IF(COUNT(I1223:M1223)=5,MIN(I1223+M1223,ROUND(MAX(K1223,I1223*L1223+M1223),2)),"n.a.")</x:f>
        <x:v>0</x:v>
      </x:c>
      <x:c r="O1223" s="30" t="n">
        <x:f>IF(COUNT($I$1222:$I$1226)&lt;&gt;5,"n.a.",IF(I1223=0,6,IF('Inputs'!$D$5=1,COUNTIFS($I$1222:$I$1226,"&gt;0",$I$1222:$I$1226,"&lt;"&amp;I1223)+COUNTIFS($I$1222:I1223,I1223),COUNTIFS($I$1222:$I$1226,"&gt;0",$J$1222:$J$1226,"&gt;"&amp;J1223)+COUNTIFS($I$1222:I1223,"&gt;0",$J$1222:J1223,J1223))))</x:f>
        <x:v>6</x:v>
      </x:c>
      <x:c r="P1223" s="22" t="n">
        <x:f>IF(T1223="Ready",MIN(U1223,MAX(0,G1223-SUMIFS($U$1222:$U$1226,$O$1222:$O$1226,"&lt;"&amp;O1223))),"n.a.")</x:f>
        <x:v>0</x:v>
      </x:c>
      <x:c r="Q1223" s="22" t="n">
        <x:f>IF(T1223="Ready",ROUND(N1223+P1223,2),"n.a.")</x:f>
        <x:v>0</x:v>
      </x:c>
      <x:c r="R1223" s="22" t="n">
        <x:f>IF(T1223="Ready",ROUND(Q1223-M1223,2),"n.a.")</x:f>
        <x:v>0</x:v>
      </x:c>
      <x:c r="S1223" s="22" t="n">
        <x:f>IF(T1223="Ready",MAX(0,ROUND(I1223+M1223-Q1223,2)),"n.a.")</x:f>
        <x:v>0</x:v>
      </x:c>
      <x:c r="T1223" s="22" t="str">
        <x:f>IF(AND(COUNT($I$1222:$I$1226)=5,COUNT(E1223:F1223)=2),IF(E1223&gt;=F1223,"Ready","Budget below minima"),"Check inputs")</x:f>
        <x:v>Ready</x:v>
      </x:c>
      <x:c r="U1223" s="22" t="n">
        <x:f>IF(COUNT(I1223,M1223,N1223)=3,MAX(0,ROUND(I1223+M1223-N1223,2)),"n.a.")</x:f>
        <x:v>0</x:v>
      </x:c>
    </x:row>
    <x:row r="1224" ht="22" customHeight="1">
      <x:c r="A1224" s="2"/>
      <x:c r="B1224" s="2"/>
      <x:c r="C1224" s="27" t="n">
        <x:f>244</x:f>
        <x:v>244</x:v>
      </x:c>
      <x:c r="D1224" s="28" t="n">
        <x:f>IF(ISNUMBER('Inputs'!$D$7),EDATE('Inputs'!$D$7,243),"n.a.")</x:f>
        <x:v>53724</x:v>
      </x:c>
      <x:c r="E1224" s="26" t="n">
        <x:f>IF('Inputs'!$D$9&lt;&gt;"Ready","n.a.",IF(ISNUMBER('Inputs'!E262),IF('Inputs'!E262&gt;=0,'Inputs'!E262,"n.a."),IF('Inputs'!E262="",'Inputs'!$D$6,"n.a.")))</x:f>
        <x:v>500</x:v>
      </x:c>
      <x:c r="F1224" s="22" t="n">
        <x:f>IF(COUNT($N$1222:$N$1226)=5,SUM($N$1222:$N$1226),"n.a.")</x:f>
        <x:v>0</x:v>
      </x:c>
      <x:c r="G1224" s="22" t="n">
        <x:f>IF(COUNT(E1224:F1224)=2,MAX(0,E1224-F1224),"n.a.")</x:f>
        <x:v>500</x:v>
      </x:c>
      <x:c r="H1224" s="26" t="str">
        <x:f>'Inputs'!C13</x:f>
        <x:v>Loan C</x:v>
      </x:c>
      <x:c r="I1224" s="26" t="n">
        <x:f>S1219</x:f>
        <x:v>0</x:v>
      </x:c>
      <x:c r="J1224" s="29" t="n">
        <x:f>IF('Inputs'!$D$9="Ready",'Inputs'!E13,"n.a.")</x:f>
        <x:v>0.08</x:v>
      </x:c>
      <x:c r="K1224" s="26" t="n">
        <x:f>IF('Inputs'!$D$9="Ready",'Inputs'!F13,"n.a.")</x:f>
        <x:v>150</x:v>
      </x:c>
      <x:c r="L1224" s="29" t="n">
        <x:f>IF('Inputs'!$D$9="Ready",'Inputs'!G13,"n.a.")</x:f>
        <x:v>0</x:v>
      </x:c>
      <x:c r="M1224" s="22" t="n">
        <x:f>IF(COUNT(I1224:L1224)=4,ROUND(I1224*J1224/12,2),"n.a.")</x:f>
        <x:v>0</x:v>
      </x:c>
      <x:c r="N1224" s="22" t="n">
        <x:f>IF(COUNT(I1224:M1224)=5,MIN(I1224+M1224,ROUND(MAX(K1224,I1224*L1224+M1224),2)),"n.a.")</x:f>
        <x:v>0</x:v>
      </x:c>
      <x:c r="O1224" s="30" t="n">
        <x:f>IF(COUNT($I$1222:$I$1226)&lt;&gt;5,"n.a.",IF(I1224=0,6,IF('Inputs'!$D$5=1,COUNTIFS($I$1222:$I$1226,"&gt;0",$I$1222:$I$1226,"&lt;"&amp;I1224)+COUNTIFS($I$1222:I1224,I1224),COUNTIFS($I$1222:$I$1226,"&gt;0",$J$1222:$J$1226,"&gt;"&amp;J1224)+COUNTIFS($I$1222:I1224,"&gt;0",$J$1222:J1224,J1224))))</x:f>
        <x:v>6</x:v>
      </x:c>
      <x:c r="P1224" s="22" t="n">
        <x:f>IF(T1224="Ready",MIN(U1224,MAX(0,G1224-SUMIFS($U$1222:$U$1226,$O$1222:$O$1226,"&lt;"&amp;O1224))),"n.a.")</x:f>
        <x:v>0</x:v>
      </x:c>
      <x:c r="Q1224" s="22" t="n">
        <x:f>IF(T1224="Ready",ROUND(N1224+P1224,2),"n.a.")</x:f>
        <x:v>0</x:v>
      </x:c>
      <x:c r="R1224" s="22" t="n">
        <x:f>IF(T1224="Ready",ROUND(Q1224-M1224,2),"n.a.")</x:f>
        <x:v>0</x:v>
      </x:c>
      <x:c r="S1224" s="22" t="n">
        <x:f>IF(T1224="Ready",MAX(0,ROUND(I1224+M1224-Q1224,2)),"n.a.")</x:f>
        <x:v>0</x:v>
      </x:c>
      <x:c r="T1224" s="22" t="str">
        <x:f>IF(AND(COUNT($I$1222:$I$1226)=5,COUNT(E1224:F1224)=2),IF(E1224&gt;=F1224,"Ready","Budget below minima"),"Check inputs")</x:f>
        <x:v>Ready</x:v>
      </x:c>
      <x:c r="U1224" s="22" t="n">
        <x:f>IF(COUNT(I1224,M1224,N1224)=3,MAX(0,ROUND(I1224+M1224-N1224,2)),"n.a.")</x:f>
        <x:v>0</x:v>
      </x:c>
    </x:row>
    <x:row r="1225" ht="22" customHeight="1">
      <x:c r="A1225" s="2"/>
      <x:c r="B1225" s="2"/>
      <x:c r="C1225" s="27" t="n">
        <x:f>244</x:f>
        <x:v>244</x:v>
      </x:c>
      <x:c r="D1225" s="28" t="n">
        <x:f>IF(ISNUMBER('Inputs'!$D$7),EDATE('Inputs'!$D$7,243),"n.a.")</x:f>
        <x:v>53724</x:v>
      </x:c>
      <x:c r="E1225" s="26" t="n">
        <x:f>IF('Inputs'!$D$9&lt;&gt;"Ready","n.a.",IF(ISNUMBER('Inputs'!E262),IF('Inputs'!E262&gt;=0,'Inputs'!E262,"n.a."),IF('Inputs'!E262="",'Inputs'!$D$6,"n.a.")))</x:f>
        <x:v>500</x:v>
      </x:c>
      <x:c r="F1225" s="22" t="n">
        <x:f>IF(COUNT($N$1222:$N$1226)=5,SUM($N$1222:$N$1226),"n.a.")</x:f>
        <x:v>0</x:v>
      </x:c>
      <x:c r="G1225" s="22" t="n">
        <x:f>IF(COUNT(E1225:F1225)=2,MAX(0,E1225-F1225),"n.a.")</x:f>
        <x:v>500</x:v>
      </x:c>
      <x:c r="H1225" s="26" t="str">
        <x:f>'Inputs'!C14</x:f>
        <x:v>Unused 4</x:v>
      </x:c>
      <x:c r="I1225" s="26" t="n">
        <x:f>S1220</x:f>
        <x:v>0</x:v>
      </x:c>
      <x:c r="J1225" s="29" t="n">
        <x:f>IF('Inputs'!$D$9="Ready",'Inputs'!E14,"n.a.")</x:f>
        <x:v>0</x:v>
      </x:c>
      <x:c r="K1225" s="26" t="n">
        <x:f>IF('Inputs'!$D$9="Ready",'Inputs'!F14,"n.a.")</x:f>
        <x:v>0</x:v>
      </x:c>
      <x:c r="L1225" s="29" t="n">
        <x:f>IF('Inputs'!$D$9="Ready",'Inputs'!G14,"n.a.")</x:f>
        <x:v>0</x:v>
      </x:c>
      <x:c r="M1225" s="22" t="n">
        <x:f>IF(COUNT(I1225:L1225)=4,ROUND(I1225*J1225/12,2),"n.a.")</x:f>
        <x:v>0</x:v>
      </x:c>
      <x:c r="N1225" s="22" t="n">
        <x:f>IF(COUNT(I1225:M1225)=5,MIN(I1225+M1225,ROUND(MAX(K1225,I1225*L1225+M1225),2)),"n.a.")</x:f>
        <x:v>0</x:v>
      </x:c>
      <x:c r="O1225" s="30" t="n">
        <x:f>IF(COUNT($I$1222:$I$1226)&lt;&gt;5,"n.a.",IF(I1225=0,6,IF('Inputs'!$D$5=1,COUNTIFS($I$1222:$I$1226,"&gt;0",$I$1222:$I$1226,"&lt;"&amp;I1225)+COUNTIFS($I$1222:I1225,I1225),COUNTIFS($I$1222:$I$1226,"&gt;0",$J$1222:$J$1226,"&gt;"&amp;J1225)+COUNTIFS($I$1222:I1225,"&gt;0",$J$1222:J1225,J1225))))</x:f>
        <x:v>6</x:v>
      </x:c>
      <x:c r="P1225" s="22" t="n">
        <x:f>IF(T1225="Ready",MIN(U1225,MAX(0,G1225-SUMIFS($U$1222:$U$1226,$O$1222:$O$1226,"&lt;"&amp;O1225))),"n.a.")</x:f>
        <x:v>0</x:v>
      </x:c>
      <x:c r="Q1225" s="22" t="n">
        <x:f>IF(T1225="Ready",ROUND(N1225+P1225,2),"n.a.")</x:f>
        <x:v>0</x:v>
      </x:c>
      <x:c r="R1225" s="22" t="n">
        <x:f>IF(T1225="Ready",ROUND(Q1225-M1225,2),"n.a.")</x:f>
        <x:v>0</x:v>
      </x:c>
      <x:c r="S1225" s="22" t="n">
        <x:f>IF(T1225="Ready",MAX(0,ROUND(I1225+M1225-Q1225,2)),"n.a.")</x:f>
        <x:v>0</x:v>
      </x:c>
      <x:c r="T1225" s="22" t="str">
        <x:f>IF(AND(COUNT($I$1222:$I$1226)=5,COUNT(E1225:F1225)=2),IF(E1225&gt;=F1225,"Ready","Budget below minima"),"Check inputs")</x:f>
        <x:v>Ready</x:v>
      </x:c>
      <x:c r="U1225" s="22" t="n">
        <x:f>IF(COUNT(I1225,M1225,N1225)=3,MAX(0,ROUND(I1225+M1225-N1225,2)),"n.a.")</x:f>
        <x:v>0</x:v>
      </x:c>
    </x:row>
    <x:row r="1226" ht="22" customHeight="1">
      <x:c r="A1226" s="2"/>
      <x:c r="B1226" s="2"/>
      <x:c r="C1226" s="27" t="n">
        <x:f>244</x:f>
        <x:v>244</x:v>
      </x:c>
      <x:c r="D1226" s="28" t="n">
        <x:f>IF(ISNUMBER('Inputs'!$D$7),EDATE('Inputs'!$D$7,243),"n.a.")</x:f>
        <x:v>53724</x:v>
      </x:c>
      <x:c r="E1226" s="26" t="n">
        <x:f>IF('Inputs'!$D$9&lt;&gt;"Ready","n.a.",IF(ISNUMBER('Inputs'!E262),IF('Inputs'!E262&gt;=0,'Inputs'!E262,"n.a."),IF('Inputs'!E262="",'Inputs'!$D$6,"n.a.")))</x:f>
        <x:v>500</x:v>
      </x:c>
      <x:c r="F1226" s="22" t="n">
        <x:f>IF(COUNT($N$1222:$N$1226)=5,SUM($N$1222:$N$1226),"n.a.")</x:f>
        <x:v>0</x:v>
      </x:c>
      <x:c r="G1226" s="22" t="n">
        <x:f>IF(COUNT(E1226:F1226)=2,MAX(0,E1226-F1226),"n.a.")</x:f>
        <x:v>500</x:v>
      </x:c>
      <x:c r="H1226" s="26" t="str">
        <x:f>'Inputs'!C15</x:f>
        <x:v>Unused 5</x:v>
      </x:c>
      <x:c r="I1226" s="26" t="n">
        <x:f>S1221</x:f>
        <x:v>0</x:v>
      </x:c>
      <x:c r="J1226" s="29" t="n">
        <x:f>IF('Inputs'!$D$9="Ready",'Inputs'!E15,"n.a.")</x:f>
        <x:v>0</x:v>
      </x:c>
      <x:c r="K1226" s="26" t="n">
        <x:f>IF('Inputs'!$D$9="Ready",'Inputs'!F15,"n.a.")</x:f>
        <x:v>0</x:v>
      </x:c>
      <x:c r="L1226" s="29" t="n">
        <x:f>IF('Inputs'!$D$9="Ready",'Inputs'!G15,"n.a.")</x:f>
        <x:v>0</x:v>
      </x:c>
      <x:c r="M1226" s="22" t="n">
        <x:f>IF(COUNT(I1226:L1226)=4,ROUND(I1226*J1226/12,2),"n.a.")</x:f>
        <x:v>0</x:v>
      </x:c>
      <x:c r="N1226" s="22" t="n">
        <x:f>IF(COUNT(I1226:M1226)=5,MIN(I1226+M1226,ROUND(MAX(K1226,I1226*L1226+M1226),2)),"n.a.")</x:f>
        <x:v>0</x:v>
      </x:c>
      <x:c r="O1226" s="30" t="n">
        <x:f>IF(COUNT($I$1222:$I$1226)&lt;&gt;5,"n.a.",IF(I1226=0,6,IF('Inputs'!$D$5=1,COUNTIFS($I$1222:$I$1226,"&gt;0",$I$1222:$I$1226,"&lt;"&amp;I1226)+COUNTIFS($I$1222:I1226,I1226),COUNTIFS($I$1222:$I$1226,"&gt;0",$J$1222:$J$1226,"&gt;"&amp;J1226)+COUNTIFS($I$1222:I1226,"&gt;0",$J$1222:J1226,J1226))))</x:f>
        <x:v>6</x:v>
      </x:c>
      <x:c r="P1226" s="22" t="n">
        <x:f>IF(T1226="Ready",MIN(U1226,MAX(0,G1226-SUMIFS($U$1222:$U$1226,$O$1222:$O$1226,"&lt;"&amp;O1226))),"n.a.")</x:f>
        <x:v>0</x:v>
      </x:c>
      <x:c r="Q1226" s="22" t="n">
        <x:f>IF(T1226="Ready",ROUND(N1226+P1226,2),"n.a.")</x:f>
        <x:v>0</x:v>
      </x:c>
      <x:c r="R1226" s="22" t="n">
        <x:f>IF(T1226="Ready",ROUND(Q1226-M1226,2),"n.a.")</x:f>
        <x:v>0</x:v>
      </x:c>
      <x:c r="S1226" s="22" t="n">
        <x:f>IF(T1226="Ready",MAX(0,ROUND(I1226+M1226-Q1226,2)),"n.a.")</x:f>
        <x:v>0</x:v>
      </x:c>
      <x:c r="T1226" s="22" t="str">
        <x:f>IF(AND(COUNT($I$1222:$I$1226)=5,COUNT(E1226:F1226)=2),IF(E1226&gt;=F1226,"Ready","Budget below minima"),"Check inputs")</x:f>
        <x:v>Ready</x:v>
      </x:c>
      <x:c r="U1226" s="22" t="n">
        <x:f>IF(COUNT(I1226,M1226,N1226)=3,MAX(0,ROUND(I1226+M1226-N1226,2)),"n.a.")</x:f>
        <x:v>0</x:v>
      </x:c>
    </x:row>
    <x:row r="1227" ht="22" customHeight="1">
      <x:c r="A1227" s="2"/>
      <x:c r="B1227" s="2"/>
      <x:c r="C1227" s="27" t="n">
        <x:f>245</x:f>
        <x:v>245</x:v>
      </x:c>
      <x:c r="D1227" s="28" t="n">
        <x:f>IF(ISNUMBER('Inputs'!$D$7),EDATE('Inputs'!$D$7,244),"n.a.")</x:f>
        <x:v>53752</x:v>
      </x:c>
      <x:c r="E1227" s="26" t="n">
        <x:f>IF('Inputs'!$D$9&lt;&gt;"Ready","n.a.",IF(ISNUMBER('Inputs'!E263),IF('Inputs'!E263&gt;=0,'Inputs'!E263,"n.a."),IF('Inputs'!E263="",'Inputs'!$D$6,"n.a.")))</x:f>
        <x:v>500</x:v>
      </x:c>
      <x:c r="F1227" s="22" t="n">
        <x:f>IF(COUNT($N$1227:$N$1231)=5,SUM($N$1227:$N$1231),"n.a.")</x:f>
        <x:v>0</x:v>
      </x:c>
      <x:c r="G1227" s="22" t="n">
        <x:f>IF(COUNT(E1227:F1227)=2,MAX(0,E1227-F1227),"n.a.")</x:f>
        <x:v>500</x:v>
      </x:c>
      <x:c r="H1227" s="26" t="str">
        <x:f>'Inputs'!C11</x:f>
        <x:v>Card A</x:v>
      </x:c>
      <x:c r="I1227" s="26" t="n">
        <x:f>S1222</x:f>
        <x:v>0</x:v>
      </x:c>
      <x:c r="J1227" s="29" t="n">
        <x:f>IF('Inputs'!$D$9="Ready",'Inputs'!E11,"n.a.")</x:f>
        <x:v>0.24</x:v>
      </x:c>
      <x:c r="K1227" s="26" t="n">
        <x:f>IF('Inputs'!$D$9="Ready",'Inputs'!F11,"n.a.")</x:f>
        <x:v>35</x:v>
      </x:c>
      <x:c r="L1227" s="29" t="n">
        <x:f>IF('Inputs'!$D$9="Ready",'Inputs'!G11,"n.a.")</x:f>
        <x:v>0.02</x:v>
      </x:c>
      <x:c r="M1227" s="22" t="n">
        <x:f>IF(COUNT(I1227:L1227)=4,ROUND(I1227*J1227/12,2),"n.a.")</x:f>
        <x:v>0</x:v>
      </x:c>
      <x:c r="N1227" s="22" t="n">
        <x:f>IF(COUNT(I1227:M1227)=5,MIN(I1227+M1227,ROUND(MAX(K1227,I1227*L1227+M1227),2)),"n.a.")</x:f>
        <x:v>0</x:v>
      </x:c>
      <x:c r="O1227" s="30" t="n">
        <x:f>IF(COUNT($I$1227:$I$1231)&lt;&gt;5,"n.a.",IF(I1227=0,6,IF('Inputs'!$D$5=1,COUNTIFS($I$1227:$I$1231,"&gt;0",$I$1227:$I$1231,"&lt;"&amp;I1227)+COUNTIFS($I$1227:I1227,I1227),COUNTIFS($I$1227:$I$1231,"&gt;0",$J$1227:$J$1231,"&gt;"&amp;J1227)+COUNTIFS($I$1227:I1227,"&gt;0",$J$1227:J1227,J1227))))</x:f>
        <x:v>6</x:v>
      </x:c>
      <x:c r="P1227" s="22" t="n">
        <x:f>IF(T1227="Ready",MIN(U1227,MAX(0,G1227-SUMIFS($U$1227:$U$1231,$O$1227:$O$1231,"&lt;"&amp;O1227))),"n.a.")</x:f>
        <x:v>0</x:v>
      </x:c>
      <x:c r="Q1227" s="22" t="n">
        <x:f>IF(T1227="Ready",ROUND(N1227+P1227,2),"n.a.")</x:f>
        <x:v>0</x:v>
      </x:c>
      <x:c r="R1227" s="22" t="n">
        <x:f>IF(T1227="Ready",ROUND(Q1227-M1227,2),"n.a.")</x:f>
        <x:v>0</x:v>
      </x:c>
      <x:c r="S1227" s="22" t="n">
        <x:f>IF(T1227="Ready",MAX(0,ROUND(I1227+M1227-Q1227,2)),"n.a.")</x:f>
        <x:v>0</x:v>
      </x:c>
      <x:c r="T1227" s="22" t="str">
        <x:f>IF(AND(COUNT($I$1227:$I$1231)=5,COUNT(E1227:F1227)=2),IF(E1227&gt;=F1227,"Ready","Budget below minima"),"Check inputs")</x:f>
        <x:v>Ready</x:v>
      </x:c>
      <x:c r="U1227" s="22" t="n">
        <x:f>IF(COUNT(I1227,M1227,N1227)=3,MAX(0,ROUND(I1227+M1227-N1227,2)),"n.a.")</x:f>
        <x:v>0</x:v>
      </x:c>
    </x:row>
    <x:row r="1228" ht="22" customHeight="1">
      <x:c r="A1228" s="2"/>
      <x:c r="B1228" s="2"/>
      <x:c r="C1228" s="27" t="n">
        <x:f>245</x:f>
        <x:v>245</x:v>
      </x:c>
      <x:c r="D1228" s="28" t="n">
        <x:f>IF(ISNUMBER('Inputs'!$D$7),EDATE('Inputs'!$D$7,244),"n.a.")</x:f>
        <x:v>53752</x:v>
      </x:c>
      <x:c r="E1228" s="26" t="n">
        <x:f>IF('Inputs'!$D$9&lt;&gt;"Ready","n.a.",IF(ISNUMBER('Inputs'!E263),IF('Inputs'!E263&gt;=0,'Inputs'!E263,"n.a."),IF('Inputs'!E263="",'Inputs'!$D$6,"n.a.")))</x:f>
        <x:v>500</x:v>
      </x:c>
      <x:c r="F1228" s="22" t="n">
        <x:f>IF(COUNT($N$1227:$N$1231)=5,SUM($N$1227:$N$1231),"n.a.")</x:f>
        <x:v>0</x:v>
      </x:c>
      <x:c r="G1228" s="22" t="n">
        <x:f>IF(COUNT(E1228:F1228)=2,MAX(0,E1228-F1228),"n.a.")</x:f>
        <x:v>500</x:v>
      </x:c>
      <x:c r="H1228" s="26" t="str">
        <x:f>'Inputs'!C12</x:f>
        <x:v>Card B</x:v>
      </x:c>
      <x:c r="I1228" s="26" t="n">
        <x:f>S1223</x:f>
        <x:v>0</x:v>
      </x:c>
      <x:c r="J1228" s="29" t="n">
        <x:f>IF('Inputs'!$D$9="Ready",'Inputs'!E12,"n.a.")</x:f>
        <x:v>0.18</x:v>
      </x:c>
      <x:c r="K1228" s="26" t="n">
        <x:f>IF('Inputs'!$D$9="Ready",'Inputs'!F12,"n.a.")</x:f>
        <x:v>60</x:v>
      </x:c>
      <x:c r="L1228" s="29" t="n">
        <x:f>IF('Inputs'!$D$9="Ready",'Inputs'!G12,"n.a.")</x:f>
        <x:v>0.02</x:v>
      </x:c>
      <x:c r="M1228" s="22" t="n">
        <x:f>IF(COUNT(I1228:L1228)=4,ROUND(I1228*J1228/12,2),"n.a.")</x:f>
        <x:v>0</x:v>
      </x:c>
      <x:c r="N1228" s="22" t="n">
        <x:f>IF(COUNT(I1228:M1228)=5,MIN(I1228+M1228,ROUND(MAX(K1228,I1228*L1228+M1228),2)),"n.a.")</x:f>
        <x:v>0</x:v>
      </x:c>
      <x:c r="O1228" s="30" t="n">
        <x:f>IF(COUNT($I$1227:$I$1231)&lt;&gt;5,"n.a.",IF(I1228=0,6,IF('Inputs'!$D$5=1,COUNTIFS($I$1227:$I$1231,"&gt;0",$I$1227:$I$1231,"&lt;"&amp;I1228)+COUNTIFS($I$1227:I1228,I1228),COUNTIFS($I$1227:$I$1231,"&gt;0",$J$1227:$J$1231,"&gt;"&amp;J1228)+COUNTIFS($I$1227:I1228,"&gt;0",$J$1227:J1228,J1228))))</x:f>
        <x:v>6</x:v>
      </x:c>
      <x:c r="P1228" s="22" t="n">
        <x:f>IF(T1228="Ready",MIN(U1228,MAX(0,G1228-SUMIFS($U$1227:$U$1231,$O$1227:$O$1231,"&lt;"&amp;O1228))),"n.a.")</x:f>
        <x:v>0</x:v>
      </x:c>
      <x:c r="Q1228" s="22" t="n">
        <x:f>IF(T1228="Ready",ROUND(N1228+P1228,2),"n.a.")</x:f>
        <x:v>0</x:v>
      </x:c>
      <x:c r="R1228" s="22" t="n">
        <x:f>IF(T1228="Ready",ROUND(Q1228-M1228,2),"n.a.")</x:f>
        <x:v>0</x:v>
      </x:c>
      <x:c r="S1228" s="22" t="n">
        <x:f>IF(T1228="Ready",MAX(0,ROUND(I1228+M1228-Q1228,2)),"n.a.")</x:f>
        <x:v>0</x:v>
      </x:c>
      <x:c r="T1228" s="22" t="str">
        <x:f>IF(AND(COUNT($I$1227:$I$1231)=5,COUNT(E1228:F1228)=2),IF(E1228&gt;=F1228,"Ready","Budget below minima"),"Check inputs")</x:f>
        <x:v>Ready</x:v>
      </x:c>
      <x:c r="U1228" s="22" t="n">
        <x:f>IF(COUNT(I1228,M1228,N1228)=3,MAX(0,ROUND(I1228+M1228-N1228,2)),"n.a.")</x:f>
        <x:v>0</x:v>
      </x:c>
    </x:row>
    <x:row r="1229" ht="22" customHeight="1">
      <x:c r="A1229" s="2"/>
      <x:c r="B1229" s="2"/>
      <x:c r="C1229" s="27" t="n">
        <x:f>245</x:f>
        <x:v>245</x:v>
      </x:c>
      <x:c r="D1229" s="28" t="n">
        <x:f>IF(ISNUMBER('Inputs'!$D$7),EDATE('Inputs'!$D$7,244),"n.a.")</x:f>
        <x:v>53752</x:v>
      </x:c>
      <x:c r="E1229" s="26" t="n">
        <x:f>IF('Inputs'!$D$9&lt;&gt;"Ready","n.a.",IF(ISNUMBER('Inputs'!E263),IF('Inputs'!E263&gt;=0,'Inputs'!E263,"n.a."),IF('Inputs'!E263="",'Inputs'!$D$6,"n.a.")))</x:f>
        <x:v>500</x:v>
      </x:c>
      <x:c r="F1229" s="22" t="n">
        <x:f>IF(COUNT($N$1227:$N$1231)=5,SUM($N$1227:$N$1231),"n.a.")</x:f>
        <x:v>0</x:v>
      </x:c>
      <x:c r="G1229" s="22" t="n">
        <x:f>IF(COUNT(E1229:F1229)=2,MAX(0,E1229-F1229),"n.a.")</x:f>
        <x:v>500</x:v>
      </x:c>
      <x:c r="H1229" s="26" t="str">
        <x:f>'Inputs'!C13</x:f>
        <x:v>Loan C</x:v>
      </x:c>
      <x:c r="I1229" s="26" t="n">
        <x:f>S1224</x:f>
        <x:v>0</x:v>
      </x:c>
      <x:c r="J1229" s="29" t="n">
        <x:f>IF('Inputs'!$D$9="Ready",'Inputs'!E13,"n.a.")</x:f>
        <x:v>0.08</x:v>
      </x:c>
      <x:c r="K1229" s="26" t="n">
        <x:f>IF('Inputs'!$D$9="Ready",'Inputs'!F13,"n.a.")</x:f>
        <x:v>150</x:v>
      </x:c>
      <x:c r="L1229" s="29" t="n">
        <x:f>IF('Inputs'!$D$9="Ready",'Inputs'!G13,"n.a.")</x:f>
        <x:v>0</x:v>
      </x:c>
      <x:c r="M1229" s="22" t="n">
        <x:f>IF(COUNT(I1229:L1229)=4,ROUND(I1229*J1229/12,2),"n.a.")</x:f>
        <x:v>0</x:v>
      </x:c>
      <x:c r="N1229" s="22" t="n">
        <x:f>IF(COUNT(I1229:M1229)=5,MIN(I1229+M1229,ROUND(MAX(K1229,I1229*L1229+M1229),2)),"n.a.")</x:f>
        <x:v>0</x:v>
      </x:c>
      <x:c r="O1229" s="30" t="n">
        <x:f>IF(COUNT($I$1227:$I$1231)&lt;&gt;5,"n.a.",IF(I1229=0,6,IF('Inputs'!$D$5=1,COUNTIFS($I$1227:$I$1231,"&gt;0",$I$1227:$I$1231,"&lt;"&amp;I1229)+COUNTIFS($I$1227:I1229,I1229),COUNTIFS($I$1227:$I$1231,"&gt;0",$J$1227:$J$1231,"&gt;"&amp;J1229)+COUNTIFS($I$1227:I1229,"&gt;0",$J$1227:J1229,J1229))))</x:f>
        <x:v>6</x:v>
      </x:c>
      <x:c r="P1229" s="22" t="n">
        <x:f>IF(T1229="Ready",MIN(U1229,MAX(0,G1229-SUMIFS($U$1227:$U$1231,$O$1227:$O$1231,"&lt;"&amp;O1229))),"n.a.")</x:f>
        <x:v>0</x:v>
      </x:c>
      <x:c r="Q1229" s="22" t="n">
        <x:f>IF(T1229="Ready",ROUND(N1229+P1229,2),"n.a.")</x:f>
        <x:v>0</x:v>
      </x:c>
      <x:c r="R1229" s="22" t="n">
        <x:f>IF(T1229="Ready",ROUND(Q1229-M1229,2),"n.a.")</x:f>
        <x:v>0</x:v>
      </x:c>
      <x:c r="S1229" s="22" t="n">
        <x:f>IF(T1229="Ready",MAX(0,ROUND(I1229+M1229-Q1229,2)),"n.a.")</x:f>
        <x:v>0</x:v>
      </x:c>
      <x:c r="T1229" s="22" t="str">
        <x:f>IF(AND(COUNT($I$1227:$I$1231)=5,COUNT(E1229:F1229)=2),IF(E1229&gt;=F1229,"Ready","Budget below minima"),"Check inputs")</x:f>
        <x:v>Ready</x:v>
      </x:c>
      <x:c r="U1229" s="22" t="n">
        <x:f>IF(COUNT(I1229,M1229,N1229)=3,MAX(0,ROUND(I1229+M1229-N1229,2)),"n.a.")</x:f>
        <x:v>0</x:v>
      </x:c>
    </x:row>
    <x:row r="1230" ht="22" customHeight="1">
      <x:c r="A1230" s="2"/>
      <x:c r="B1230" s="2"/>
      <x:c r="C1230" s="27" t="n">
        <x:f>245</x:f>
        <x:v>245</x:v>
      </x:c>
      <x:c r="D1230" s="28" t="n">
        <x:f>IF(ISNUMBER('Inputs'!$D$7),EDATE('Inputs'!$D$7,244),"n.a.")</x:f>
        <x:v>53752</x:v>
      </x:c>
      <x:c r="E1230" s="26" t="n">
        <x:f>IF('Inputs'!$D$9&lt;&gt;"Ready","n.a.",IF(ISNUMBER('Inputs'!E263),IF('Inputs'!E263&gt;=0,'Inputs'!E263,"n.a."),IF('Inputs'!E263="",'Inputs'!$D$6,"n.a.")))</x:f>
        <x:v>500</x:v>
      </x:c>
      <x:c r="F1230" s="22" t="n">
        <x:f>IF(COUNT($N$1227:$N$1231)=5,SUM($N$1227:$N$1231),"n.a.")</x:f>
        <x:v>0</x:v>
      </x:c>
      <x:c r="G1230" s="22" t="n">
        <x:f>IF(COUNT(E1230:F1230)=2,MAX(0,E1230-F1230),"n.a.")</x:f>
        <x:v>500</x:v>
      </x:c>
      <x:c r="H1230" s="26" t="str">
        <x:f>'Inputs'!C14</x:f>
        <x:v>Unused 4</x:v>
      </x:c>
      <x:c r="I1230" s="26" t="n">
        <x:f>S1225</x:f>
        <x:v>0</x:v>
      </x:c>
      <x:c r="J1230" s="29" t="n">
        <x:f>IF('Inputs'!$D$9="Ready",'Inputs'!E14,"n.a.")</x:f>
        <x:v>0</x:v>
      </x:c>
      <x:c r="K1230" s="26" t="n">
        <x:f>IF('Inputs'!$D$9="Ready",'Inputs'!F14,"n.a.")</x:f>
        <x:v>0</x:v>
      </x:c>
      <x:c r="L1230" s="29" t="n">
        <x:f>IF('Inputs'!$D$9="Ready",'Inputs'!G14,"n.a.")</x:f>
        <x:v>0</x:v>
      </x:c>
      <x:c r="M1230" s="22" t="n">
        <x:f>IF(COUNT(I1230:L1230)=4,ROUND(I1230*J1230/12,2),"n.a.")</x:f>
        <x:v>0</x:v>
      </x:c>
      <x:c r="N1230" s="22" t="n">
        <x:f>IF(COUNT(I1230:M1230)=5,MIN(I1230+M1230,ROUND(MAX(K1230,I1230*L1230+M1230),2)),"n.a.")</x:f>
        <x:v>0</x:v>
      </x:c>
      <x:c r="O1230" s="30" t="n">
        <x:f>IF(COUNT($I$1227:$I$1231)&lt;&gt;5,"n.a.",IF(I1230=0,6,IF('Inputs'!$D$5=1,COUNTIFS($I$1227:$I$1231,"&gt;0",$I$1227:$I$1231,"&lt;"&amp;I1230)+COUNTIFS($I$1227:I1230,I1230),COUNTIFS($I$1227:$I$1231,"&gt;0",$J$1227:$J$1231,"&gt;"&amp;J1230)+COUNTIFS($I$1227:I1230,"&gt;0",$J$1227:J1230,J1230))))</x:f>
        <x:v>6</x:v>
      </x:c>
      <x:c r="P1230" s="22" t="n">
        <x:f>IF(T1230="Ready",MIN(U1230,MAX(0,G1230-SUMIFS($U$1227:$U$1231,$O$1227:$O$1231,"&lt;"&amp;O1230))),"n.a.")</x:f>
        <x:v>0</x:v>
      </x:c>
      <x:c r="Q1230" s="22" t="n">
        <x:f>IF(T1230="Ready",ROUND(N1230+P1230,2),"n.a.")</x:f>
        <x:v>0</x:v>
      </x:c>
      <x:c r="R1230" s="22" t="n">
        <x:f>IF(T1230="Ready",ROUND(Q1230-M1230,2),"n.a.")</x:f>
        <x:v>0</x:v>
      </x:c>
      <x:c r="S1230" s="22" t="n">
        <x:f>IF(T1230="Ready",MAX(0,ROUND(I1230+M1230-Q1230,2)),"n.a.")</x:f>
        <x:v>0</x:v>
      </x:c>
      <x:c r="T1230" s="22" t="str">
        <x:f>IF(AND(COUNT($I$1227:$I$1231)=5,COUNT(E1230:F1230)=2),IF(E1230&gt;=F1230,"Ready","Budget below minima"),"Check inputs")</x:f>
        <x:v>Ready</x:v>
      </x:c>
      <x:c r="U1230" s="22" t="n">
        <x:f>IF(COUNT(I1230,M1230,N1230)=3,MAX(0,ROUND(I1230+M1230-N1230,2)),"n.a.")</x:f>
        <x:v>0</x:v>
      </x:c>
    </x:row>
    <x:row r="1231" ht="22" customHeight="1">
      <x:c r="A1231" s="2"/>
      <x:c r="B1231" s="2"/>
      <x:c r="C1231" s="27" t="n">
        <x:f>245</x:f>
        <x:v>245</x:v>
      </x:c>
      <x:c r="D1231" s="28" t="n">
        <x:f>IF(ISNUMBER('Inputs'!$D$7),EDATE('Inputs'!$D$7,244),"n.a.")</x:f>
        <x:v>53752</x:v>
      </x:c>
      <x:c r="E1231" s="26" t="n">
        <x:f>IF('Inputs'!$D$9&lt;&gt;"Ready","n.a.",IF(ISNUMBER('Inputs'!E263),IF('Inputs'!E263&gt;=0,'Inputs'!E263,"n.a."),IF('Inputs'!E263="",'Inputs'!$D$6,"n.a.")))</x:f>
        <x:v>500</x:v>
      </x:c>
      <x:c r="F1231" s="22" t="n">
        <x:f>IF(COUNT($N$1227:$N$1231)=5,SUM($N$1227:$N$1231),"n.a.")</x:f>
        <x:v>0</x:v>
      </x:c>
      <x:c r="G1231" s="22" t="n">
        <x:f>IF(COUNT(E1231:F1231)=2,MAX(0,E1231-F1231),"n.a.")</x:f>
        <x:v>500</x:v>
      </x:c>
      <x:c r="H1231" s="26" t="str">
        <x:f>'Inputs'!C15</x:f>
        <x:v>Unused 5</x:v>
      </x:c>
      <x:c r="I1231" s="26" t="n">
        <x:f>S1226</x:f>
        <x:v>0</x:v>
      </x:c>
      <x:c r="J1231" s="29" t="n">
        <x:f>IF('Inputs'!$D$9="Ready",'Inputs'!E15,"n.a.")</x:f>
        <x:v>0</x:v>
      </x:c>
      <x:c r="K1231" s="26" t="n">
        <x:f>IF('Inputs'!$D$9="Ready",'Inputs'!F15,"n.a.")</x:f>
        <x:v>0</x:v>
      </x:c>
      <x:c r="L1231" s="29" t="n">
        <x:f>IF('Inputs'!$D$9="Ready",'Inputs'!G15,"n.a.")</x:f>
        <x:v>0</x:v>
      </x:c>
      <x:c r="M1231" s="22" t="n">
        <x:f>IF(COUNT(I1231:L1231)=4,ROUND(I1231*J1231/12,2),"n.a.")</x:f>
        <x:v>0</x:v>
      </x:c>
      <x:c r="N1231" s="22" t="n">
        <x:f>IF(COUNT(I1231:M1231)=5,MIN(I1231+M1231,ROUND(MAX(K1231,I1231*L1231+M1231),2)),"n.a.")</x:f>
        <x:v>0</x:v>
      </x:c>
      <x:c r="O1231" s="30" t="n">
        <x:f>IF(COUNT($I$1227:$I$1231)&lt;&gt;5,"n.a.",IF(I1231=0,6,IF('Inputs'!$D$5=1,COUNTIFS($I$1227:$I$1231,"&gt;0",$I$1227:$I$1231,"&lt;"&amp;I1231)+COUNTIFS($I$1227:I1231,I1231),COUNTIFS($I$1227:$I$1231,"&gt;0",$J$1227:$J$1231,"&gt;"&amp;J1231)+COUNTIFS($I$1227:I1231,"&gt;0",$J$1227:J1231,J1231))))</x:f>
        <x:v>6</x:v>
      </x:c>
      <x:c r="P1231" s="22" t="n">
        <x:f>IF(T1231="Ready",MIN(U1231,MAX(0,G1231-SUMIFS($U$1227:$U$1231,$O$1227:$O$1231,"&lt;"&amp;O1231))),"n.a.")</x:f>
        <x:v>0</x:v>
      </x:c>
      <x:c r="Q1231" s="22" t="n">
        <x:f>IF(T1231="Ready",ROUND(N1231+P1231,2),"n.a.")</x:f>
        <x:v>0</x:v>
      </x:c>
      <x:c r="R1231" s="22" t="n">
        <x:f>IF(T1231="Ready",ROUND(Q1231-M1231,2),"n.a.")</x:f>
        <x:v>0</x:v>
      </x:c>
      <x:c r="S1231" s="22" t="n">
        <x:f>IF(T1231="Ready",MAX(0,ROUND(I1231+M1231-Q1231,2)),"n.a.")</x:f>
        <x:v>0</x:v>
      </x:c>
      <x:c r="T1231" s="22" t="str">
        <x:f>IF(AND(COUNT($I$1227:$I$1231)=5,COUNT(E1231:F1231)=2),IF(E1231&gt;=F1231,"Ready","Budget below minima"),"Check inputs")</x:f>
        <x:v>Ready</x:v>
      </x:c>
      <x:c r="U1231" s="22" t="n">
        <x:f>IF(COUNT(I1231,M1231,N1231)=3,MAX(0,ROUND(I1231+M1231-N1231,2)),"n.a.")</x:f>
        <x:v>0</x:v>
      </x:c>
    </x:row>
    <x:row r="1232" ht="22" customHeight="1">
      <x:c r="A1232" s="2"/>
      <x:c r="B1232" s="2"/>
      <x:c r="C1232" s="27" t="n">
        <x:f>246</x:f>
        <x:v>246</x:v>
      </x:c>
      <x:c r="D1232" s="28" t="n">
        <x:f>IF(ISNUMBER('Inputs'!$D$7),EDATE('Inputs'!$D$7,245),"n.a.")</x:f>
        <x:v>53783</x:v>
      </x:c>
      <x:c r="E1232" s="26" t="n">
        <x:f>IF('Inputs'!$D$9&lt;&gt;"Ready","n.a.",IF(ISNUMBER('Inputs'!E264),IF('Inputs'!E264&gt;=0,'Inputs'!E264,"n.a."),IF('Inputs'!E264="",'Inputs'!$D$6,"n.a.")))</x:f>
        <x:v>500</x:v>
      </x:c>
      <x:c r="F1232" s="22" t="n">
        <x:f>IF(COUNT($N$1232:$N$1236)=5,SUM($N$1232:$N$1236),"n.a.")</x:f>
        <x:v>0</x:v>
      </x:c>
      <x:c r="G1232" s="22" t="n">
        <x:f>IF(COUNT(E1232:F1232)=2,MAX(0,E1232-F1232),"n.a.")</x:f>
        <x:v>500</x:v>
      </x:c>
      <x:c r="H1232" s="26" t="str">
        <x:f>'Inputs'!C11</x:f>
        <x:v>Card A</x:v>
      </x:c>
      <x:c r="I1232" s="26" t="n">
        <x:f>S1227</x:f>
        <x:v>0</x:v>
      </x:c>
      <x:c r="J1232" s="29" t="n">
        <x:f>IF('Inputs'!$D$9="Ready",'Inputs'!E11,"n.a.")</x:f>
        <x:v>0.24</x:v>
      </x:c>
      <x:c r="K1232" s="26" t="n">
        <x:f>IF('Inputs'!$D$9="Ready",'Inputs'!F11,"n.a.")</x:f>
        <x:v>35</x:v>
      </x:c>
      <x:c r="L1232" s="29" t="n">
        <x:f>IF('Inputs'!$D$9="Ready",'Inputs'!G11,"n.a.")</x:f>
        <x:v>0.02</x:v>
      </x:c>
      <x:c r="M1232" s="22" t="n">
        <x:f>IF(COUNT(I1232:L1232)=4,ROUND(I1232*J1232/12,2),"n.a.")</x:f>
        <x:v>0</x:v>
      </x:c>
      <x:c r="N1232" s="22" t="n">
        <x:f>IF(COUNT(I1232:M1232)=5,MIN(I1232+M1232,ROUND(MAX(K1232,I1232*L1232+M1232),2)),"n.a.")</x:f>
        <x:v>0</x:v>
      </x:c>
      <x:c r="O1232" s="30" t="n">
        <x:f>IF(COUNT($I$1232:$I$1236)&lt;&gt;5,"n.a.",IF(I1232=0,6,IF('Inputs'!$D$5=1,COUNTIFS($I$1232:$I$1236,"&gt;0",$I$1232:$I$1236,"&lt;"&amp;I1232)+COUNTIFS($I$1232:I1232,I1232),COUNTIFS($I$1232:$I$1236,"&gt;0",$J$1232:$J$1236,"&gt;"&amp;J1232)+COUNTIFS($I$1232:I1232,"&gt;0",$J$1232:J1232,J1232))))</x:f>
        <x:v>6</x:v>
      </x:c>
      <x:c r="P1232" s="22" t="n">
        <x:f>IF(T1232="Ready",MIN(U1232,MAX(0,G1232-SUMIFS($U$1232:$U$1236,$O$1232:$O$1236,"&lt;"&amp;O1232))),"n.a.")</x:f>
        <x:v>0</x:v>
      </x:c>
      <x:c r="Q1232" s="22" t="n">
        <x:f>IF(T1232="Ready",ROUND(N1232+P1232,2),"n.a.")</x:f>
        <x:v>0</x:v>
      </x:c>
      <x:c r="R1232" s="22" t="n">
        <x:f>IF(T1232="Ready",ROUND(Q1232-M1232,2),"n.a.")</x:f>
        <x:v>0</x:v>
      </x:c>
      <x:c r="S1232" s="22" t="n">
        <x:f>IF(T1232="Ready",MAX(0,ROUND(I1232+M1232-Q1232,2)),"n.a.")</x:f>
        <x:v>0</x:v>
      </x:c>
      <x:c r="T1232" s="22" t="str">
        <x:f>IF(AND(COUNT($I$1232:$I$1236)=5,COUNT(E1232:F1232)=2),IF(E1232&gt;=F1232,"Ready","Budget below minima"),"Check inputs")</x:f>
        <x:v>Ready</x:v>
      </x:c>
      <x:c r="U1232" s="22" t="n">
        <x:f>IF(COUNT(I1232,M1232,N1232)=3,MAX(0,ROUND(I1232+M1232-N1232,2)),"n.a.")</x:f>
        <x:v>0</x:v>
      </x:c>
    </x:row>
    <x:row r="1233" ht="22" customHeight="1">
      <x:c r="A1233" s="2"/>
      <x:c r="B1233" s="2"/>
      <x:c r="C1233" s="27" t="n">
        <x:f>246</x:f>
        <x:v>246</x:v>
      </x:c>
      <x:c r="D1233" s="28" t="n">
        <x:f>IF(ISNUMBER('Inputs'!$D$7),EDATE('Inputs'!$D$7,245),"n.a.")</x:f>
        <x:v>53783</x:v>
      </x:c>
      <x:c r="E1233" s="26" t="n">
        <x:f>IF('Inputs'!$D$9&lt;&gt;"Ready","n.a.",IF(ISNUMBER('Inputs'!E264),IF('Inputs'!E264&gt;=0,'Inputs'!E264,"n.a."),IF('Inputs'!E264="",'Inputs'!$D$6,"n.a.")))</x:f>
        <x:v>500</x:v>
      </x:c>
      <x:c r="F1233" s="22" t="n">
        <x:f>IF(COUNT($N$1232:$N$1236)=5,SUM($N$1232:$N$1236),"n.a.")</x:f>
        <x:v>0</x:v>
      </x:c>
      <x:c r="G1233" s="22" t="n">
        <x:f>IF(COUNT(E1233:F1233)=2,MAX(0,E1233-F1233),"n.a.")</x:f>
        <x:v>500</x:v>
      </x:c>
      <x:c r="H1233" s="26" t="str">
        <x:f>'Inputs'!C12</x:f>
        <x:v>Card B</x:v>
      </x:c>
      <x:c r="I1233" s="26" t="n">
        <x:f>S1228</x:f>
        <x:v>0</x:v>
      </x:c>
      <x:c r="J1233" s="29" t="n">
        <x:f>IF('Inputs'!$D$9="Ready",'Inputs'!E12,"n.a.")</x:f>
        <x:v>0.18</x:v>
      </x:c>
      <x:c r="K1233" s="26" t="n">
        <x:f>IF('Inputs'!$D$9="Ready",'Inputs'!F12,"n.a.")</x:f>
        <x:v>60</x:v>
      </x:c>
      <x:c r="L1233" s="29" t="n">
        <x:f>IF('Inputs'!$D$9="Ready",'Inputs'!G12,"n.a.")</x:f>
        <x:v>0.02</x:v>
      </x:c>
      <x:c r="M1233" s="22" t="n">
        <x:f>IF(COUNT(I1233:L1233)=4,ROUND(I1233*J1233/12,2),"n.a.")</x:f>
        <x:v>0</x:v>
      </x:c>
      <x:c r="N1233" s="22" t="n">
        <x:f>IF(COUNT(I1233:M1233)=5,MIN(I1233+M1233,ROUND(MAX(K1233,I1233*L1233+M1233),2)),"n.a.")</x:f>
        <x:v>0</x:v>
      </x:c>
      <x:c r="O1233" s="30" t="n">
        <x:f>IF(COUNT($I$1232:$I$1236)&lt;&gt;5,"n.a.",IF(I1233=0,6,IF('Inputs'!$D$5=1,COUNTIFS($I$1232:$I$1236,"&gt;0",$I$1232:$I$1236,"&lt;"&amp;I1233)+COUNTIFS($I$1232:I1233,I1233),COUNTIFS($I$1232:$I$1236,"&gt;0",$J$1232:$J$1236,"&gt;"&amp;J1233)+COUNTIFS($I$1232:I1233,"&gt;0",$J$1232:J1233,J1233))))</x:f>
        <x:v>6</x:v>
      </x:c>
      <x:c r="P1233" s="22" t="n">
        <x:f>IF(T1233="Ready",MIN(U1233,MAX(0,G1233-SUMIFS($U$1232:$U$1236,$O$1232:$O$1236,"&lt;"&amp;O1233))),"n.a.")</x:f>
        <x:v>0</x:v>
      </x:c>
      <x:c r="Q1233" s="22" t="n">
        <x:f>IF(T1233="Ready",ROUND(N1233+P1233,2),"n.a.")</x:f>
        <x:v>0</x:v>
      </x:c>
      <x:c r="R1233" s="22" t="n">
        <x:f>IF(T1233="Ready",ROUND(Q1233-M1233,2),"n.a.")</x:f>
        <x:v>0</x:v>
      </x:c>
      <x:c r="S1233" s="22" t="n">
        <x:f>IF(T1233="Ready",MAX(0,ROUND(I1233+M1233-Q1233,2)),"n.a.")</x:f>
        <x:v>0</x:v>
      </x:c>
      <x:c r="T1233" s="22" t="str">
        <x:f>IF(AND(COUNT($I$1232:$I$1236)=5,COUNT(E1233:F1233)=2),IF(E1233&gt;=F1233,"Ready","Budget below minima"),"Check inputs")</x:f>
        <x:v>Ready</x:v>
      </x:c>
      <x:c r="U1233" s="22" t="n">
        <x:f>IF(COUNT(I1233,M1233,N1233)=3,MAX(0,ROUND(I1233+M1233-N1233,2)),"n.a.")</x:f>
        <x:v>0</x:v>
      </x:c>
    </x:row>
    <x:row r="1234" ht="22" customHeight="1">
      <x:c r="A1234" s="2"/>
      <x:c r="B1234" s="2"/>
      <x:c r="C1234" s="27" t="n">
        <x:f>246</x:f>
        <x:v>246</x:v>
      </x:c>
      <x:c r="D1234" s="28" t="n">
        <x:f>IF(ISNUMBER('Inputs'!$D$7),EDATE('Inputs'!$D$7,245),"n.a.")</x:f>
        <x:v>53783</x:v>
      </x:c>
      <x:c r="E1234" s="26" t="n">
        <x:f>IF('Inputs'!$D$9&lt;&gt;"Ready","n.a.",IF(ISNUMBER('Inputs'!E264),IF('Inputs'!E264&gt;=0,'Inputs'!E264,"n.a."),IF('Inputs'!E264="",'Inputs'!$D$6,"n.a.")))</x:f>
        <x:v>500</x:v>
      </x:c>
      <x:c r="F1234" s="22" t="n">
        <x:f>IF(COUNT($N$1232:$N$1236)=5,SUM($N$1232:$N$1236),"n.a.")</x:f>
        <x:v>0</x:v>
      </x:c>
      <x:c r="G1234" s="22" t="n">
        <x:f>IF(COUNT(E1234:F1234)=2,MAX(0,E1234-F1234),"n.a.")</x:f>
        <x:v>500</x:v>
      </x:c>
      <x:c r="H1234" s="26" t="str">
        <x:f>'Inputs'!C13</x:f>
        <x:v>Loan C</x:v>
      </x:c>
      <x:c r="I1234" s="26" t="n">
        <x:f>S1229</x:f>
        <x:v>0</x:v>
      </x:c>
      <x:c r="J1234" s="29" t="n">
        <x:f>IF('Inputs'!$D$9="Ready",'Inputs'!E13,"n.a.")</x:f>
        <x:v>0.08</x:v>
      </x:c>
      <x:c r="K1234" s="26" t="n">
        <x:f>IF('Inputs'!$D$9="Ready",'Inputs'!F13,"n.a.")</x:f>
        <x:v>150</x:v>
      </x:c>
      <x:c r="L1234" s="29" t="n">
        <x:f>IF('Inputs'!$D$9="Ready",'Inputs'!G13,"n.a.")</x:f>
        <x:v>0</x:v>
      </x:c>
      <x:c r="M1234" s="22" t="n">
        <x:f>IF(COUNT(I1234:L1234)=4,ROUND(I1234*J1234/12,2),"n.a.")</x:f>
        <x:v>0</x:v>
      </x:c>
      <x:c r="N1234" s="22" t="n">
        <x:f>IF(COUNT(I1234:M1234)=5,MIN(I1234+M1234,ROUND(MAX(K1234,I1234*L1234+M1234),2)),"n.a.")</x:f>
        <x:v>0</x:v>
      </x:c>
      <x:c r="O1234" s="30" t="n">
        <x:f>IF(COUNT($I$1232:$I$1236)&lt;&gt;5,"n.a.",IF(I1234=0,6,IF('Inputs'!$D$5=1,COUNTIFS($I$1232:$I$1236,"&gt;0",$I$1232:$I$1236,"&lt;"&amp;I1234)+COUNTIFS($I$1232:I1234,I1234),COUNTIFS($I$1232:$I$1236,"&gt;0",$J$1232:$J$1236,"&gt;"&amp;J1234)+COUNTIFS($I$1232:I1234,"&gt;0",$J$1232:J1234,J1234))))</x:f>
        <x:v>6</x:v>
      </x:c>
      <x:c r="P1234" s="22" t="n">
        <x:f>IF(T1234="Ready",MIN(U1234,MAX(0,G1234-SUMIFS($U$1232:$U$1236,$O$1232:$O$1236,"&lt;"&amp;O1234))),"n.a.")</x:f>
        <x:v>0</x:v>
      </x:c>
      <x:c r="Q1234" s="22" t="n">
        <x:f>IF(T1234="Ready",ROUND(N1234+P1234,2),"n.a.")</x:f>
        <x:v>0</x:v>
      </x:c>
      <x:c r="R1234" s="22" t="n">
        <x:f>IF(T1234="Ready",ROUND(Q1234-M1234,2),"n.a.")</x:f>
        <x:v>0</x:v>
      </x:c>
      <x:c r="S1234" s="22" t="n">
        <x:f>IF(T1234="Ready",MAX(0,ROUND(I1234+M1234-Q1234,2)),"n.a.")</x:f>
        <x:v>0</x:v>
      </x:c>
      <x:c r="T1234" s="22" t="str">
        <x:f>IF(AND(COUNT($I$1232:$I$1236)=5,COUNT(E1234:F1234)=2),IF(E1234&gt;=F1234,"Ready","Budget below minima"),"Check inputs")</x:f>
        <x:v>Ready</x:v>
      </x:c>
      <x:c r="U1234" s="22" t="n">
        <x:f>IF(COUNT(I1234,M1234,N1234)=3,MAX(0,ROUND(I1234+M1234-N1234,2)),"n.a.")</x:f>
        <x:v>0</x:v>
      </x:c>
    </x:row>
    <x:row r="1235" ht="22" customHeight="1">
      <x:c r="A1235" s="2"/>
      <x:c r="B1235" s="2"/>
      <x:c r="C1235" s="27" t="n">
        <x:f>246</x:f>
        <x:v>246</x:v>
      </x:c>
      <x:c r="D1235" s="28" t="n">
        <x:f>IF(ISNUMBER('Inputs'!$D$7),EDATE('Inputs'!$D$7,245),"n.a.")</x:f>
        <x:v>53783</x:v>
      </x:c>
      <x:c r="E1235" s="26" t="n">
        <x:f>IF('Inputs'!$D$9&lt;&gt;"Ready","n.a.",IF(ISNUMBER('Inputs'!E264),IF('Inputs'!E264&gt;=0,'Inputs'!E264,"n.a."),IF('Inputs'!E264="",'Inputs'!$D$6,"n.a.")))</x:f>
        <x:v>500</x:v>
      </x:c>
      <x:c r="F1235" s="22" t="n">
        <x:f>IF(COUNT($N$1232:$N$1236)=5,SUM($N$1232:$N$1236),"n.a.")</x:f>
        <x:v>0</x:v>
      </x:c>
      <x:c r="G1235" s="22" t="n">
        <x:f>IF(COUNT(E1235:F1235)=2,MAX(0,E1235-F1235),"n.a.")</x:f>
        <x:v>500</x:v>
      </x:c>
      <x:c r="H1235" s="26" t="str">
        <x:f>'Inputs'!C14</x:f>
        <x:v>Unused 4</x:v>
      </x:c>
      <x:c r="I1235" s="26" t="n">
        <x:f>S1230</x:f>
        <x:v>0</x:v>
      </x:c>
      <x:c r="J1235" s="29" t="n">
        <x:f>IF('Inputs'!$D$9="Ready",'Inputs'!E14,"n.a.")</x:f>
        <x:v>0</x:v>
      </x:c>
      <x:c r="K1235" s="26" t="n">
        <x:f>IF('Inputs'!$D$9="Ready",'Inputs'!F14,"n.a.")</x:f>
        <x:v>0</x:v>
      </x:c>
      <x:c r="L1235" s="29" t="n">
        <x:f>IF('Inputs'!$D$9="Ready",'Inputs'!G14,"n.a.")</x:f>
        <x:v>0</x:v>
      </x:c>
      <x:c r="M1235" s="22" t="n">
        <x:f>IF(COUNT(I1235:L1235)=4,ROUND(I1235*J1235/12,2),"n.a.")</x:f>
        <x:v>0</x:v>
      </x:c>
      <x:c r="N1235" s="22" t="n">
        <x:f>IF(COUNT(I1235:M1235)=5,MIN(I1235+M1235,ROUND(MAX(K1235,I1235*L1235+M1235),2)),"n.a.")</x:f>
        <x:v>0</x:v>
      </x:c>
      <x:c r="O1235" s="30" t="n">
        <x:f>IF(COUNT($I$1232:$I$1236)&lt;&gt;5,"n.a.",IF(I1235=0,6,IF('Inputs'!$D$5=1,COUNTIFS($I$1232:$I$1236,"&gt;0",$I$1232:$I$1236,"&lt;"&amp;I1235)+COUNTIFS($I$1232:I1235,I1235),COUNTIFS($I$1232:$I$1236,"&gt;0",$J$1232:$J$1236,"&gt;"&amp;J1235)+COUNTIFS($I$1232:I1235,"&gt;0",$J$1232:J1235,J1235))))</x:f>
        <x:v>6</x:v>
      </x:c>
      <x:c r="P1235" s="22" t="n">
        <x:f>IF(T1235="Ready",MIN(U1235,MAX(0,G1235-SUMIFS($U$1232:$U$1236,$O$1232:$O$1236,"&lt;"&amp;O1235))),"n.a.")</x:f>
        <x:v>0</x:v>
      </x:c>
      <x:c r="Q1235" s="22" t="n">
        <x:f>IF(T1235="Ready",ROUND(N1235+P1235,2),"n.a.")</x:f>
        <x:v>0</x:v>
      </x:c>
      <x:c r="R1235" s="22" t="n">
        <x:f>IF(T1235="Ready",ROUND(Q1235-M1235,2),"n.a.")</x:f>
        <x:v>0</x:v>
      </x:c>
      <x:c r="S1235" s="22" t="n">
        <x:f>IF(T1235="Ready",MAX(0,ROUND(I1235+M1235-Q1235,2)),"n.a.")</x:f>
        <x:v>0</x:v>
      </x:c>
      <x:c r="T1235" s="22" t="str">
        <x:f>IF(AND(COUNT($I$1232:$I$1236)=5,COUNT(E1235:F1235)=2),IF(E1235&gt;=F1235,"Ready","Budget below minima"),"Check inputs")</x:f>
        <x:v>Ready</x:v>
      </x:c>
      <x:c r="U1235" s="22" t="n">
        <x:f>IF(COUNT(I1235,M1235,N1235)=3,MAX(0,ROUND(I1235+M1235-N1235,2)),"n.a.")</x:f>
        <x:v>0</x:v>
      </x:c>
    </x:row>
    <x:row r="1236" ht="22" customHeight="1">
      <x:c r="A1236" s="2"/>
      <x:c r="B1236" s="2"/>
      <x:c r="C1236" s="27" t="n">
        <x:f>246</x:f>
        <x:v>246</x:v>
      </x:c>
      <x:c r="D1236" s="28" t="n">
        <x:f>IF(ISNUMBER('Inputs'!$D$7),EDATE('Inputs'!$D$7,245),"n.a.")</x:f>
        <x:v>53783</x:v>
      </x:c>
      <x:c r="E1236" s="26" t="n">
        <x:f>IF('Inputs'!$D$9&lt;&gt;"Ready","n.a.",IF(ISNUMBER('Inputs'!E264),IF('Inputs'!E264&gt;=0,'Inputs'!E264,"n.a."),IF('Inputs'!E264="",'Inputs'!$D$6,"n.a.")))</x:f>
        <x:v>500</x:v>
      </x:c>
      <x:c r="F1236" s="22" t="n">
        <x:f>IF(COUNT($N$1232:$N$1236)=5,SUM($N$1232:$N$1236),"n.a.")</x:f>
        <x:v>0</x:v>
      </x:c>
      <x:c r="G1236" s="22" t="n">
        <x:f>IF(COUNT(E1236:F1236)=2,MAX(0,E1236-F1236),"n.a.")</x:f>
        <x:v>500</x:v>
      </x:c>
      <x:c r="H1236" s="26" t="str">
        <x:f>'Inputs'!C15</x:f>
        <x:v>Unused 5</x:v>
      </x:c>
      <x:c r="I1236" s="26" t="n">
        <x:f>S1231</x:f>
        <x:v>0</x:v>
      </x:c>
      <x:c r="J1236" s="29" t="n">
        <x:f>IF('Inputs'!$D$9="Ready",'Inputs'!E15,"n.a.")</x:f>
        <x:v>0</x:v>
      </x:c>
      <x:c r="K1236" s="26" t="n">
        <x:f>IF('Inputs'!$D$9="Ready",'Inputs'!F15,"n.a.")</x:f>
        <x:v>0</x:v>
      </x:c>
      <x:c r="L1236" s="29" t="n">
        <x:f>IF('Inputs'!$D$9="Ready",'Inputs'!G15,"n.a.")</x:f>
        <x:v>0</x:v>
      </x:c>
      <x:c r="M1236" s="22" t="n">
        <x:f>IF(COUNT(I1236:L1236)=4,ROUND(I1236*J1236/12,2),"n.a.")</x:f>
        <x:v>0</x:v>
      </x:c>
      <x:c r="N1236" s="22" t="n">
        <x:f>IF(COUNT(I1236:M1236)=5,MIN(I1236+M1236,ROUND(MAX(K1236,I1236*L1236+M1236),2)),"n.a.")</x:f>
        <x:v>0</x:v>
      </x:c>
      <x:c r="O1236" s="30" t="n">
        <x:f>IF(COUNT($I$1232:$I$1236)&lt;&gt;5,"n.a.",IF(I1236=0,6,IF('Inputs'!$D$5=1,COUNTIFS($I$1232:$I$1236,"&gt;0",$I$1232:$I$1236,"&lt;"&amp;I1236)+COUNTIFS($I$1232:I1236,I1236),COUNTIFS($I$1232:$I$1236,"&gt;0",$J$1232:$J$1236,"&gt;"&amp;J1236)+COUNTIFS($I$1232:I1236,"&gt;0",$J$1232:J1236,J1236))))</x:f>
        <x:v>6</x:v>
      </x:c>
      <x:c r="P1236" s="22" t="n">
        <x:f>IF(T1236="Ready",MIN(U1236,MAX(0,G1236-SUMIFS($U$1232:$U$1236,$O$1232:$O$1236,"&lt;"&amp;O1236))),"n.a.")</x:f>
        <x:v>0</x:v>
      </x:c>
      <x:c r="Q1236" s="22" t="n">
        <x:f>IF(T1236="Ready",ROUND(N1236+P1236,2),"n.a.")</x:f>
        <x:v>0</x:v>
      </x:c>
      <x:c r="R1236" s="22" t="n">
        <x:f>IF(T1236="Ready",ROUND(Q1236-M1236,2),"n.a.")</x:f>
        <x:v>0</x:v>
      </x:c>
      <x:c r="S1236" s="22" t="n">
        <x:f>IF(T1236="Ready",MAX(0,ROUND(I1236+M1236-Q1236,2)),"n.a.")</x:f>
        <x:v>0</x:v>
      </x:c>
      <x:c r="T1236" s="22" t="str">
        <x:f>IF(AND(COUNT($I$1232:$I$1236)=5,COUNT(E1236:F1236)=2),IF(E1236&gt;=F1236,"Ready","Budget below minima"),"Check inputs")</x:f>
        <x:v>Ready</x:v>
      </x:c>
      <x:c r="U1236" s="22" t="n">
        <x:f>IF(COUNT(I1236,M1236,N1236)=3,MAX(0,ROUND(I1236+M1236-N1236,2)),"n.a.")</x:f>
        <x:v>0</x:v>
      </x:c>
    </x:row>
    <x:row r="1237" ht="22" customHeight="1">
      <x:c r="A1237" s="2"/>
      <x:c r="B1237" s="2"/>
      <x:c r="C1237" s="27" t="n">
        <x:f>247</x:f>
        <x:v>247</x:v>
      </x:c>
      <x:c r="D1237" s="28" t="n">
        <x:f>IF(ISNUMBER('Inputs'!$D$7),EDATE('Inputs'!$D$7,246),"n.a.")</x:f>
        <x:v>53813</x:v>
      </x:c>
      <x:c r="E1237" s="26" t="n">
        <x:f>IF('Inputs'!$D$9&lt;&gt;"Ready","n.a.",IF(ISNUMBER('Inputs'!E265),IF('Inputs'!E265&gt;=0,'Inputs'!E265,"n.a."),IF('Inputs'!E265="",'Inputs'!$D$6,"n.a.")))</x:f>
        <x:v>500</x:v>
      </x:c>
      <x:c r="F1237" s="22" t="n">
        <x:f>IF(COUNT($N$1237:$N$1241)=5,SUM($N$1237:$N$1241),"n.a.")</x:f>
        <x:v>0</x:v>
      </x:c>
      <x:c r="G1237" s="22" t="n">
        <x:f>IF(COUNT(E1237:F1237)=2,MAX(0,E1237-F1237),"n.a.")</x:f>
        <x:v>500</x:v>
      </x:c>
      <x:c r="H1237" s="26" t="str">
        <x:f>'Inputs'!C11</x:f>
        <x:v>Card A</x:v>
      </x:c>
      <x:c r="I1237" s="26" t="n">
        <x:f>S1232</x:f>
        <x:v>0</x:v>
      </x:c>
      <x:c r="J1237" s="29" t="n">
        <x:f>IF('Inputs'!$D$9="Ready",'Inputs'!E11,"n.a.")</x:f>
        <x:v>0.24</x:v>
      </x:c>
      <x:c r="K1237" s="26" t="n">
        <x:f>IF('Inputs'!$D$9="Ready",'Inputs'!F11,"n.a.")</x:f>
        <x:v>35</x:v>
      </x:c>
      <x:c r="L1237" s="29" t="n">
        <x:f>IF('Inputs'!$D$9="Ready",'Inputs'!G11,"n.a.")</x:f>
        <x:v>0.02</x:v>
      </x:c>
      <x:c r="M1237" s="22" t="n">
        <x:f>IF(COUNT(I1237:L1237)=4,ROUND(I1237*J1237/12,2),"n.a.")</x:f>
        <x:v>0</x:v>
      </x:c>
      <x:c r="N1237" s="22" t="n">
        <x:f>IF(COUNT(I1237:M1237)=5,MIN(I1237+M1237,ROUND(MAX(K1237,I1237*L1237+M1237),2)),"n.a.")</x:f>
        <x:v>0</x:v>
      </x:c>
      <x:c r="O1237" s="30" t="n">
        <x:f>IF(COUNT($I$1237:$I$1241)&lt;&gt;5,"n.a.",IF(I1237=0,6,IF('Inputs'!$D$5=1,COUNTIFS($I$1237:$I$1241,"&gt;0",$I$1237:$I$1241,"&lt;"&amp;I1237)+COUNTIFS($I$1237:I1237,I1237),COUNTIFS($I$1237:$I$1241,"&gt;0",$J$1237:$J$1241,"&gt;"&amp;J1237)+COUNTIFS($I$1237:I1237,"&gt;0",$J$1237:J1237,J1237))))</x:f>
        <x:v>6</x:v>
      </x:c>
      <x:c r="P1237" s="22" t="n">
        <x:f>IF(T1237="Ready",MIN(U1237,MAX(0,G1237-SUMIFS($U$1237:$U$1241,$O$1237:$O$1241,"&lt;"&amp;O1237))),"n.a.")</x:f>
        <x:v>0</x:v>
      </x:c>
      <x:c r="Q1237" s="22" t="n">
        <x:f>IF(T1237="Ready",ROUND(N1237+P1237,2),"n.a.")</x:f>
        <x:v>0</x:v>
      </x:c>
      <x:c r="R1237" s="22" t="n">
        <x:f>IF(T1237="Ready",ROUND(Q1237-M1237,2),"n.a.")</x:f>
        <x:v>0</x:v>
      </x:c>
      <x:c r="S1237" s="22" t="n">
        <x:f>IF(T1237="Ready",MAX(0,ROUND(I1237+M1237-Q1237,2)),"n.a.")</x:f>
        <x:v>0</x:v>
      </x:c>
      <x:c r="T1237" s="22" t="str">
        <x:f>IF(AND(COUNT($I$1237:$I$1241)=5,COUNT(E1237:F1237)=2),IF(E1237&gt;=F1237,"Ready","Budget below minima"),"Check inputs")</x:f>
        <x:v>Ready</x:v>
      </x:c>
      <x:c r="U1237" s="22" t="n">
        <x:f>IF(COUNT(I1237,M1237,N1237)=3,MAX(0,ROUND(I1237+M1237-N1237,2)),"n.a.")</x:f>
        <x:v>0</x:v>
      </x:c>
    </x:row>
    <x:row r="1238" ht="22" customHeight="1">
      <x:c r="A1238" s="2"/>
      <x:c r="B1238" s="2"/>
      <x:c r="C1238" s="27" t="n">
        <x:f>247</x:f>
        <x:v>247</x:v>
      </x:c>
      <x:c r="D1238" s="28" t="n">
        <x:f>IF(ISNUMBER('Inputs'!$D$7),EDATE('Inputs'!$D$7,246),"n.a.")</x:f>
        <x:v>53813</x:v>
      </x:c>
      <x:c r="E1238" s="26" t="n">
        <x:f>IF('Inputs'!$D$9&lt;&gt;"Ready","n.a.",IF(ISNUMBER('Inputs'!E265),IF('Inputs'!E265&gt;=0,'Inputs'!E265,"n.a."),IF('Inputs'!E265="",'Inputs'!$D$6,"n.a.")))</x:f>
        <x:v>500</x:v>
      </x:c>
      <x:c r="F1238" s="22" t="n">
        <x:f>IF(COUNT($N$1237:$N$1241)=5,SUM($N$1237:$N$1241),"n.a.")</x:f>
        <x:v>0</x:v>
      </x:c>
      <x:c r="G1238" s="22" t="n">
        <x:f>IF(COUNT(E1238:F1238)=2,MAX(0,E1238-F1238),"n.a.")</x:f>
        <x:v>500</x:v>
      </x:c>
      <x:c r="H1238" s="26" t="str">
        <x:f>'Inputs'!C12</x:f>
        <x:v>Card B</x:v>
      </x:c>
      <x:c r="I1238" s="26" t="n">
        <x:f>S1233</x:f>
        <x:v>0</x:v>
      </x:c>
      <x:c r="J1238" s="29" t="n">
        <x:f>IF('Inputs'!$D$9="Ready",'Inputs'!E12,"n.a.")</x:f>
        <x:v>0.18</x:v>
      </x:c>
      <x:c r="K1238" s="26" t="n">
        <x:f>IF('Inputs'!$D$9="Ready",'Inputs'!F12,"n.a.")</x:f>
        <x:v>60</x:v>
      </x:c>
      <x:c r="L1238" s="29" t="n">
        <x:f>IF('Inputs'!$D$9="Ready",'Inputs'!G12,"n.a.")</x:f>
        <x:v>0.02</x:v>
      </x:c>
      <x:c r="M1238" s="22" t="n">
        <x:f>IF(COUNT(I1238:L1238)=4,ROUND(I1238*J1238/12,2),"n.a.")</x:f>
        <x:v>0</x:v>
      </x:c>
      <x:c r="N1238" s="22" t="n">
        <x:f>IF(COUNT(I1238:M1238)=5,MIN(I1238+M1238,ROUND(MAX(K1238,I1238*L1238+M1238),2)),"n.a.")</x:f>
        <x:v>0</x:v>
      </x:c>
      <x:c r="O1238" s="30" t="n">
        <x:f>IF(COUNT($I$1237:$I$1241)&lt;&gt;5,"n.a.",IF(I1238=0,6,IF('Inputs'!$D$5=1,COUNTIFS($I$1237:$I$1241,"&gt;0",$I$1237:$I$1241,"&lt;"&amp;I1238)+COUNTIFS($I$1237:I1238,I1238),COUNTIFS($I$1237:$I$1241,"&gt;0",$J$1237:$J$1241,"&gt;"&amp;J1238)+COUNTIFS($I$1237:I1238,"&gt;0",$J$1237:J1238,J1238))))</x:f>
        <x:v>6</x:v>
      </x:c>
      <x:c r="P1238" s="22" t="n">
        <x:f>IF(T1238="Ready",MIN(U1238,MAX(0,G1238-SUMIFS($U$1237:$U$1241,$O$1237:$O$1241,"&lt;"&amp;O1238))),"n.a.")</x:f>
        <x:v>0</x:v>
      </x:c>
      <x:c r="Q1238" s="22" t="n">
        <x:f>IF(T1238="Ready",ROUND(N1238+P1238,2),"n.a.")</x:f>
        <x:v>0</x:v>
      </x:c>
      <x:c r="R1238" s="22" t="n">
        <x:f>IF(T1238="Ready",ROUND(Q1238-M1238,2),"n.a.")</x:f>
        <x:v>0</x:v>
      </x:c>
      <x:c r="S1238" s="22" t="n">
        <x:f>IF(T1238="Ready",MAX(0,ROUND(I1238+M1238-Q1238,2)),"n.a.")</x:f>
        <x:v>0</x:v>
      </x:c>
      <x:c r="T1238" s="22" t="str">
        <x:f>IF(AND(COUNT($I$1237:$I$1241)=5,COUNT(E1238:F1238)=2),IF(E1238&gt;=F1238,"Ready","Budget below minima"),"Check inputs")</x:f>
        <x:v>Ready</x:v>
      </x:c>
      <x:c r="U1238" s="22" t="n">
        <x:f>IF(COUNT(I1238,M1238,N1238)=3,MAX(0,ROUND(I1238+M1238-N1238,2)),"n.a.")</x:f>
        <x:v>0</x:v>
      </x:c>
    </x:row>
    <x:row r="1239" ht="22" customHeight="1">
      <x:c r="A1239" s="2"/>
      <x:c r="B1239" s="2"/>
      <x:c r="C1239" s="27" t="n">
        <x:f>247</x:f>
        <x:v>247</x:v>
      </x:c>
      <x:c r="D1239" s="28" t="n">
        <x:f>IF(ISNUMBER('Inputs'!$D$7),EDATE('Inputs'!$D$7,246),"n.a.")</x:f>
        <x:v>53813</x:v>
      </x:c>
      <x:c r="E1239" s="26" t="n">
        <x:f>IF('Inputs'!$D$9&lt;&gt;"Ready","n.a.",IF(ISNUMBER('Inputs'!E265),IF('Inputs'!E265&gt;=0,'Inputs'!E265,"n.a."),IF('Inputs'!E265="",'Inputs'!$D$6,"n.a.")))</x:f>
        <x:v>500</x:v>
      </x:c>
      <x:c r="F1239" s="22" t="n">
        <x:f>IF(COUNT($N$1237:$N$1241)=5,SUM($N$1237:$N$1241),"n.a.")</x:f>
        <x:v>0</x:v>
      </x:c>
      <x:c r="G1239" s="22" t="n">
        <x:f>IF(COUNT(E1239:F1239)=2,MAX(0,E1239-F1239),"n.a.")</x:f>
        <x:v>500</x:v>
      </x:c>
      <x:c r="H1239" s="26" t="str">
        <x:f>'Inputs'!C13</x:f>
        <x:v>Loan C</x:v>
      </x:c>
      <x:c r="I1239" s="26" t="n">
        <x:f>S1234</x:f>
        <x:v>0</x:v>
      </x:c>
      <x:c r="J1239" s="29" t="n">
        <x:f>IF('Inputs'!$D$9="Ready",'Inputs'!E13,"n.a.")</x:f>
        <x:v>0.08</x:v>
      </x:c>
      <x:c r="K1239" s="26" t="n">
        <x:f>IF('Inputs'!$D$9="Ready",'Inputs'!F13,"n.a.")</x:f>
        <x:v>150</x:v>
      </x:c>
      <x:c r="L1239" s="29" t="n">
        <x:f>IF('Inputs'!$D$9="Ready",'Inputs'!G13,"n.a.")</x:f>
        <x:v>0</x:v>
      </x:c>
      <x:c r="M1239" s="22" t="n">
        <x:f>IF(COUNT(I1239:L1239)=4,ROUND(I1239*J1239/12,2),"n.a.")</x:f>
        <x:v>0</x:v>
      </x:c>
      <x:c r="N1239" s="22" t="n">
        <x:f>IF(COUNT(I1239:M1239)=5,MIN(I1239+M1239,ROUND(MAX(K1239,I1239*L1239+M1239),2)),"n.a.")</x:f>
        <x:v>0</x:v>
      </x:c>
      <x:c r="O1239" s="30" t="n">
        <x:f>IF(COUNT($I$1237:$I$1241)&lt;&gt;5,"n.a.",IF(I1239=0,6,IF('Inputs'!$D$5=1,COUNTIFS($I$1237:$I$1241,"&gt;0",$I$1237:$I$1241,"&lt;"&amp;I1239)+COUNTIFS($I$1237:I1239,I1239),COUNTIFS($I$1237:$I$1241,"&gt;0",$J$1237:$J$1241,"&gt;"&amp;J1239)+COUNTIFS($I$1237:I1239,"&gt;0",$J$1237:J1239,J1239))))</x:f>
        <x:v>6</x:v>
      </x:c>
      <x:c r="P1239" s="22" t="n">
        <x:f>IF(T1239="Ready",MIN(U1239,MAX(0,G1239-SUMIFS($U$1237:$U$1241,$O$1237:$O$1241,"&lt;"&amp;O1239))),"n.a.")</x:f>
        <x:v>0</x:v>
      </x:c>
      <x:c r="Q1239" s="22" t="n">
        <x:f>IF(T1239="Ready",ROUND(N1239+P1239,2),"n.a.")</x:f>
        <x:v>0</x:v>
      </x:c>
      <x:c r="R1239" s="22" t="n">
        <x:f>IF(T1239="Ready",ROUND(Q1239-M1239,2),"n.a.")</x:f>
        <x:v>0</x:v>
      </x:c>
      <x:c r="S1239" s="22" t="n">
        <x:f>IF(T1239="Ready",MAX(0,ROUND(I1239+M1239-Q1239,2)),"n.a.")</x:f>
        <x:v>0</x:v>
      </x:c>
      <x:c r="T1239" s="22" t="str">
        <x:f>IF(AND(COUNT($I$1237:$I$1241)=5,COUNT(E1239:F1239)=2),IF(E1239&gt;=F1239,"Ready","Budget below minima"),"Check inputs")</x:f>
        <x:v>Ready</x:v>
      </x:c>
      <x:c r="U1239" s="22" t="n">
        <x:f>IF(COUNT(I1239,M1239,N1239)=3,MAX(0,ROUND(I1239+M1239-N1239,2)),"n.a.")</x:f>
        <x:v>0</x:v>
      </x:c>
    </x:row>
    <x:row r="1240" ht="22" customHeight="1">
      <x:c r="A1240" s="2"/>
      <x:c r="B1240" s="2"/>
      <x:c r="C1240" s="27" t="n">
        <x:f>247</x:f>
        <x:v>247</x:v>
      </x:c>
      <x:c r="D1240" s="28" t="n">
        <x:f>IF(ISNUMBER('Inputs'!$D$7),EDATE('Inputs'!$D$7,246),"n.a.")</x:f>
        <x:v>53813</x:v>
      </x:c>
      <x:c r="E1240" s="26" t="n">
        <x:f>IF('Inputs'!$D$9&lt;&gt;"Ready","n.a.",IF(ISNUMBER('Inputs'!E265),IF('Inputs'!E265&gt;=0,'Inputs'!E265,"n.a."),IF('Inputs'!E265="",'Inputs'!$D$6,"n.a.")))</x:f>
        <x:v>500</x:v>
      </x:c>
      <x:c r="F1240" s="22" t="n">
        <x:f>IF(COUNT($N$1237:$N$1241)=5,SUM($N$1237:$N$1241),"n.a.")</x:f>
        <x:v>0</x:v>
      </x:c>
      <x:c r="G1240" s="22" t="n">
        <x:f>IF(COUNT(E1240:F1240)=2,MAX(0,E1240-F1240),"n.a.")</x:f>
        <x:v>500</x:v>
      </x:c>
      <x:c r="H1240" s="26" t="str">
        <x:f>'Inputs'!C14</x:f>
        <x:v>Unused 4</x:v>
      </x:c>
      <x:c r="I1240" s="26" t="n">
        <x:f>S1235</x:f>
        <x:v>0</x:v>
      </x:c>
      <x:c r="J1240" s="29" t="n">
        <x:f>IF('Inputs'!$D$9="Ready",'Inputs'!E14,"n.a.")</x:f>
        <x:v>0</x:v>
      </x:c>
      <x:c r="K1240" s="26" t="n">
        <x:f>IF('Inputs'!$D$9="Ready",'Inputs'!F14,"n.a.")</x:f>
        <x:v>0</x:v>
      </x:c>
      <x:c r="L1240" s="29" t="n">
        <x:f>IF('Inputs'!$D$9="Ready",'Inputs'!G14,"n.a.")</x:f>
        <x:v>0</x:v>
      </x:c>
      <x:c r="M1240" s="22" t="n">
        <x:f>IF(COUNT(I1240:L1240)=4,ROUND(I1240*J1240/12,2),"n.a.")</x:f>
        <x:v>0</x:v>
      </x:c>
      <x:c r="N1240" s="22" t="n">
        <x:f>IF(COUNT(I1240:M1240)=5,MIN(I1240+M1240,ROUND(MAX(K1240,I1240*L1240+M1240),2)),"n.a.")</x:f>
        <x:v>0</x:v>
      </x:c>
      <x:c r="O1240" s="30" t="n">
        <x:f>IF(COUNT($I$1237:$I$1241)&lt;&gt;5,"n.a.",IF(I1240=0,6,IF('Inputs'!$D$5=1,COUNTIFS($I$1237:$I$1241,"&gt;0",$I$1237:$I$1241,"&lt;"&amp;I1240)+COUNTIFS($I$1237:I1240,I1240),COUNTIFS($I$1237:$I$1241,"&gt;0",$J$1237:$J$1241,"&gt;"&amp;J1240)+COUNTIFS($I$1237:I1240,"&gt;0",$J$1237:J1240,J1240))))</x:f>
        <x:v>6</x:v>
      </x:c>
      <x:c r="P1240" s="22" t="n">
        <x:f>IF(T1240="Ready",MIN(U1240,MAX(0,G1240-SUMIFS($U$1237:$U$1241,$O$1237:$O$1241,"&lt;"&amp;O1240))),"n.a.")</x:f>
        <x:v>0</x:v>
      </x:c>
      <x:c r="Q1240" s="22" t="n">
        <x:f>IF(T1240="Ready",ROUND(N1240+P1240,2),"n.a.")</x:f>
        <x:v>0</x:v>
      </x:c>
      <x:c r="R1240" s="22" t="n">
        <x:f>IF(T1240="Ready",ROUND(Q1240-M1240,2),"n.a.")</x:f>
        <x:v>0</x:v>
      </x:c>
      <x:c r="S1240" s="22" t="n">
        <x:f>IF(T1240="Ready",MAX(0,ROUND(I1240+M1240-Q1240,2)),"n.a.")</x:f>
        <x:v>0</x:v>
      </x:c>
      <x:c r="T1240" s="22" t="str">
        <x:f>IF(AND(COUNT($I$1237:$I$1241)=5,COUNT(E1240:F1240)=2),IF(E1240&gt;=F1240,"Ready","Budget below minima"),"Check inputs")</x:f>
        <x:v>Ready</x:v>
      </x:c>
      <x:c r="U1240" s="22" t="n">
        <x:f>IF(COUNT(I1240,M1240,N1240)=3,MAX(0,ROUND(I1240+M1240-N1240,2)),"n.a.")</x:f>
        <x:v>0</x:v>
      </x:c>
    </x:row>
    <x:row r="1241" ht="22" customHeight="1">
      <x:c r="A1241" s="2"/>
      <x:c r="B1241" s="2"/>
      <x:c r="C1241" s="27" t="n">
        <x:f>247</x:f>
        <x:v>247</x:v>
      </x:c>
      <x:c r="D1241" s="28" t="n">
        <x:f>IF(ISNUMBER('Inputs'!$D$7),EDATE('Inputs'!$D$7,246),"n.a.")</x:f>
        <x:v>53813</x:v>
      </x:c>
      <x:c r="E1241" s="26" t="n">
        <x:f>IF('Inputs'!$D$9&lt;&gt;"Ready","n.a.",IF(ISNUMBER('Inputs'!E265),IF('Inputs'!E265&gt;=0,'Inputs'!E265,"n.a."),IF('Inputs'!E265="",'Inputs'!$D$6,"n.a.")))</x:f>
        <x:v>500</x:v>
      </x:c>
      <x:c r="F1241" s="22" t="n">
        <x:f>IF(COUNT($N$1237:$N$1241)=5,SUM($N$1237:$N$1241),"n.a.")</x:f>
        <x:v>0</x:v>
      </x:c>
      <x:c r="G1241" s="22" t="n">
        <x:f>IF(COUNT(E1241:F1241)=2,MAX(0,E1241-F1241),"n.a.")</x:f>
        <x:v>500</x:v>
      </x:c>
      <x:c r="H1241" s="26" t="str">
        <x:f>'Inputs'!C15</x:f>
        <x:v>Unused 5</x:v>
      </x:c>
      <x:c r="I1241" s="26" t="n">
        <x:f>S1236</x:f>
        <x:v>0</x:v>
      </x:c>
      <x:c r="J1241" s="29" t="n">
        <x:f>IF('Inputs'!$D$9="Ready",'Inputs'!E15,"n.a.")</x:f>
        <x:v>0</x:v>
      </x:c>
      <x:c r="K1241" s="26" t="n">
        <x:f>IF('Inputs'!$D$9="Ready",'Inputs'!F15,"n.a.")</x:f>
        <x:v>0</x:v>
      </x:c>
      <x:c r="L1241" s="29" t="n">
        <x:f>IF('Inputs'!$D$9="Ready",'Inputs'!G15,"n.a.")</x:f>
        <x:v>0</x:v>
      </x:c>
      <x:c r="M1241" s="22" t="n">
        <x:f>IF(COUNT(I1241:L1241)=4,ROUND(I1241*J1241/12,2),"n.a.")</x:f>
        <x:v>0</x:v>
      </x:c>
      <x:c r="N1241" s="22" t="n">
        <x:f>IF(COUNT(I1241:M1241)=5,MIN(I1241+M1241,ROUND(MAX(K1241,I1241*L1241+M1241),2)),"n.a.")</x:f>
        <x:v>0</x:v>
      </x:c>
      <x:c r="O1241" s="30" t="n">
        <x:f>IF(COUNT($I$1237:$I$1241)&lt;&gt;5,"n.a.",IF(I1241=0,6,IF('Inputs'!$D$5=1,COUNTIFS($I$1237:$I$1241,"&gt;0",$I$1237:$I$1241,"&lt;"&amp;I1241)+COUNTIFS($I$1237:I1241,I1241),COUNTIFS($I$1237:$I$1241,"&gt;0",$J$1237:$J$1241,"&gt;"&amp;J1241)+COUNTIFS($I$1237:I1241,"&gt;0",$J$1237:J1241,J1241))))</x:f>
        <x:v>6</x:v>
      </x:c>
      <x:c r="P1241" s="22" t="n">
        <x:f>IF(T1241="Ready",MIN(U1241,MAX(0,G1241-SUMIFS($U$1237:$U$1241,$O$1237:$O$1241,"&lt;"&amp;O1241))),"n.a.")</x:f>
        <x:v>0</x:v>
      </x:c>
      <x:c r="Q1241" s="22" t="n">
        <x:f>IF(T1241="Ready",ROUND(N1241+P1241,2),"n.a.")</x:f>
        <x:v>0</x:v>
      </x:c>
      <x:c r="R1241" s="22" t="n">
        <x:f>IF(T1241="Ready",ROUND(Q1241-M1241,2),"n.a.")</x:f>
        <x:v>0</x:v>
      </x:c>
      <x:c r="S1241" s="22" t="n">
        <x:f>IF(T1241="Ready",MAX(0,ROUND(I1241+M1241-Q1241,2)),"n.a.")</x:f>
        <x:v>0</x:v>
      </x:c>
      <x:c r="T1241" s="22" t="str">
        <x:f>IF(AND(COUNT($I$1237:$I$1241)=5,COUNT(E1241:F1241)=2),IF(E1241&gt;=F1241,"Ready","Budget below minima"),"Check inputs")</x:f>
        <x:v>Ready</x:v>
      </x:c>
      <x:c r="U1241" s="22" t="n">
        <x:f>IF(COUNT(I1241,M1241,N1241)=3,MAX(0,ROUND(I1241+M1241-N1241,2)),"n.a.")</x:f>
        <x:v>0</x:v>
      </x:c>
    </x:row>
    <x:row r="1242" ht="22" customHeight="1">
      <x:c r="A1242" s="2"/>
      <x:c r="B1242" s="2"/>
      <x:c r="C1242" s="27" t="n">
        <x:f>248</x:f>
        <x:v>248</x:v>
      </x:c>
      <x:c r="D1242" s="28" t="n">
        <x:f>IF(ISNUMBER('Inputs'!$D$7),EDATE('Inputs'!$D$7,247),"n.a.")</x:f>
        <x:v>53844</x:v>
      </x:c>
      <x:c r="E1242" s="26" t="n">
        <x:f>IF('Inputs'!$D$9&lt;&gt;"Ready","n.a.",IF(ISNUMBER('Inputs'!E266),IF('Inputs'!E266&gt;=0,'Inputs'!E266,"n.a."),IF('Inputs'!E266="",'Inputs'!$D$6,"n.a.")))</x:f>
        <x:v>500</x:v>
      </x:c>
      <x:c r="F1242" s="22" t="n">
        <x:f>IF(COUNT($N$1242:$N$1246)=5,SUM($N$1242:$N$1246),"n.a.")</x:f>
        <x:v>0</x:v>
      </x:c>
      <x:c r="G1242" s="22" t="n">
        <x:f>IF(COUNT(E1242:F1242)=2,MAX(0,E1242-F1242),"n.a.")</x:f>
        <x:v>500</x:v>
      </x:c>
      <x:c r="H1242" s="26" t="str">
        <x:f>'Inputs'!C11</x:f>
        <x:v>Card A</x:v>
      </x:c>
      <x:c r="I1242" s="26" t="n">
        <x:f>S1237</x:f>
        <x:v>0</x:v>
      </x:c>
      <x:c r="J1242" s="29" t="n">
        <x:f>IF('Inputs'!$D$9="Ready",'Inputs'!E11,"n.a.")</x:f>
        <x:v>0.24</x:v>
      </x:c>
      <x:c r="K1242" s="26" t="n">
        <x:f>IF('Inputs'!$D$9="Ready",'Inputs'!F11,"n.a.")</x:f>
        <x:v>35</x:v>
      </x:c>
      <x:c r="L1242" s="29" t="n">
        <x:f>IF('Inputs'!$D$9="Ready",'Inputs'!G11,"n.a.")</x:f>
        <x:v>0.02</x:v>
      </x:c>
      <x:c r="M1242" s="22" t="n">
        <x:f>IF(COUNT(I1242:L1242)=4,ROUND(I1242*J1242/12,2),"n.a.")</x:f>
        <x:v>0</x:v>
      </x:c>
      <x:c r="N1242" s="22" t="n">
        <x:f>IF(COUNT(I1242:M1242)=5,MIN(I1242+M1242,ROUND(MAX(K1242,I1242*L1242+M1242),2)),"n.a.")</x:f>
        <x:v>0</x:v>
      </x:c>
      <x:c r="O1242" s="30" t="n">
        <x:f>IF(COUNT($I$1242:$I$1246)&lt;&gt;5,"n.a.",IF(I1242=0,6,IF('Inputs'!$D$5=1,COUNTIFS($I$1242:$I$1246,"&gt;0",$I$1242:$I$1246,"&lt;"&amp;I1242)+COUNTIFS($I$1242:I1242,I1242),COUNTIFS($I$1242:$I$1246,"&gt;0",$J$1242:$J$1246,"&gt;"&amp;J1242)+COUNTIFS($I$1242:I1242,"&gt;0",$J$1242:J1242,J1242))))</x:f>
        <x:v>6</x:v>
      </x:c>
      <x:c r="P1242" s="22" t="n">
        <x:f>IF(T1242="Ready",MIN(U1242,MAX(0,G1242-SUMIFS($U$1242:$U$1246,$O$1242:$O$1246,"&lt;"&amp;O1242))),"n.a.")</x:f>
        <x:v>0</x:v>
      </x:c>
      <x:c r="Q1242" s="22" t="n">
        <x:f>IF(T1242="Ready",ROUND(N1242+P1242,2),"n.a.")</x:f>
        <x:v>0</x:v>
      </x:c>
      <x:c r="R1242" s="22" t="n">
        <x:f>IF(T1242="Ready",ROUND(Q1242-M1242,2),"n.a.")</x:f>
        <x:v>0</x:v>
      </x:c>
      <x:c r="S1242" s="22" t="n">
        <x:f>IF(T1242="Ready",MAX(0,ROUND(I1242+M1242-Q1242,2)),"n.a.")</x:f>
        <x:v>0</x:v>
      </x:c>
      <x:c r="T1242" s="22" t="str">
        <x:f>IF(AND(COUNT($I$1242:$I$1246)=5,COUNT(E1242:F1242)=2),IF(E1242&gt;=F1242,"Ready","Budget below minima"),"Check inputs")</x:f>
        <x:v>Ready</x:v>
      </x:c>
      <x:c r="U1242" s="22" t="n">
        <x:f>IF(COUNT(I1242,M1242,N1242)=3,MAX(0,ROUND(I1242+M1242-N1242,2)),"n.a.")</x:f>
        <x:v>0</x:v>
      </x:c>
    </x:row>
    <x:row r="1243" ht="22" customHeight="1">
      <x:c r="A1243" s="2"/>
      <x:c r="B1243" s="2"/>
      <x:c r="C1243" s="27" t="n">
        <x:f>248</x:f>
        <x:v>248</x:v>
      </x:c>
      <x:c r="D1243" s="28" t="n">
        <x:f>IF(ISNUMBER('Inputs'!$D$7),EDATE('Inputs'!$D$7,247),"n.a.")</x:f>
        <x:v>53844</x:v>
      </x:c>
      <x:c r="E1243" s="26" t="n">
        <x:f>IF('Inputs'!$D$9&lt;&gt;"Ready","n.a.",IF(ISNUMBER('Inputs'!E266),IF('Inputs'!E266&gt;=0,'Inputs'!E266,"n.a."),IF('Inputs'!E266="",'Inputs'!$D$6,"n.a.")))</x:f>
        <x:v>500</x:v>
      </x:c>
      <x:c r="F1243" s="22" t="n">
        <x:f>IF(COUNT($N$1242:$N$1246)=5,SUM($N$1242:$N$1246),"n.a.")</x:f>
        <x:v>0</x:v>
      </x:c>
      <x:c r="G1243" s="22" t="n">
        <x:f>IF(COUNT(E1243:F1243)=2,MAX(0,E1243-F1243),"n.a.")</x:f>
        <x:v>500</x:v>
      </x:c>
      <x:c r="H1243" s="26" t="str">
        <x:f>'Inputs'!C12</x:f>
        <x:v>Card B</x:v>
      </x:c>
      <x:c r="I1243" s="26" t="n">
        <x:f>S1238</x:f>
        <x:v>0</x:v>
      </x:c>
      <x:c r="J1243" s="29" t="n">
        <x:f>IF('Inputs'!$D$9="Ready",'Inputs'!E12,"n.a.")</x:f>
        <x:v>0.18</x:v>
      </x:c>
      <x:c r="K1243" s="26" t="n">
        <x:f>IF('Inputs'!$D$9="Ready",'Inputs'!F12,"n.a.")</x:f>
        <x:v>60</x:v>
      </x:c>
      <x:c r="L1243" s="29" t="n">
        <x:f>IF('Inputs'!$D$9="Ready",'Inputs'!G12,"n.a.")</x:f>
        <x:v>0.02</x:v>
      </x:c>
      <x:c r="M1243" s="22" t="n">
        <x:f>IF(COUNT(I1243:L1243)=4,ROUND(I1243*J1243/12,2),"n.a.")</x:f>
        <x:v>0</x:v>
      </x:c>
      <x:c r="N1243" s="22" t="n">
        <x:f>IF(COUNT(I1243:M1243)=5,MIN(I1243+M1243,ROUND(MAX(K1243,I1243*L1243+M1243),2)),"n.a.")</x:f>
        <x:v>0</x:v>
      </x:c>
      <x:c r="O1243" s="30" t="n">
        <x:f>IF(COUNT($I$1242:$I$1246)&lt;&gt;5,"n.a.",IF(I1243=0,6,IF('Inputs'!$D$5=1,COUNTIFS($I$1242:$I$1246,"&gt;0",$I$1242:$I$1246,"&lt;"&amp;I1243)+COUNTIFS($I$1242:I1243,I1243),COUNTIFS($I$1242:$I$1246,"&gt;0",$J$1242:$J$1246,"&gt;"&amp;J1243)+COUNTIFS($I$1242:I1243,"&gt;0",$J$1242:J1243,J1243))))</x:f>
        <x:v>6</x:v>
      </x:c>
      <x:c r="P1243" s="22" t="n">
        <x:f>IF(T1243="Ready",MIN(U1243,MAX(0,G1243-SUMIFS($U$1242:$U$1246,$O$1242:$O$1246,"&lt;"&amp;O1243))),"n.a.")</x:f>
        <x:v>0</x:v>
      </x:c>
      <x:c r="Q1243" s="22" t="n">
        <x:f>IF(T1243="Ready",ROUND(N1243+P1243,2),"n.a.")</x:f>
        <x:v>0</x:v>
      </x:c>
      <x:c r="R1243" s="22" t="n">
        <x:f>IF(T1243="Ready",ROUND(Q1243-M1243,2),"n.a.")</x:f>
        <x:v>0</x:v>
      </x:c>
      <x:c r="S1243" s="22" t="n">
        <x:f>IF(T1243="Ready",MAX(0,ROUND(I1243+M1243-Q1243,2)),"n.a.")</x:f>
        <x:v>0</x:v>
      </x:c>
      <x:c r="T1243" s="22" t="str">
        <x:f>IF(AND(COUNT($I$1242:$I$1246)=5,COUNT(E1243:F1243)=2),IF(E1243&gt;=F1243,"Ready","Budget below minima"),"Check inputs")</x:f>
        <x:v>Ready</x:v>
      </x:c>
      <x:c r="U1243" s="22" t="n">
        <x:f>IF(COUNT(I1243,M1243,N1243)=3,MAX(0,ROUND(I1243+M1243-N1243,2)),"n.a.")</x:f>
        <x:v>0</x:v>
      </x:c>
    </x:row>
    <x:row r="1244" ht="22" customHeight="1">
      <x:c r="A1244" s="2"/>
      <x:c r="B1244" s="2"/>
      <x:c r="C1244" s="27" t="n">
        <x:f>248</x:f>
        <x:v>248</x:v>
      </x:c>
      <x:c r="D1244" s="28" t="n">
        <x:f>IF(ISNUMBER('Inputs'!$D$7),EDATE('Inputs'!$D$7,247),"n.a.")</x:f>
        <x:v>53844</x:v>
      </x:c>
      <x:c r="E1244" s="26" t="n">
        <x:f>IF('Inputs'!$D$9&lt;&gt;"Ready","n.a.",IF(ISNUMBER('Inputs'!E266),IF('Inputs'!E266&gt;=0,'Inputs'!E266,"n.a."),IF('Inputs'!E266="",'Inputs'!$D$6,"n.a.")))</x:f>
        <x:v>500</x:v>
      </x:c>
      <x:c r="F1244" s="22" t="n">
        <x:f>IF(COUNT($N$1242:$N$1246)=5,SUM($N$1242:$N$1246),"n.a.")</x:f>
        <x:v>0</x:v>
      </x:c>
      <x:c r="G1244" s="22" t="n">
        <x:f>IF(COUNT(E1244:F1244)=2,MAX(0,E1244-F1244),"n.a.")</x:f>
        <x:v>500</x:v>
      </x:c>
      <x:c r="H1244" s="26" t="str">
        <x:f>'Inputs'!C13</x:f>
        <x:v>Loan C</x:v>
      </x:c>
      <x:c r="I1244" s="26" t="n">
        <x:f>S1239</x:f>
        <x:v>0</x:v>
      </x:c>
      <x:c r="J1244" s="29" t="n">
        <x:f>IF('Inputs'!$D$9="Ready",'Inputs'!E13,"n.a.")</x:f>
        <x:v>0.08</x:v>
      </x:c>
      <x:c r="K1244" s="26" t="n">
        <x:f>IF('Inputs'!$D$9="Ready",'Inputs'!F13,"n.a.")</x:f>
        <x:v>150</x:v>
      </x:c>
      <x:c r="L1244" s="29" t="n">
        <x:f>IF('Inputs'!$D$9="Ready",'Inputs'!G13,"n.a.")</x:f>
        <x:v>0</x:v>
      </x:c>
      <x:c r="M1244" s="22" t="n">
        <x:f>IF(COUNT(I1244:L1244)=4,ROUND(I1244*J1244/12,2),"n.a.")</x:f>
        <x:v>0</x:v>
      </x:c>
      <x:c r="N1244" s="22" t="n">
        <x:f>IF(COUNT(I1244:M1244)=5,MIN(I1244+M1244,ROUND(MAX(K1244,I1244*L1244+M1244),2)),"n.a.")</x:f>
        <x:v>0</x:v>
      </x:c>
      <x:c r="O1244" s="30" t="n">
        <x:f>IF(COUNT($I$1242:$I$1246)&lt;&gt;5,"n.a.",IF(I1244=0,6,IF('Inputs'!$D$5=1,COUNTIFS($I$1242:$I$1246,"&gt;0",$I$1242:$I$1246,"&lt;"&amp;I1244)+COUNTIFS($I$1242:I1244,I1244),COUNTIFS($I$1242:$I$1246,"&gt;0",$J$1242:$J$1246,"&gt;"&amp;J1244)+COUNTIFS($I$1242:I1244,"&gt;0",$J$1242:J1244,J1244))))</x:f>
        <x:v>6</x:v>
      </x:c>
      <x:c r="P1244" s="22" t="n">
        <x:f>IF(T1244="Ready",MIN(U1244,MAX(0,G1244-SUMIFS($U$1242:$U$1246,$O$1242:$O$1246,"&lt;"&amp;O1244))),"n.a.")</x:f>
        <x:v>0</x:v>
      </x:c>
      <x:c r="Q1244" s="22" t="n">
        <x:f>IF(T1244="Ready",ROUND(N1244+P1244,2),"n.a.")</x:f>
        <x:v>0</x:v>
      </x:c>
      <x:c r="R1244" s="22" t="n">
        <x:f>IF(T1244="Ready",ROUND(Q1244-M1244,2),"n.a.")</x:f>
        <x:v>0</x:v>
      </x:c>
      <x:c r="S1244" s="22" t="n">
        <x:f>IF(T1244="Ready",MAX(0,ROUND(I1244+M1244-Q1244,2)),"n.a.")</x:f>
        <x:v>0</x:v>
      </x:c>
      <x:c r="T1244" s="22" t="str">
        <x:f>IF(AND(COUNT($I$1242:$I$1246)=5,COUNT(E1244:F1244)=2),IF(E1244&gt;=F1244,"Ready","Budget below minima"),"Check inputs")</x:f>
        <x:v>Ready</x:v>
      </x:c>
      <x:c r="U1244" s="22" t="n">
        <x:f>IF(COUNT(I1244,M1244,N1244)=3,MAX(0,ROUND(I1244+M1244-N1244,2)),"n.a.")</x:f>
        <x:v>0</x:v>
      </x:c>
    </x:row>
    <x:row r="1245" ht="22" customHeight="1">
      <x:c r="A1245" s="2"/>
      <x:c r="B1245" s="2"/>
      <x:c r="C1245" s="27" t="n">
        <x:f>248</x:f>
        <x:v>248</x:v>
      </x:c>
      <x:c r="D1245" s="28" t="n">
        <x:f>IF(ISNUMBER('Inputs'!$D$7),EDATE('Inputs'!$D$7,247),"n.a.")</x:f>
        <x:v>53844</x:v>
      </x:c>
      <x:c r="E1245" s="26" t="n">
        <x:f>IF('Inputs'!$D$9&lt;&gt;"Ready","n.a.",IF(ISNUMBER('Inputs'!E266),IF('Inputs'!E266&gt;=0,'Inputs'!E266,"n.a."),IF('Inputs'!E266="",'Inputs'!$D$6,"n.a.")))</x:f>
        <x:v>500</x:v>
      </x:c>
      <x:c r="F1245" s="22" t="n">
        <x:f>IF(COUNT($N$1242:$N$1246)=5,SUM($N$1242:$N$1246),"n.a.")</x:f>
        <x:v>0</x:v>
      </x:c>
      <x:c r="G1245" s="22" t="n">
        <x:f>IF(COUNT(E1245:F1245)=2,MAX(0,E1245-F1245),"n.a.")</x:f>
        <x:v>500</x:v>
      </x:c>
      <x:c r="H1245" s="26" t="str">
        <x:f>'Inputs'!C14</x:f>
        <x:v>Unused 4</x:v>
      </x:c>
      <x:c r="I1245" s="26" t="n">
        <x:f>S1240</x:f>
        <x:v>0</x:v>
      </x:c>
      <x:c r="J1245" s="29" t="n">
        <x:f>IF('Inputs'!$D$9="Ready",'Inputs'!E14,"n.a.")</x:f>
        <x:v>0</x:v>
      </x:c>
      <x:c r="K1245" s="26" t="n">
        <x:f>IF('Inputs'!$D$9="Ready",'Inputs'!F14,"n.a.")</x:f>
        <x:v>0</x:v>
      </x:c>
      <x:c r="L1245" s="29" t="n">
        <x:f>IF('Inputs'!$D$9="Ready",'Inputs'!G14,"n.a.")</x:f>
        <x:v>0</x:v>
      </x:c>
      <x:c r="M1245" s="22" t="n">
        <x:f>IF(COUNT(I1245:L1245)=4,ROUND(I1245*J1245/12,2),"n.a.")</x:f>
        <x:v>0</x:v>
      </x:c>
      <x:c r="N1245" s="22" t="n">
        <x:f>IF(COUNT(I1245:M1245)=5,MIN(I1245+M1245,ROUND(MAX(K1245,I1245*L1245+M1245),2)),"n.a.")</x:f>
        <x:v>0</x:v>
      </x:c>
      <x:c r="O1245" s="30" t="n">
        <x:f>IF(COUNT($I$1242:$I$1246)&lt;&gt;5,"n.a.",IF(I1245=0,6,IF('Inputs'!$D$5=1,COUNTIFS($I$1242:$I$1246,"&gt;0",$I$1242:$I$1246,"&lt;"&amp;I1245)+COUNTIFS($I$1242:I1245,I1245),COUNTIFS($I$1242:$I$1246,"&gt;0",$J$1242:$J$1246,"&gt;"&amp;J1245)+COUNTIFS($I$1242:I1245,"&gt;0",$J$1242:J1245,J1245))))</x:f>
        <x:v>6</x:v>
      </x:c>
      <x:c r="P1245" s="22" t="n">
        <x:f>IF(T1245="Ready",MIN(U1245,MAX(0,G1245-SUMIFS($U$1242:$U$1246,$O$1242:$O$1246,"&lt;"&amp;O1245))),"n.a.")</x:f>
        <x:v>0</x:v>
      </x:c>
      <x:c r="Q1245" s="22" t="n">
        <x:f>IF(T1245="Ready",ROUND(N1245+P1245,2),"n.a.")</x:f>
        <x:v>0</x:v>
      </x:c>
      <x:c r="R1245" s="22" t="n">
        <x:f>IF(T1245="Ready",ROUND(Q1245-M1245,2),"n.a.")</x:f>
        <x:v>0</x:v>
      </x:c>
      <x:c r="S1245" s="22" t="n">
        <x:f>IF(T1245="Ready",MAX(0,ROUND(I1245+M1245-Q1245,2)),"n.a.")</x:f>
        <x:v>0</x:v>
      </x:c>
      <x:c r="T1245" s="22" t="str">
        <x:f>IF(AND(COUNT($I$1242:$I$1246)=5,COUNT(E1245:F1245)=2),IF(E1245&gt;=F1245,"Ready","Budget below minima"),"Check inputs")</x:f>
        <x:v>Ready</x:v>
      </x:c>
      <x:c r="U1245" s="22" t="n">
        <x:f>IF(COUNT(I1245,M1245,N1245)=3,MAX(0,ROUND(I1245+M1245-N1245,2)),"n.a.")</x:f>
        <x:v>0</x:v>
      </x:c>
    </x:row>
    <x:row r="1246" ht="22" customHeight="1">
      <x:c r="A1246" s="2"/>
      <x:c r="B1246" s="2"/>
      <x:c r="C1246" s="27" t="n">
        <x:f>248</x:f>
        <x:v>248</x:v>
      </x:c>
      <x:c r="D1246" s="28" t="n">
        <x:f>IF(ISNUMBER('Inputs'!$D$7),EDATE('Inputs'!$D$7,247),"n.a.")</x:f>
        <x:v>53844</x:v>
      </x:c>
      <x:c r="E1246" s="26" t="n">
        <x:f>IF('Inputs'!$D$9&lt;&gt;"Ready","n.a.",IF(ISNUMBER('Inputs'!E266),IF('Inputs'!E266&gt;=0,'Inputs'!E266,"n.a."),IF('Inputs'!E266="",'Inputs'!$D$6,"n.a.")))</x:f>
        <x:v>500</x:v>
      </x:c>
      <x:c r="F1246" s="22" t="n">
        <x:f>IF(COUNT($N$1242:$N$1246)=5,SUM($N$1242:$N$1246),"n.a.")</x:f>
        <x:v>0</x:v>
      </x:c>
      <x:c r="G1246" s="22" t="n">
        <x:f>IF(COUNT(E1246:F1246)=2,MAX(0,E1246-F1246),"n.a.")</x:f>
        <x:v>500</x:v>
      </x:c>
      <x:c r="H1246" s="26" t="str">
        <x:f>'Inputs'!C15</x:f>
        <x:v>Unused 5</x:v>
      </x:c>
      <x:c r="I1246" s="26" t="n">
        <x:f>S1241</x:f>
        <x:v>0</x:v>
      </x:c>
      <x:c r="J1246" s="29" t="n">
        <x:f>IF('Inputs'!$D$9="Ready",'Inputs'!E15,"n.a.")</x:f>
        <x:v>0</x:v>
      </x:c>
      <x:c r="K1246" s="26" t="n">
        <x:f>IF('Inputs'!$D$9="Ready",'Inputs'!F15,"n.a.")</x:f>
        <x:v>0</x:v>
      </x:c>
      <x:c r="L1246" s="29" t="n">
        <x:f>IF('Inputs'!$D$9="Ready",'Inputs'!G15,"n.a.")</x:f>
        <x:v>0</x:v>
      </x:c>
      <x:c r="M1246" s="22" t="n">
        <x:f>IF(COUNT(I1246:L1246)=4,ROUND(I1246*J1246/12,2),"n.a.")</x:f>
        <x:v>0</x:v>
      </x:c>
      <x:c r="N1246" s="22" t="n">
        <x:f>IF(COUNT(I1246:M1246)=5,MIN(I1246+M1246,ROUND(MAX(K1246,I1246*L1246+M1246),2)),"n.a.")</x:f>
        <x:v>0</x:v>
      </x:c>
      <x:c r="O1246" s="30" t="n">
        <x:f>IF(COUNT($I$1242:$I$1246)&lt;&gt;5,"n.a.",IF(I1246=0,6,IF('Inputs'!$D$5=1,COUNTIFS($I$1242:$I$1246,"&gt;0",$I$1242:$I$1246,"&lt;"&amp;I1246)+COUNTIFS($I$1242:I1246,I1246),COUNTIFS($I$1242:$I$1246,"&gt;0",$J$1242:$J$1246,"&gt;"&amp;J1246)+COUNTIFS($I$1242:I1246,"&gt;0",$J$1242:J1246,J1246))))</x:f>
        <x:v>6</x:v>
      </x:c>
      <x:c r="P1246" s="22" t="n">
        <x:f>IF(T1246="Ready",MIN(U1246,MAX(0,G1246-SUMIFS($U$1242:$U$1246,$O$1242:$O$1246,"&lt;"&amp;O1246))),"n.a.")</x:f>
        <x:v>0</x:v>
      </x:c>
      <x:c r="Q1246" s="22" t="n">
        <x:f>IF(T1246="Ready",ROUND(N1246+P1246,2),"n.a.")</x:f>
        <x:v>0</x:v>
      </x:c>
      <x:c r="R1246" s="22" t="n">
        <x:f>IF(T1246="Ready",ROUND(Q1246-M1246,2),"n.a.")</x:f>
        <x:v>0</x:v>
      </x:c>
      <x:c r="S1246" s="22" t="n">
        <x:f>IF(T1246="Ready",MAX(0,ROUND(I1246+M1246-Q1246,2)),"n.a.")</x:f>
        <x:v>0</x:v>
      </x:c>
      <x:c r="T1246" s="22" t="str">
        <x:f>IF(AND(COUNT($I$1242:$I$1246)=5,COUNT(E1246:F1246)=2),IF(E1246&gt;=F1246,"Ready","Budget below minima"),"Check inputs")</x:f>
        <x:v>Ready</x:v>
      </x:c>
      <x:c r="U1246" s="22" t="n">
        <x:f>IF(COUNT(I1246,M1246,N1246)=3,MAX(0,ROUND(I1246+M1246-N1246,2)),"n.a.")</x:f>
        <x:v>0</x:v>
      </x:c>
    </x:row>
    <x:row r="1247" ht="22" customHeight="1">
      <x:c r="A1247" s="2"/>
      <x:c r="B1247" s="2"/>
      <x:c r="C1247" s="27" t="n">
        <x:f>249</x:f>
        <x:v>249</x:v>
      </x:c>
      <x:c r="D1247" s="28" t="n">
        <x:f>IF(ISNUMBER('Inputs'!$D$7),EDATE('Inputs'!$D$7,248),"n.a.")</x:f>
        <x:v>53874</x:v>
      </x:c>
      <x:c r="E1247" s="26" t="n">
        <x:f>IF('Inputs'!$D$9&lt;&gt;"Ready","n.a.",IF(ISNUMBER('Inputs'!E267),IF('Inputs'!E267&gt;=0,'Inputs'!E267,"n.a."),IF('Inputs'!E267="",'Inputs'!$D$6,"n.a.")))</x:f>
        <x:v>500</x:v>
      </x:c>
      <x:c r="F1247" s="22" t="n">
        <x:f>IF(COUNT($N$1247:$N$1251)=5,SUM($N$1247:$N$1251),"n.a.")</x:f>
        <x:v>0</x:v>
      </x:c>
      <x:c r="G1247" s="22" t="n">
        <x:f>IF(COUNT(E1247:F1247)=2,MAX(0,E1247-F1247),"n.a.")</x:f>
        <x:v>500</x:v>
      </x:c>
      <x:c r="H1247" s="26" t="str">
        <x:f>'Inputs'!C11</x:f>
        <x:v>Card A</x:v>
      </x:c>
      <x:c r="I1247" s="26" t="n">
        <x:f>S1242</x:f>
        <x:v>0</x:v>
      </x:c>
      <x:c r="J1247" s="29" t="n">
        <x:f>IF('Inputs'!$D$9="Ready",'Inputs'!E11,"n.a.")</x:f>
        <x:v>0.24</x:v>
      </x:c>
      <x:c r="K1247" s="26" t="n">
        <x:f>IF('Inputs'!$D$9="Ready",'Inputs'!F11,"n.a.")</x:f>
        <x:v>35</x:v>
      </x:c>
      <x:c r="L1247" s="29" t="n">
        <x:f>IF('Inputs'!$D$9="Ready",'Inputs'!G11,"n.a.")</x:f>
        <x:v>0.02</x:v>
      </x:c>
      <x:c r="M1247" s="22" t="n">
        <x:f>IF(COUNT(I1247:L1247)=4,ROUND(I1247*J1247/12,2),"n.a.")</x:f>
        <x:v>0</x:v>
      </x:c>
      <x:c r="N1247" s="22" t="n">
        <x:f>IF(COUNT(I1247:M1247)=5,MIN(I1247+M1247,ROUND(MAX(K1247,I1247*L1247+M1247),2)),"n.a.")</x:f>
        <x:v>0</x:v>
      </x:c>
      <x:c r="O1247" s="30" t="n">
        <x:f>IF(COUNT($I$1247:$I$1251)&lt;&gt;5,"n.a.",IF(I1247=0,6,IF('Inputs'!$D$5=1,COUNTIFS($I$1247:$I$1251,"&gt;0",$I$1247:$I$1251,"&lt;"&amp;I1247)+COUNTIFS($I$1247:I1247,I1247),COUNTIFS($I$1247:$I$1251,"&gt;0",$J$1247:$J$1251,"&gt;"&amp;J1247)+COUNTIFS($I$1247:I1247,"&gt;0",$J$1247:J1247,J1247))))</x:f>
        <x:v>6</x:v>
      </x:c>
      <x:c r="P1247" s="22" t="n">
        <x:f>IF(T1247="Ready",MIN(U1247,MAX(0,G1247-SUMIFS($U$1247:$U$1251,$O$1247:$O$1251,"&lt;"&amp;O1247))),"n.a.")</x:f>
        <x:v>0</x:v>
      </x:c>
      <x:c r="Q1247" s="22" t="n">
        <x:f>IF(T1247="Ready",ROUND(N1247+P1247,2),"n.a.")</x:f>
        <x:v>0</x:v>
      </x:c>
      <x:c r="R1247" s="22" t="n">
        <x:f>IF(T1247="Ready",ROUND(Q1247-M1247,2),"n.a.")</x:f>
        <x:v>0</x:v>
      </x:c>
      <x:c r="S1247" s="22" t="n">
        <x:f>IF(T1247="Ready",MAX(0,ROUND(I1247+M1247-Q1247,2)),"n.a.")</x:f>
        <x:v>0</x:v>
      </x:c>
      <x:c r="T1247" s="22" t="str">
        <x:f>IF(AND(COUNT($I$1247:$I$1251)=5,COUNT(E1247:F1247)=2),IF(E1247&gt;=F1247,"Ready","Budget below minima"),"Check inputs")</x:f>
        <x:v>Ready</x:v>
      </x:c>
      <x:c r="U1247" s="22" t="n">
        <x:f>IF(COUNT(I1247,M1247,N1247)=3,MAX(0,ROUND(I1247+M1247-N1247,2)),"n.a.")</x:f>
        <x:v>0</x:v>
      </x:c>
    </x:row>
    <x:row r="1248" ht="22" customHeight="1">
      <x:c r="A1248" s="2"/>
      <x:c r="B1248" s="2"/>
      <x:c r="C1248" s="27" t="n">
        <x:f>249</x:f>
        <x:v>249</x:v>
      </x:c>
      <x:c r="D1248" s="28" t="n">
        <x:f>IF(ISNUMBER('Inputs'!$D$7),EDATE('Inputs'!$D$7,248),"n.a.")</x:f>
        <x:v>53874</x:v>
      </x:c>
      <x:c r="E1248" s="26" t="n">
        <x:f>IF('Inputs'!$D$9&lt;&gt;"Ready","n.a.",IF(ISNUMBER('Inputs'!E267),IF('Inputs'!E267&gt;=0,'Inputs'!E267,"n.a."),IF('Inputs'!E267="",'Inputs'!$D$6,"n.a.")))</x:f>
        <x:v>500</x:v>
      </x:c>
      <x:c r="F1248" s="22" t="n">
        <x:f>IF(COUNT($N$1247:$N$1251)=5,SUM($N$1247:$N$1251),"n.a.")</x:f>
        <x:v>0</x:v>
      </x:c>
      <x:c r="G1248" s="22" t="n">
        <x:f>IF(COUNT(E1248:F1248)=2,MAX(0,E1248-F1248),"n.a.")</x:f>
        <x:v>500</x:v>
      </x:c>
      <x:c r="H1248" s="26" t="str">
        <x:f>'Inputs'!C12</x:f>
        <x:v>Card B</x:v>
      </x:c>
      <x:c r="I1248" s="26" t="n">
        <x:f>S1243</x:f>
        <x:v>0</x:v>
      </x:c>
      <x:c r="J1248" s="29" t="n">
        <x:f>IF('Inputs'!$D$9="Ready",'Inputs'!E12,"n.a.")</x:f>
        <x:v>0.18</x:v>
      </x:c>
      <x:c r="K1248" s="26" t="n">
        <x:f>IF('Inputs'!$D$9="Ready",'Inputs'!F12,"n.a.")</x:f>
        <x:v>60</x:v>
      </x:c>
      <x:c r="L1248" s="29" t="n">
        <x:f>IF('Inputs'!$D$9="Ready",'Inputs'!G12,"n.a.")</x:f>
        <x:v>0.02</x:v>
      </x:c>
      <x:c r="M1248" s="22" t="n">
        <x:f>IF(COUNT(I1248:L1248)=4,ROUND(I1248*J1248/12,2),"n.a.")</x:f>
        <x:v>0</x:v>
      </x:c>
      <x:c r="N1248" s="22" t="n">
        <x:f>IF(COUNT(I1248:M1248)=5,MIN(I1248+M1248,ROUND(MAX(K1248,I1248*L1248+M1248),2)),"n.a.")</x:f>
        <x:v>0</x:v>
      </x:c>
      <x:c r="O1248" s="30" t="n">
        <x:f>IF(COUNT($I$1247:$I$1251)&lt;&gt;5,"n.a.",IF(I1248=0,6,IF('Inputs'!$D$5=1,COUNTIFS($I$1247:$I$1251,"&gt;0",$I$1247:$I$1251,"&lt;"&amp;I1248)+COUNTIFS($I$1247:I1248,I1248),COUNTIFS($I$1247:$I$1251,"&gt;0",$J$1247:$J$1251,"&gt;"&amp;J1248)+COUNTIFS($I$1247:I1248,"&gt;0",$J$1247:J1248,J1248))))</x:f>
        <x:v>6</x:v>
      </x:c>
      <x:c r="P1248" s="22" t="n">
        <x:f>IF(T1248="Ready",MIN(U1248,MAX(0,G1248-SUMIFS($U$1247:$U$1251,$O$1247:$O$1251,"&lt;"&amp;O1248))),"n.a.")</x:f>
        <x:v>0</x:v>
      </x:c>
      <x:c r="Q1248" s="22" t="n">
        <x:f>IF(T1248="Ready",ROUND(N1248+P1248,2),"n.a.")</x:f>
        <x:v>0</x:v>
      </x:c>
      <x:c r="R1248" s="22" t="n">
        <x:f>IF(T1248="Ready",ROUND(Q1248-M1248,2),"n.a.")</x:f>
        <x:v>0</x:v>
      </x:c>
      <x:c r="S1248" s="22" t="n">
        <x:f>IF(T1248="Ready",MAX(0,ROUND(I1248+M1248-Q1248,2)),"n.a.")</x:f>
        <x:v>0</x:v>
      </x:c>
      <x:c r="T1248" s="22" t="str">
        <x:f>IF(AND(COUNT($I$1247:$I$1251)=5,COUNT(E1248:F1248)=2),IF(E1248&gt;=F1248,"Ready","Budget below minima"),"Check inputs")</x:f>
        <x:v>Ready</x:v>
      </x:c>
      <x:c r="U1248" s="22" t="n">
        <x:f>IF(COUNT(I1248,M1248,N1248)=3,MAX(0,ROUND(I1248+M1248-N1248,2)),"n.a.")</x:f>
        <x:v>0</x:v>
      </x:c>
    </x:row>
    <x:row r="1249" ht="22" customHeight="1">
      <x:c r="A1249" s="2"/>
      <x:c r="B1249" s="2"/>
      <x:c r="C1249" s="27" t="n">
        <x:f>249</x:f>
        <x:v>249</x:v>
      </x:c>
      <x:c r="D1249" s="28" t="n">
        <x:f>IF(ISNUMBER('Inputs'!$D$7),EDATE('Inputs'!$D$7,248),"n.a.")</x:f>
        <x:v>53874</x:v>
      </x:c>
      <x:c r="E1249" s="26" t="n">
        <x:f>IF('Inputs'!$D$9&lt;&gt;"Ready","n.a.",IF(ISNUMBER('Inputs'!E267),IF('Inputs'!E267&gt;=0,'Inputs'!E267,"n.a."),IF('Inputs'!E267="",'Inputs'!$D$6,"n.a.")))</x:f>
        <x:v>500</x:v>
      </x:c>
      <x:c r="F1249" s="22" t="n">
        <x:f>IF(COUNT($N$1247:$N$1251)=5,SUM($N$1247:$N$1251),"n.a.")</x:f>
        <x:v>0</x:v>
      </x:c>
      <x:c r="G1249" s="22" t="n">
        <x:f>IF(COUNT(E1249:F1249)=2,MAX(0,E1249-F1249),"n.a.")</x:f>
        <x:v>500</x:v>
      </x:c>
      <x:c r="H1249" s="26" t="str">
        <x:f>'Inputs'!C13</x:f>
        <x:v>Loan C</x:v>
      </x:c>
      <x:c r="I1249" s="26" t="n">
        <x:f>S1244</x:f>
        <x:v>0</x:v>
      </x:c>
      <x:c r="J1249" s="29" t="n">
        <x:f>IF('Inputs'!$D$9="Ready",'Inputs'!E13,"n.a.")</x:f>
        <x:v>0.08</x:v>
      </x:c>
      <x:c r="K1249" s="26" t="n">
        <x:f>IF('Inputs'!$D$9="Ready",'Inputs'!F13,"n.a.")</x:f>
        <x:v>150</x:v>
      </x:c>
      <x:c r="L1249" s="29" t="n">
        <x:f>IF('Inputs'!$D$9="Ready",'Inputs'!G13,"n.a.")</x:f>
        <x:v>0</x:v>
      </x:c>
      <x:c r="M1249" s="22" t="n">
        <x:f>IF(COUNT(I1249:L1249)=4,ROUND(I1249*J1249/12,2),"n.a.")</x:f>
        <x:v>0</x:v>
      </x:c>
      <x:c r="N1249" s="22" t="n">
        <x:f>IF(COUNT(I1249:M1249)=5,MIN(I1249+M1249,ROUND(MAX(K1249,I1249*L1249+M1249),2)),"n.a.")</x:f>
        <x:v>0</x:v>
      </x:c>
      <x:c r="O1249" s="30" t="n">
        <x:f>IF(COUNT($I$1247:$I$1251)&lt;&gt;5,"n.a.",IF(I1249=0,6,IF('Inputs'!$D$5=1,COUNTIFS($I$1247:$I$1251,"&gt;0",$I$1247:$I$1251,"&lt;"&amp;I1249)+COUNTIFS($I$1247:I1249,I1249),COUNTIFS($I$1247:$I$1251,"&gt;0",$J$1247:$J$1251,"&gt;"&amp;J1249)+COUNTIFS($I$1247:I1249,"&gt;0",$J$1247:J1249,J1249))))</x:f>
        <x:v>6</x:v>
      </x:c>
      <x:c r="P1249" s="22" t="n">
        <x:f>IF(T1249="Ready",MIN(U1249,MAX(0,G1249-SUMIFS($U$1247:$U$1251,$O$1247:$O$1251,"&lt;"&amp;O1249))),"n.a.")</x:f>
        <x:v>0</x:v>
      </x:c>
      <x:c r="Q1249" s="22" t="n">
        <x:f>IF(T1249="Ready",ROUND(N1249+P1249,2),"n.a.")</x:f>
        <x:v>0</x:v>
      </x:c>
      <x:c r="R1249" s="22" t="n">
        <x:f>IF(T1249="Ready",ROUND(Q1249-M1249,2),"n.a.")</x:f>
        <x:v>0</x:v>
      </x:c>
      <x:c r="S1249" s="22" t="n">
        <x:f>IF(T1249="Ready",MAX(0,ROUND(I1249+M1249-Q1249,2)),"n.a.")</x:f>
        <x:v>0</x:v>
      </x:c>
      <x:c r="T1249" s="22" t="str">
        <x:f>IF(AND(COUNT($I$1247:$I$1251)=5,COUNT(E1249:F1249)=2),IF(E1249&gt;=F1249,"Ready","Budget below minima"),"Check inputs")</x:f>
        <x:v>Ready</x:v>
      </x:c>
      <x:c r="U1249" s="22" t="n">
        <x:f>IF(COUNT(I1249,M1249,N1249)=3,MAX(0,ROUND(I1249+M1249-N1249,2)),"n.a.")</x:f>
        <x:v>0</x:v>
      </x:c>
    </x:row>
    <x:row r="1250" ht="22" customHeight="1">
      <x:c r="A1250" s="2"/>
      <x:c r="B1250" s="2"/>
      <x:c r="C1250" s="27" t="n">
        <x:f>249</x:f>
        <x:v>249</x:v>
      </x:c>
      <x:c r="D1250" s="28" t="n">
        <x:f>IF(ISNUMBER('Inputs'!$D$7),EDATE('Inputs'!$D$7,248),"n.a.")</x:f>
        <x:v>53874</x:v>
      </x:c>
      <x:c r="E1250" s="26" t="n">
        <x:f>IF('Inputs'!$D$9&lt;&gt;"Ready","n.a.",IF(ISNUMBER('Inputs'!E267),IF('Inputs'!E267&gt;=0,'Inputs'!E267,"n.a."),IF('Inputs'!E267="",'Inputs'!$D$6,"n.a.")))</x:f>
        <x:v>500</x:v>
      </x:c>
      <x:c r="F1250" s="22" t="n">
        <x:f>IF(COUNT($N$1247:$N$1251)=5,SUM($N$1247:$N$1251),"n.a.")</x:f>
        <x:v>0</x:v>
      </x:c>
      <x:c r="G1250" s="22" t="n">
        <x:f>IF(COUNT(E1250:F1250)=2,MAX(0,E1250-F1250),"n.a.")</x:f>
        <x:v>500</x:v>
      </x:c>
      <x:c r="H1250" s="26" t="str">
        <x:f>'Inputs'!C14</x:f>
        <x:v>Unused 4</x:v>
      </x:c>
      <x:c r="I1250" s="26" t="n">
        <x:f>S1245</x:f>
        <x:v>0</x:v>
      </x:c>
      <x:c r="J1250" s="29" t="n">
        <x:f>IF('Inputs'!$D$9="Ready",'Inputs'!E14,"n.a.")</x:f>
        <x:v>0</x:v>
      </x:c>
      <x:c r="K1250" s="26" t="n">
        <x:f>IF('Inputs'!$D$9="Ready",'Inputs'!F14,"n.a.")</x:f>
        <x:v>0</x:v>
      </x:c>
      <x:c r="L1250" s="29" t="n">
        <x:f>IF('Inputs'!$D$9="Ready",'Inputs'!G14,"n.a.")</x:f>
        <x:v>0</x:v>
      </x:c>
      <x:c r="M1250" s="22" t="n">
        <x:f>IF(COUNT(I1250:L1250)=4,ROUND(I1250*J1250/12,2),"n.a.")</x:f>
        <x:v>0</x:v>
      </x:c>
      <x:c r="N1250" s="22" t="n">
        <x:f>IF(COUNT(I1250:M1250)=5,MIN(I1250+M1250,ROUND(MAX(K1250,I1250*L1250+M1250),2)),"n.a.")</x:f>
        <x:v>0</x:v>
      </x:c>
      <x:c r="O1250" s="30" t="n">
        <x:f>IF(COUNT($I$1247:$I$1251)&lt;&gt;5,"n.a.",IF(I1250=0,6,IF('Inputs'!$D$5=1,COUNTIFS($I$1247:$I$1251,"&gt;0",$I$1247:$I$1251,"&lt;"&amp;I1250)+COUNTIFS($I$1247:I1250,I1250),COUNTIFS($I$1247:$I$1251,"&gt;0",$J$1247:$J$1251,"&gt;"&amp;J1250)+COUNTIFS($I$1247:I1250,"&gt;0",$J$1247:J1250,J1250))))</x:f>
        <x:v>6</x:v>
      </x:c>
      <x:c r="P1250" s="22" t="n">
        <x:f>IF(T1250="Ready",MIN(U1250,MAX(0,G1250-SUMIFS($U$1247:$U$1251,$O$1247:$O$1251,"&lt;"&amp;O1250))),"n.a.")</x:f>
        <x:v>0</x:v>
      </x:c>
      <x:c r="Q1250" s="22" t="n">
        <x:f>IF(T1250="Ready",ROUND(N1250+P1250,2),"n.a.")</x:f>
        <x:v>0</x:v>
      </x:c>
      <x:c r="R1250" s="22" t="n">
        <x:f>IF(T1250="Ready",ROUND(Q1250-M1250,2),"n.a.")</x:f>
        <x:v>0</x:v>
      </x:c>
      <x:c r="S1250" s="22" t="n">
        <x:f>IF(T1250="Ready",MAX(0,ROUND(I1250+M1250-Q1250,2)),"n.a.")</x:f>
        <x:v>0</x:v>
      </x:c>
      <x:c r="T1250" s="22" t="str">
        <x:f>IF(AND(COUNT($I$1247:$I$1251)=5,COUNT(E1250:F1250)=2),IF(E1250&gt;=F1250,"Ready","Budget below minima"),"Check inputs")</x:f>
        <x:v>Ready</x:v>
      </x:c>
      <x:c r="U1250" s="22" t="n">
        <x:f>IF(COUNT(I1250,M1250,N1250)=3,MAX(0,ROUND(I1250+M1250-N1250,2)),"n.a.")</x:f>
        <x:v>0</x:v>
      </x:c>
    </x:row>
    <x:row r="1251" ht="22" customHeight="1">
      <x:c r="A1251" s="2"/>
      <x:c r="B1251" s="2"/>
      <x:c r="C1251" s="27" t="n">
        <x:f>249</x:f>
        <x:v>249</x:v>
      </x:c>
      <x:c r="D1251" s="28" t="n">
        <x:f>IF(ISNUMBER('Inputs'!$D$7),EDATE('Inputs'!$D$7,248),"n.a.")</x:f>
        <x:v>53874</x:v>
      </x:c>
      <x:c r="E1251" s="26" t="n">
        <x:f>IF('Inputs'!$D$9&lt;&gt;"Ready","n.a.",IF(ISNUMBER('Inputs'!E267),IF('Inputs'!E267&gt;=0,'Inputs'!E267,"n.a."),IF('Inputs'!E267="",'Inputs'!$D$6,"n.a.")))</x:f>
        <x:v>500</x:v>
      </x:c>
      <x:c r="F1251" s="22" t="n">
        <x:f>IF(COUNT($N$1247:$N$1251)=5,SUM($N$1247:$N$1251),"n.a.")</x:f>
        <x:v>0</x:v>
      </x:c>
      <x:c r="G1251" s="22" t="n">
        <x:f>IF(COUNT(E1251:F1251)=2,MAX(0,E1251-F1251),"n.a.")</x:f>
        <x:v>500</x:v>
      </x:c>
      <x:c r="H1251" s="26" t="str">
        <x:f>'Inputs'!C15</x:f>
        <x:v>Unused 5</x:v>
      </x:c>
      <x:c r="I1251" s="26" t="n">
        <x:f>S1246</x:f>
        <x:v>0</x:v>
      </x:c>
      <x:c r="J1251" s="29" t="n">
        <x:f>IF('Inputs'!$D$9="Ready",'Inputs'!E15,"n.a.")</x:f>
        <x:v>0</x:v>
      </x:c>
      <x:c r="K1251" s="26" t="n">
        <x:f>IF('Inputs'!$D$9="Ready",'Inputs'!F15,"n.a.")</x:f>
        <x:v>0</x:v>
      </x:c>
      <x:c r="L1251" s="29" t="n">
        <x:f>IF('Inputs'!$D$9="Ready",'Inputs'!G15,"n.a.")</x:f>
        <x:v>0</x:v>
      </x:c>
      <x:c r="M1251" s="22" t="n">
        <x:f>IF(COUNT(I1251:L1251)=4,ROUND(I1251*J1251/12,2),"n.a.")</x:f>
        <x:v>0</x:v>
      </x:c>
      <x:c r="N1251" s="22" t="n">
        <x:f>IF(COUNT(I1251:M1251)=5,MIN(I1251+M1251,ROUND(MAX(K1251,I1251*L1251+M1251),2)),"n.a.")</x:f>
        <x:v>0</x:v>
      </x:c>
      <x:c r="O1251" s="30" t="n">
        <x:f>IF(COUNT($I$1247:$I$1251)&lt;&gt;5,"n.a.",IF(I1251=0,6,IF('Inputs'!$D$5=1,COUNTIFS($I$1247:$I$1251,"&gt;0",$I$1247:$I$1251,"&lt;"&amp;I1251)+COUNTIFS($I$1247:I1251,I1251),COUNTIFS($I$1247:$I$1251,"&gt;0",$J$1247:$J$1251,"&gt;"&amp;J1251)+COUNTIFS($I$1247:I1251,"&gt;0",$J$1247:J1251,J1251))))</x:f>
        <x:v>6</x:v>
      </x:c>
      <x:c r="P1251" s="22" t="n">
        <x:f>IF(T1251="Ready",MIN(U1251,MAX(0,G1251-SUMIFS($U$1247:$U$1251,$O$1247:$O$1251,"&lt;"&amp;O1251))),"n.a.")</x:f>
        <x:v>0</x:v>
      </x:c>
      <x:c r="Q1251" s="22" t="n">
        <x:f>IF(T1251="Ready",ROUND(N1251+P1251,2),"n.a.")</x:f>
        <x:v>0</x:v>
      </x:c>
      <x:c r="R1251" s="22" t="n">
        <x:f>IF(T1251="Ready",ROUND(Q1251-M1251,2),"n.a.")</x:f>
        <x:v>0</x:v>
      </x:c>
      <x:c r="S1251" s="22" t="n">
        <x:f>IF(T1251="Ready",MAX(0,ROUND(I1251+M1251-Q1251,2)),"n.a.")</x:f>
        <x:v>0</x:v>
      </x:c>
      <x:c r="T1251" s="22" t="str">
        <x:f>IF(AND(COUNT($I$1247:$I$1251)=5,COUNT(E1251:F1251)=2),IF(E1251&gt;=F1251,"Ready","Budget below minima"),"Check inputs")</x:f>
        <x:v>Ready</x:v>
      </x:c>
      <x:c r="U1251" s="22" t="n">
        <x:f>IF(COUNT(I1251,M1251,N1251)=3,MAX(0,ROUND(I1251+M1251-N1251,2)),"n.a.")</x:f>
        <x:v>0</x:v>
      </x:c>
    </x:row>
    <x:row r="1252" ht="22" customHeight="1">
      <x:c r="A1252" s="2"/>
      <x:c r="B1252" s="2"/>
      <x:c r="C1252" s="27" t="n">
        <x:f>250</x:f>
        <x:v>250</x:v>
      </x:c>
      <x:c r="D1252" s="28" t="n">
        <x:f>IF(ISNUMBER('Inputs'!$D$7),EDATE('Inputs'!$D$7,249),"n.a.")</x:f>
        <x:v>53905</x:v>
      </x:c>
      <x:c r="E1252" s="26" t="n">
        <x:f>IF('Inputs'!$D$9&lt;&gt;"Ready","n.a.",IF(ISNUMBER('Inputs'!E268),IF('Inputs'!E268&gt;=0,'Inputs'!E268,"n.a."),IF('Inputs'!E268="",'Inputs'!$D$6,"n.a.")))</x:f>
        <x:v>500</x:v>
      </x:c>
      <x:c r="F1252" s="22" t="n">
        <x:f>IF(COUNT($N$1252:$N$1256)=5,SUM($N$1252:$N$1256),"n.a.")</x:f>
        <x:v>0</x:v>
      </x:c>
      <x:c r="G1252" s="22" t="n">
        <x:f>IF(COUNT(E1252:F1252)=2,MAX(0,E1252-F1252),"n.a.")</x:f>
        <x:v>500</x:v>
      </x:c>
      <x:c r="H1252" s="26" t="str">
        <x:f>'Inputs'!C11</x:f>
        <x:v>Card A</x:v>
      </x:c>
      <x:c r="I1252" s="26" t="n">
        <x:f>S1247</x:f>
        <x:v>0</x:v>
      </x:c>
      <x:c r="J1252" s="29" t="n">
        <x:f>IF('Inputs'!$D$9="Ready",'Inputs'!E11,"n.a.")</x:f>
        <x:v>0.24</x:v>
      </x:c>
      <x:c r="K1252" s="26" t="n">
        <x:f>IF('Inputs'!$D$9="Ready",'Inputs'!F11,"n.a.")</x:f>
        <x:v>35</x:v>
      </x:c>
      <x:c r="L1252" s="29" t="n">
        <x:f>IF('Inputs'!$D$9="Ready",'Inputs'!G11,"n.a.")</x:f>
        <x:v>0.02</x:v>
      </x:c>
      <x:c r="M1252" s="22" t="n">
        <x:f>IF(COUNT(I1252:L1252)=4,ROUND(I1252*J1252/12,2),"n.a.")</x:f>
        <x:v>0</x:v>
      </x:c>
      <x:c r="N1252" s="22" t="n">
        <x:f>IF(COUNT(I1252:M1252)=5,MIN(I1252+M1252,ROUND(MAX(K1252,I1252*L1252+M1252),2)),"n.a.")</x:f>
        <x:v>0</x:v>
      </x:c>
      <x:c r="O1252" s="30" t="n">
        <x:f>IF(COUNT($I$1252:$I$1256)&lt;&gt;5,"n.a.",IF(I1252=0,6,IF('Inputs'!$D$5=1,COUNTIFS($I$1252:$I$1256,"&gt;0",$I$1252:$I$1256,"&lt;"&amp;I1252)+COUNTIFS($I$1252:I1252,I1252),COUNTIFS($I$1252:$I$1256,"&gt;0",$J$1252:$J$1256,"&gt;"&amp;J1252)+COUNTIFS($I$1252:I1252,"&gt;0",$J$1252:J1252,J1252))))</x:f>
        <x:v>6</x:v>
      </x:c>
      <x:c r="P1252" s="22" t="n">
        <x:f>IF(T1252="Ready",MIN(U1252,MAX(0,G1252-SUMIFS($U$1252:$U$1256,$O$1252:$O$1256,"&lt;"&amp;O1252))),"n.a.")</x:f>
        <x:v>0</x:v>
      </x:c>
      <x:c r="Q1252" s="22" t="n">
        <x:f>IF(T1252="Ready",ROUND(N1252+P1252,2),"n.a.")</x:f>
        <x:v>0</x:v>
      </x:c>
      <x:c r="R1252" s="22" t="n">
        <x:f>IF(T1252="Ready",ROUND(Q1252-M1252,2),"n.a.")</x:f>
        <x:v>0</x:v>
      </x:c>
      <x:c r="S1252" s="22" t="n">
        <x:f>IF(T1252="Ready",MAX(0,ROUND(I1252+M1252-Q1252,2)),"n.a.")</x:f>
        <x:v>0</x:v>
      </x:c>
      <x:c r="T1252" s="22" t="str">
        <x:f>IF(AND(COUNT($I$1252:$I$1256)=5,COUNT(E1252:F1252)=2),IF(E1252&gt;=F1252,"Ready","Budget below minima"),"Check inputs")</x:f>
        <x:v>Ready</x:v>
      </x:c>
      <x:c r="U1252" s="22" t="n">
        <x:f>IF(COUNT(I1252,M1252,N1252)=3,MAX(0,ROUND(I1252+M1252-N1252,2)),"n.a.")</x:f>
        <x:v>0</x:v>
      </x:c>
    </x:row>
    <x:row r="1253" ht="22" customHeight="1">
      <x:c r="A1253" s="2"/>
      <x:c r="B1253" s="2"/>
      <x:c r="C1253" s="27" t="n">
        <x:f>250</x:f>
        <x:v>250</x:v>
      </x:c>
      <x:c r="D1253" s="28" t="n">
        <x:f>IF(ISNUMBER('Inputs'!$D$7),EDATE('Inputs'!$D$7,249),"n.a.")</x:f>
        <x:v>53905</x:v>
      </x:c>
      <x:c r="E1253" s="26" t="n">
        <x:f>IF('Inputs'!$D$9&lt;&gt;"Ready","n.a.",IF(ISNUMBER('Inputs'!E268),IF('Inputs'!E268&gt;=0,'Inputs'!E268,"n.a."),IF('Inputs'!E268="",'Inputs'!$D$6,"n.a.")))</x:f>
        <x:v>500</x:v>
      </x:c>
      <x:c r="F1253" s="22" t="n">
        <x:f>IF(COUNT($N$1252:$N$1256)=5,SUM($N$1252:$N$1256),"n.a.")</x:f>
        <x:v>0</x:v>
      </x:c>
      <x:c r="G1253" s="22" t="n">
        <x:f>IF(COUNT(E1253:F1253)=2,MAX(0,E1253-F1253),"n.a.")</x:f>
        <x:v>500</x:v>
      </x:c>
      <x:c r="H1253" s="26" t="str">
        <x:f>'Inputs'!C12</x:f>
        <x:v>Card B</x:v>
      </x:c>
      <x:c r="I1253" s="26" t="n">
        <x:f>S1248</x:f>
        <x:v>0</x:v>
      </x:c>
      <x:c r="J1253" s="29" t="n">
        <x:f>IF('Inputs'!$D$9="Ready",'Inputs'!E12,"n.a.")</x:f>
        <x:v>0.18</x:v>
      </x:c>
      <x:c r="K1253" s="26" t="n">
        <x:f>IF('Inputs'!$D$9="Ready",'Inputs'!F12,"n.a.")</x:f>
        <x:v>60</x:v>
      </x:c>
      <x:c r="L1253" s="29" t="n">
        <x:f>IF('Inputs'!$D$9="Ready",'Inputs'!G12,"n.a.")</x:f>
        <x:v>0.02</x:v>
      </x:c>
      <x:c r="M1253" s="22" t="n">
        <x:f>IF(COUNT(I1253:L1253)=4,ROUND(I1253*J1253/12,2),"n.a.")</x:f>
        <x:v>0</x:v>
      </x:c>
      <x:c r="N1253" s="22" t="n">
        <x:f>IF(COUNT(I1253:M1253)=5,MIN(I1253+M1253,ROUND(MAX(K1253,I1253*L1253+M1253),2)),"n.a.")</x:f>
        <x:v>0</x:v>
      </x:c>
      <x:c r="O1253" s="30" t="n">
        <x:f>IF(COUNT($I$1252:$I$1256)&lt;&gt;5,"n.a.",IF(I1253=0,6,IF('Inputs'!$D$5=1,COUNTIFS($I$1252:$I$1256,"&gt;0",$I$1252:$I$1256,"&lt;"&amp;I1253)+COUNTIFS($I$1252:I1253,I1253),COUNTIFS($I$1252:$I$1256,"&gt;0",$J$1252:$J$1256,"&gt;"&amp;J1253)+COUNTIFS($I$1252:I1253,"&gt;0",$J$1252:J1253,J1253))))</x:f>
        <x:v>6</x:v>
      </x:c>
      <x:c r="P1253" s="22" t="n">
        <x:f>IF(T1253="Ready",MIN(U1253,MAX(0,G1253-SUMIFS($U$1252:$U$1256,$O$1252:$O$1256,"&lt;"&amp;O1253))),"n.a.")</x:f>
        <x:v>0</x:v>
      </x:c>
      <x:c r="Q1253" s="22" t="n">
        <x:f>IF(T1253="Ready",ROUND(N1253+P1253,2),"n.a.")</x:f>
        <x:v>0</x:v>
      </x:c>
      <x:c r="R1253" s="22" t="n">
        <x:f>IF(T1253="Ready",ROUND(Q1253-M1253,2),"n.a.")</x:f>
        <x:v>0</x:v>
      </x:c>
      <x:c r="S1253" s="22" t="n">
        <x:f>IF(T1253="Ready",MAX(0,ROUND(I1253+M1253-Q1253,2)),"n.a.")</x:f>
        <x:v>0</x:v>
      </x:c>
      <x:c r="T1253" s="22" t="str">
        <x:f>IF(AND(COUNT($I$1252:$I$1256)=5,COUNT(E1253:F1253)=2),IF(E1253&gt;=F1253,"Ready","Budget below minima"),"Check inputs")</x:f>
        <x:v>Ready</x:v>
      </x:c>
      <x:c r="U1253" s="22" t="n">
        <x:f>IF(COUNT(I1253,M1253,N1253)=3,MAX(0,ROUND(I1253+M1253-N1253,2)),"n.a.")</x:f>
        <x:v>0</x:v>
      </x:c>
    </x:row>
    <x:row r="1254" ht="22" customHeight="1">
      <x:c r="A1254" s="2"/>
      <x:c r="B1254" s="2"/>
      <x:c r="C1254" s="27" t="n">
        <x:f>250</x:f>
        <x:v>250</x:v>
      </x:c>
      <x:c r="D1254" s="28" t="n">
        <x:f>IF(ISNUMBER('Inputs'!$D$7),EDATE('Inputs'!$D$7,249),"n.a.")</x:f>
        <x:v>53905</x:v>
      </x:c>
      <x:c r="E1254" s="26" t="n">
        <x:f>IF('Inputs'!$D$9&lt;&gt;"Ready","n.a.",IF(ISNUMBER('Inputs'!E268),IF('Inputs'!E268&gt;=0,'Inputs'!E268,"n.a."),IF('Inputs'!E268="",'Inputs'!$D$6,"n.a.")))</x:f>
        <x:v>500</x:v>
      </x:c>
      <x:c r="F1254" s="22" t="n">
        <x:f>IF(COUNT($N$1252:$N$1256)=5,SUM($N$1252:$N$1256),"n.a.")</x:f>
        <x:v>0</x:v>
      </x:c>
      <x:c r="G1254" s="22" t="n">
        <x:f>IF(COUNT(E1254:F1254)=2,MAX(0,E1254-F1254),"n.a.")</x:f>
        <x:v>500</x:v>
      </x:c>
      <x:c r="H1254" s="26" t="str">
        <x:f>'Inputs'!C13</x:f>
        <x:v>Loan C</x:v>
      </x:c>
      <x:c r="I1254" s="26" t="n">
        <x:f>S1249</x:f>
        <x:v>0</x:v>
      </x:c>
      <x:c r="J1254" s="29" t="n">
        <x:f>IF('Inputs'!$D$9="Ready",'Inputs'!E13,"n.a.")</x:f>
        <x:v>0.08</x:v>
      </x:c>
      <x:c r="K1254" s="26" t="n">
        <x:f>IF('Inputs'!$D$9="Ready",'Inputs'!F13,"n.a.")</x:f>
        <x:v>150</x:v>
      </x:c>
      <x:c r="L1254" s="29" t="n">
        <x:f>IF('Inputs'!$D$9="Ready",'Inputs'!G13,"n.a.")</x:f>
        <x:v>0</x:v>
      </x:c>
      <x:c r="M1254" s="22" t="n">
        <x:f>IF(COUNT(I1254:L1254)=4,ROUND(I1254*J1254/12,2),"n.a.")</x:f>
        <x:v>0</x:v>
      </x:c>
      <x:c r="N1254" s="22" t="n">
        <x:f>IF(COUNT(I1254:M1254)=5,MIN(I1254+M1254,ROUND(MAX(K1254,I1254*L1254+M1254),2)),"n.a.")</x:f>
        <x:v>0</x:v>
      </x:c>
      <x:c r="O1254" s="30" t="n">
        <x:f>IF(COUNT($I$1252:$I$1256)&lt;&gt;5,"n.a.",IF(I1254=0,6,IF('Inputs'!$D$5=1,COUNTIFS($I$1252:$I$1256,"&gt;0",$I$1252:$I$1256,"&lt;"&amp;I1254)+COUNTIFS($I$1252:I1254,I1254),COUNTIFS($I$1252:$I$1256,"&gt;0",$J$1252:$J$1256,"&gt;"&amp;J1254)+COUNTIFS($I$1252:I1254,"&gt;0",$J$1252:J1254,J1254))))</x:f>
        <x:v>6</x:v>
      </x:c>
      <x:c r="P1254" s="22" t="n">
        <x:f>IF(T1254="Ready",MIN(U1254,MAX(0,G1254-SUMIFS($U$1252:$U$1256,$O$1252:$O$1256,"&lt;"&amp;O1254))),"n.a.")</x:f>
        <x:v>0</x:v>
      </x:c>
      <x:c r="Q1254" s="22" t="n">
        <x:f>IF(T1254="Ready",ROUND(N1254+P1254,2),"n.a.")</x:f>
        <x:v>0</x:v>
      </x:c>
      <x:c r="R1254" s="22" t="n">
        <x:f>IF(T1254="Ready",ROUND(Q1254-M1254,2),"n.a.")</x:f>
        <x:v>0</x:v>
      </x:c>
      <x:c r="S1254" s="22" t="n">
        <x:f>IF(T1254="Ready",MAX(0,ROUND(I1254+M1254-Q1254,2)),"n.a.")</x:f>
        <x:v>0</x:v>
      </x:c>
      <x:c r="T1254" s="22" t="str">
        <x:f>IF(AND(COUNT($I$1252:$I$1256)=5,COUNT(E1254:F1254)=2),IF(E1254&gt;=F1254,"Ready","Budget below minima"),"Check inputs")</x:f>
        <x:v>Ready</x:v>
      </x:c>
      <x:c r="U1254" s="22" t="n">
        <x:f>IF(COUNT(I1254,M1254,N1254)=3,MAX(0,ROUND(I1254+M1254-N1254,2)),"n.a.")</x:f>
        <x:v>0</x:v>
      </x:c>
    </x:row>
    <x:row r="1255" ht="22" customHeight="1">
      <x:c r="A1255" s="2"/>
      <x:c r="B1255" s="2"/>
      <x:c r="C1255" s="27" t="n">
        <x:f>250</x:f>
        <x:v>250</x:v>
      </x:c>
      <x:c r="D1255" s="28" t="n">
        <x:f>IF(ISNUMBER('Inputs'!$D$7),EDATE('Inputs'!$D$7,249),"n.a.")</x:f>
        <x:v>53905</x:v>
      </x:c>
      <x:c r="E1255" s="26" t="n">
        <x:f>IF('Inputs'!$D$9&lt;&gt;"Ready","n.a.",IF(ISNUMBER('Inputs'!E268),IF('Inputs'!E268&gt;=0,'Inputs'!E268,"n.a."),IF('Inputs'!E268="",'Inputs'!$D$6,"n.a.")))</x:f>
        <x:v>500</x:v>
      </x:c>
      <x:c r="F1255" s="22" t="n">
        <x:f>IF(COUNT($N$1252:$N$1256)=5,SUM($N$1252:$N$1256),"n.a.")</x:f>
        <x:v>0</x:v>
      </x:c>
      <x:c r="G1255" s="22" t="n">
        <x:f>IF(COUNT(E1255:F1255)=2,MAX(0,E1255-F1255),"n.a.")</x:f>
        <x:v>500</x:v>
      </x:c>
      <x:c r="H1255" s="26" t="str">
        <x:f>'Inputs'!C14</x:f>
        <x:v>Unused 4</x:v>
      </x:c>
      <x:c r="I1255" s="26" t="n">
        <x:f>S1250</x:f>
        <x:v>0</x:v>
      </x:c>
      <x:c r="J1255" s="29" t="n">
        <x:f>IF('Inputs'!$D$9="Ready",'Inputs'!E14,"n.a.")</x:f>
        <x:v>0</x:v>
      </x:c>
      <x:c r="K1255" s="26" t="n">
        <x:f>IF('Inputs'!$D$9="Ready",'Inputs'!F14,"n.a.")</x:f>
        <x:v>0</x:v>
      </x:c>
      <x:c r="L1255" s="29" t="n">
        <x:f>IF('Inputs'!$D$9="Ready",'Inputs'!G14,"n.a.")</x:f>
        <x:v>0</x:v>
      </x:c>
      <x:c r="M1255" s="22" t="n">
        <x:f>IF(COUNT(I1255:L1255)=4,ROUND(I1255*J1255/12,2),"n.a.")</x:f>
        <x:v>0</x:v>
      </x:c>
      <x:c r="N1255" s="22" t="n">
        <x:f>IF(COUNT(I1255:M1255)=5,MIN(I1255+M1255,ROUND(MAX(K1255,I1255*L1255+M1255),2)),"n.a.")</x:f>
        <x:v>0</x:v>
      </x:c>
      <x:c r="O1255" s="30" t="n">
        <x:f>IF(COUNT($I$1252:$I$1256)&lt;&gt;5,"n.a.",IF(I1255=0,6,IF('Inputs'!$D$5=1,COUNTIFS($I$1252:$I$1256,"&gt;0",$I$1252:$I$1256,"&lt;"&amp;I1255)+COUNTIFS($I$1252:I1255,I1255),COUNTIFS($I$1252:$I$1256,"&gt;0",$J$1252:$J$1256,"&gt;"&amp;J1255)+COUNTIFS($I$1252:I1255,"&gt;0",$J$1252:J1255,J1255))))</x:f>
        <x:v>6</x:v>
      </x:c>
      <x:c r="P1255" s="22" t="n">
        <x:f>IF(T1255="Ready",MIN(U1255,MAX(0,G1255-SUMIFS($U$1252:$U$1256,$O$1252:$O$1256,"&lt;"&amp;O1255))),"n.a.")</x:f>
        <x:v>0</x:v>
      </x:c>
      <x:c r="Q1255" s="22" t="n">
        <x:f>IF(T1255="Ready",ROUND(N1255+P1255,2),"n.a.")</x:f>
        <x:v>0</x:v>
      </x:c>
      <x:c r="R1255" s="22" t="n">
        <x:f>IF(T1255="Ready",ROUND(Q1255-M1255,2),"n.a.")</x:f>
        <x:v>0</x:v>
      </x:c>
      <x:c r="S1255" s="22" t="n">
        <x:f>IF(T1255="Ready",MAX(0,ROUND(I1255+M1255-Q1255,2)),"n.a.")</x:f>
        <x:v>0</x:v>
      </x:c>
      <x:c r="T1255" s="22" t="str">
        <x:f>IF(AND(COUNT($I$1252:$I$1256)=5,COUNT(E1255:F1255)=2),IF(E1255&gt;=F1255,"Ready","Budget below minima"),"Check inputs")</x:f>
        <x:v>Ready</x:v>
      </x:c>
      <x:c r="U1255" s="22" t="n">
        <x:f>IF(COUNT(I1255,M1255,N1255)=3,MAX(0,ROUND(I1255+M1255-N1255,2)),"n.a.")</x:f>
        <x:v>0</x:v>
      </x:c>
    </x:row>
    <x:row r="1256" ht="22" customHeight="1">
      <x:c r="A1256" s="2"/>
      <x:c r="B1256" s="2"/>
      <x:c r="C1256" s="27" t="n">
        <x:f>250</x:f>
        <x:v>250</x:v>
      </x:c>
      <x:c r="D1256" s="28" t="n">
        <x:f>IF(ISNUMBER('Inputs'!$D$7),EDATE('Inputs'!$D$7,249),"n.a.")</x:f>
        <x:v>53905</x:v>
      </x:c>
      <x:c r="E1256" s="26" t="n">
        <x:f>IF('Inputs'!$D$9&lt;&gt;"Ready","n.a.",IF(ISNUMBER('Inputs'!E268),IF('Inputs'!E268&gt;=0,'Inputs'!E268,"n.a."),IF('Inputs'!E268="",'Inputs'!$D$6,"n.a.")))</x:f>
        <x:v>500</x:v>
      </x:c>
      <x:c r="F1256" s="22" t="n">
        <x:f>IF(COUNT($N$1252:$N$1256)=5,SUM($N$1252:$N$1256),"n.a.")</x:f>
        <x:v>0</x:v>
      </x:c>
      <x:c r="G1256" s="22" t="n">
        <x:f>IF(COUNT(E1256:F1256)=2,MAX(0,E1256-F1256),"n.a.")</x:f>
        <x:v>500</x:v>
      </x:c>
      <x:c r="H1256" s="26" t="str">
        <x:f>'Inputs'!C15</x:f>
        <x:v>Unused 5</x:v>
      </x:c>
      <x:c r="I1256" s="26" t="n">
        <x:f>S1251</x:f>
        <x:v>0</x:v>
      </x:c>
      <x:c r="J1256" s="29" t="n">
        <x:f>IF('Inputs'!$D$9="Ready",'Inputs'!E15,"n.a.")</x:f>
        <x:v>0</x:v>
      </x:c>
      <x:c r="K1256" s="26" t="n">
        <x:f>IF('Inputs'!$D$9="Ready",'Inputs'!F15,"n.a.")</x:f>
        <x:v>0</x:v>
      </x:c>
      <x:c r="L1256" s="29" t="n">
        <x:f>IF('Inputs'!$D$9="Ready",'Inputs'!G15,"n.a.")</x:f>
        <x:v>0</x:v>
      </x:c>
      <x:c r="M1256" s="22" t="n">
        <x:f>IF(COUNT(I1256:L1256)=4,ROUND(I1256*J1256/12,2),"n.a.")</x:f>
        <x:v>0</x:v>
      </x:c>
      <x:c r="N1256" s="22" t="n">
        <x:f>IF(COUNT(I1256:M1256)=5,MIN(I1256+M1256,ROUND(MAX(K1256,I1256*L1256+M1256),2)),"n.a.")</x:f>
        <x:v>0</x:v>
      </x:c>
      <x:c r="O1256" s="30" t="n">
        <x:f>IF(COUNT($I$1252:$I$1256)&lt;&gt;5,"n.a.",IF(I1256=0,6,IF('Inputs'!$D$5=1,COUNTIFS($I$1252:$I$1256,"&gt;0",$I$1252:$I$1256,"&lt;"&amp;I1256)+COUNTIFS($I$1252:I1256,I1256),COUNTIFS($I$1252:$I$1256,"&gt;0",$J$1252:$J$1256,"&gt;"&amp;J1256)+COUNTIFS($I$1252:I1256,"&gt;0",$J$1252:J1256,J1256))))</x:f>
        <x:v>6</x:v>
      </x:c>
      <x:c r="P1256" s="22" t="n">
        <x:f>IF(T1256="Ready",MIN(U1256,MAX(0,G1256-SUMIFS($U$1252:$U$1256,$O$1252:$O$1256,"&lt;"&amp;O1256))),"n.a.")</x:f>
        <x:v>0</x:v>
      </x:c>
      <x:c r="Q1256" s="22" t="n">
        <x:f>IF(T1256="Ready",ROUND(N1256+P1256,2),"n.a.")</x:f>
        <x:v>0</x:v>
      </x:c>
      <x:c r="R1256" s="22" t="n">
        <x:f>IF(T1256="Ready",ROUND(Q1256-M1256,2),"n.a.")</x:f>
        <x:v>0</x:v>
      </x:c>
      <x:c r="S1256" s="22" t="n">
        <x:f>IF(T1256="Ready",MAX(0,ROUND(I1256+M1256-Q1256,2)),"n.a.")</x:f>
        <x:v>0</x:v>
      </x:c>
      <x:c r="T1256" s="22" t="str">
        <x:f>IF(AND(COUNT($I$1252:$I$1256)=5,COUNT(E1256:F1256)=2),IF(E1256&gt;=F1256,"Ready","Budget below minima"),"Check inputs")</x:f>
        <x:v>Ready</x:v>
      </x:c>
      <x:c r="U1256" s="22" t="n">
        <x:f>IF(COUNT(I1256,M1256,N1256)=3,MAX(0,ROUND(I1256+M1256-N1256,2)),"n.a.")</x:f>
        <x:v>0</x:v>
      </x:c>
    </x:row>
    <x:row r="1257" ht="22" customHeight="1">
      <x:c r="A1257" s="2"/>
      <x:c r="B1257" s="2"/>
      <x:c r="C1257" s="27" t="n">
        <x:f>251</x:f>
        <x:v>251</x:v>
      </x:c>
      <x:c r="D1257" s="28" t="n">
        <x:f>IF(ISNUMBER('Inputs'!$D$7),EDATE('Inputs'!$D$7,250),"n.a.")</x:f>
        <x:v>53936</x:v>
      </x:c>
      <x:c r="E1257" s="26" t="n">
        <x:f>IF('Inputs'!$D$9&lt;&gt;"Ready","n.a.",IF(ISNUMBER('Inputs'!E269),IF('Inputs'!E269&gt;=0,'Inputs'!E269,"n.a."),IF('Inputs'!E269="",'Inputs'!$D$6,"n.a.")))</x:f>
        <x:v>500</x:v>
      </x:c>
      <x:c r="F1257" s="22" t="n">
        <x:f>IF(COUNT($N$1257:$N$1261)=5,SUM($N$1257:$N$1261),"n.a.")</x:f>
        <x:v>0</x:v>
      </x:c>
      <x:c r="G1257" s="22" t="n">
        <x:f>IF(COUNT(E1257:F1257)=2,MAX(0,E1257-F1257),"n.a.")</x:f>
        <x:v>500</x:v>
      </x:c>
      <x:c r="H1257" s="26" t="str">
        <x:f>'Inputs'!C11</x:f>
        <x:v>Card A</x:v>
      </x:c>
      <x:c r="I1257" s="26" t="n">
        <x:f>S1252</x:f>
        <x:v>0</x:v>
      </x:c>
      <x:c r="J1257" s="29" t="n">
        <x:f>IF('Inputs'!$D$9="Ready",'Inputs'!E11,"n.a.")</x:f>
        <x:v>0.24</x:v>
      </x:c>
      <x:c r="K1257" s="26" t="n">
        <x:f>IF('Inputs'!$D$9="Ready",'Inputs'!F11,"n.a.")</x:f>
        <x:v>35</x:v>
      </x:c>
      <x:c r="L1257" s="29" t="n">
        <x:f>IF('Inputs'!$D$9="Ready",'Inputs'!G11,"n.a.")</x:f>
        <x:v>0.02</x:v>
      </x:c>
      <x:c r="M1257" s="22" t="n">
        <x:f>IF(COUNT(I1257:L1257)=4,ROUND(I1257*J1257/12,2),"n.a.")</x:f>
        <x:v>0</x:v>
      </x:c>
      <x:c r="N1257" s="22" t="n">
        <x:f>IF(COUNT(I1257:M1257)=5,MIN(I1257+M1257,ROUND(MAX(K1257,I1257*L1257+M1257),2)),"n.a.")</x:f>
        <x:v>0</x:v>
      </x:c>
      <x:c r="O1257" s="30" t="n">
        <x:f>IF(COUNT($I$1257:$I$1261)&lt;&gt;5,"n.a.",IF(I1257=0,6,IF('Inputs'!$D$5=1,COUNTIFS($I$1257:$I$1261,"&gt;0",$I$1257:$I$1261,"&lt;"&amp;I1257)+COUNTIFS($I$1257:I1257,I1257),COUNTIFS($I$1257:$I$1261,"&gt;0",$J$1257:$J$1261,"&gt;"&amp;J1257)+COUNTIFS($I$1257:I1257,"&gt;0",$J$1257:J1257,J1257))))</x:f>
        <x:v>6</x:v>
      </x:c>
      <x:c r="P1257" s="22" t="n">
        <x:f>IF(T1257="Ready",MIN(U1257,MAX(0,G1257-SUMIFS($U$1257:$U$1261,$O$1257:$O$1261,"&lt;"&amp;O1257))),"n.a.")</x:f>
        <x:v>0</x:v>
      </x:c>
      <x:c r="Q1257" s="22" t="n">
        <x:f>IF(T1257="Ready",ROUND(N1257+P1257,2),"n.a.")</x:f>
        <x:v>0</x:v>
      </x:c>
      <x:c r="R1257" s="22" t="n">
        <x:f>IF(T1257="Ready",ROUND(Q1257-M1257,2),"n.a.")</x:f>
        <x:v>0</x:v>
      </x:c>
      <x:c r="S1257" s="22" t="n">
        <x:f>IF(T1257="Ready",MAX(0,ROUND(I1257+M1257-Q1257,2)),"n.a.")</x:f>
        <x:v>0</x:v>
      </x:c>
      <x:c r="T1257" s="22" t="str">
        <x:f>IF(AND(COUNT($I$1257:$I$1261)=5,COUNT(E1257:F1257)=2),IF(E1257&gt;=F1257,"Ready","Budget below minima"),"Check inputs")</x:f>
        <x:v>Ready</x:v>
      </x:c>
      <x:c r="U1257" s="22" t="n">
        <x:f>IF(COUNT(I1257,M1257,N1257)=3,MAX(0,ROUND(I1257+M1257-N1257,2)),"n.a.")</x:f>
        <x:v>0</x:v>
      </x:c>
    </x:row>
    <x:row r="1258" ht="22" customHeight="1">
      <x:c r="A1258" s="2"/>
      <x:c r="B1258" s="2"/>
      <x:c r="C1258" s="27" t="n">
        <x:f>251</x:f>
        <x:v>251</x:v>
      </x:c>
      <x:c r="D1258" s="28" t="n">
        <x:f>IF(ISNUMBER('Inputs'!$D$7),EDATE('Inputs'!$D$7,250),"n.a.")</x:f>
        <x:v>53936</x:v>
      </x:c>
      <x:c r="E1258" s="26" t="n">
        <x:f>IF('Inputs'!$D$9&lt;&gt;"Ready","n.a.",IF(ISNUMBER('Inputs'!E269),IF('Inputs'!E269&gt;=0,'Inputs'!E269,"n.a."),IF('Inputs'!E269="",'Inputs'!$D$6,"n.a.")))</x:f>
        <x:v>500</x:v>
      </x:c>
      <x:c r="F1258" s="22" t="n">
        <x:f>IF(COUNT($N$1257:$N$1261)=5,SUM($N$1257:$N$1261),"n.a.")</x:f>
        <x:v>0</x:v>
      </x:c>
      <x:c r="G1258" s="22" t="n">
        <x:f>IF(COUNT(E1258:F1258)=2,MAX(0,E1258-F1258),"n.a.")</x:f>
        <x:v>500</x:v>
      </x:c>
      <x:c r="H1258" s="26" t="str">
        <x:f>'Inputs'!C12</x:f>
        <x:v>Card B</x:v>
      </x:c>
      <x:c r="I1258" s="26" t="n">
        <x:f>S1253</x:f>
        <x:v>0</x:v>
      </x:c>
      <x:c r="J1258" s="29" t="n">
        <x:f>IF('Inputs'!$D$9="Ready",'Inputs'!E12,"n.a.")</x:f>
        <x:v>0.18</x:v>
      </x:c>
      <x:c r="K1258" s="26" t="n">
        <x:f>IF('Inputs'!$D$9="Ready",'Inputs'!F12,"n.a.")</x:f>
        <x:v>60</x:v>
      </x:c>
      <x:c r="L1258" s="29" t="n">
        <x:f>IF('Inputs'!$D$9="Ready",'Inputs'!G12,"n.a.")</x:f>
        <x:v>0.02</x:v>
      </x:c>
      <x:c r="M1258" s="22" t="n">
        <x:f>IF(COUNT(I1258:L1258)=4,ROUND(I1258*J1258/12,2),"n.a.")</x:f>
        <x:v>0</x:v>
      </x:c>
      <x:c r="N1258" s="22" t="n">
        <x:f>IF(COUNT(I1258:M1258)=5,MIN(I1258+M1258,ROUND(MAX(K1258,I1258*L1258+M1258),2)),"n.a.")</x:f>
        <x:v>0</x:v>
      </x:c>
      <x:c r="O1258" s="30" t="n">
        <x:f>IF(COUNT($I$1257:$I$1261)&lt;&gt;5,"n.a.",IF(I1258=0,6,IF('Inputs'!$D$5=1,COUNTIFS($I$1257:$I$1261,"&gt;0",$I$1257:$I$1261,"&lt;"&amp;I1258)+COUNTIFS($I$1257:I1258,I1258),COUNTIFS($I$1257:$I$1261,"&gt;0",$J$1257:$J$1261,"&gt;"&amp;J1258)+COUNTIFS($I$1257:I1258,"&gt;0",$J$1257:J1258,J1258))))</x:f>
        <x:v>6</x:v>
      </x:c>
      <x:c r="P1258" s="22" t="n">
        <x:f>IF(T1258="Ready",MIN(U1258,MAX(0,G1258-SUMIFS($U$1257:$U$1261,$O$1257:$O$1261,"&lt;"&amp;O1258))),"n.a.")</x:f>
        <x:v>0</x:v>
      </x:c>
      <x:c r="Q1258" s="22" t="n">
        <x:f>IF(T1258="Ready",ROUND(N1258+P1258,2),"n.a.")</x:f>
        <x:v>0</x:v>
      </x:c>
      <x:c r="R1258" s="22" t="n">
        <x:f>IF(T1258="Ready",ROUND(Q1258-M1258,2),"n.a.")</x:f>
        <x:v>0</x:v>
      </x:c>
      <x:c r="S1258" s="22" t="n">
        <x:f>IF(T1258="Ready",MAX(0,ROUND(I1258+M1258-Q1258,2)),"n.a.")</x:f>
        <x:v>0</x:v>
      </x:c>
      <x:c r="T1258" s="22" t="str">
        <x:f>IF(AND(COUNT($I$1257:$I$1261)=5,COUNT(E1258:F1258)=2),IF(E1258&gt;=F1258,"Ready","Budget below minima"),"Check inputs")</x:f>
        <x:v>Ready</x:v>
      </x:c>
      <x:c r="U1258" s="22" t="n">
        <x:f>IF(COUNT(I1258,M1258,N1258)=3,MAX(0,ROUND(I1258+M1258-N1258,2)),"n.a.")</x:f>
        <x:v>0</x:v>
      </x:c>
    </x:row>
    <x:row r="1259" ht="22" customHeight="1">
      <x:c r="A1259" s="2"/>
      <x:c r="B1259" s="2"/>
      <x:c r="C1259" s="27" t="n">
        <x:f>251</x:f>
        <x:v>251</x:v>
      </x:c>
      <x:c r="D1259" s="28" t="n">
        <x:f>IF(ISNUMBER('Inputs'!$D$7),EDATE('Inputs'!$D$7,250),"n.a.")</x:f>
        <x:v>53936</x:v>
      </x:c>
      <x:c r="E1259" s="26" t="n">
        <x:f>IF('Inputs'!$D$9&lt;&gt;"Ready","n.a.",IF(ISNUMBER('Inputs'!E269),IF('Inputs'!E269&gt;=0,'Inputs'!E269,"n.a."),IF('Inputs'!E269="",'Inputs'!$D$6,"n.a.")))</x:f>
        <x:v>500</x:v>
      </x:c>
      <x:c r="F1259" s="22" t="n">
        <x:f>IF(COUNT($N$1257:$N$1261)=5,SUM($N$1257:$N$1261),"n.a.")</x:f>
        <x:v>0</x:v>
      </x:c>
      <x:c r="G1259" s="22" t="n">
        <x:f>IF(COUNT(E1259:F1259)=2,MAX(0,E1259-F1259),"n.a.")</x:f>
        <x:v>500</x:v>
      </x:c>
      <x:c r="H1259" s="26" t="str">
        <x:f>'Inputs'!C13</x:f>
        <x:v>Loan C</x:v>
      </x:c>
      <x:c r="I1259" s="26" t="n">
        <x:f>S1254</x:f>
        <x:v>0</x:v>
      </x:c>
      <x:c r="J1259" s="29" t="n">
        <x:f>IF('Inputs'!$D$9="Ready",'Inputs'!E13,"n.a.")</x:f>
        <x:v>0.08</x:v>
      </x:c>
      <x:c r="K1259" s="26" t="n">
        <x:f>IF('Inputs'!$D$9="Ready",'Inputs'!F13,"n.a.")</x:f>
        <x:v>150</x:v>
      </x:c>
      <x:c r="L1259" s="29" t="n">
        <x:f>IF('Inputs'!$D$9="Ready",'Inputs'!G13,"n.a.")</x:f>
        <x:v>0</x:v>
      </x:c>
      <x:c r="M1259" s="22" t="n">
        <x:f>IF(COUNT(I1259:L1259)=4,ROUND(I1259*J1259/12,2),"n.a.")</x:f>
        <x:v>0</x:v>
      </x:c>
      <x:c r="N1259" s="22" t="n">
        <x:f>IF(COUNT(I1259:M1259)=5,MIN(I1259+M1259,ROUND(MAX(K1259,I1259*L1259+M1259),2)),"n.a.")</x:f>
        <x:v>0</x:v>
      </x:c>
      <x:c r="O1259" s="30" t="n">
        <x:f>IF(COUNT($I$1257:$I$1261)&lt;&gt;5,"n.a.",IF(I1259=0,6,IF('Inputs'!$D$5=1,COUNTIFS($I$1257:$I$1261,"&gt;0",$I$1257:$I$1261,"&lt;"&amp;I1259)+COUNTIFS($I$1257:I1259,I1259),COUNTIFS($I$1257:$I$1261,"&gt;0",$J$1257:$J$1261,"&gt;"&amp;J1259)+COUNTIFS($I$1257:I1259,"&gt;0",$J$1257:J1259,J1259))))</x:f>
        <x:v>6</x:v>
      </x:c>
      <x:c r="P1259" s="22" t="n">
        <x:f>IF(T1259="Ready",MIN(U1259,MAX(0,G1259-SUMIFS($U$1257:$U$1261,$O$1257:$O$1261,"&lt;"&amp;O1259))),"n.a.")</x:f>
        <x:v>0</x:v>
      </x:c>
      <x:c r="Q1259" s="22" t="n">
        <x:f>IF(T1259="Ready",ROUND(N1259+P1259,2),"n.a.")</x:f>
        <x:v>0</x:v>
      </x:c>
      <x:c r="R1259" s="22" t="n">
        <x:f>IF(T1259="Ready",ROUND(Q1259-M1259,2),"n.a.")</x:f>
        <x:v>0</x:v>
      </x:c>
      <x:c r="S1259" s="22" t="n">
        <x:f>IF(T1259="Ready",MAX(0,ROUND(I1259+M1259-Q1259,2)),"n.a.")</x:f>
        <x:v>0</x:v>
      </x:c>
      <x:c r="T1259" s="22" t="str">
        <x:f>IF(AND(COUNT($I$1257:$I$1261)=5,COUNT(E1259:F1259)=2),IF(E1259&gt;=F1259,"Ready","Budget below minima"),"Check inputs")</x:f>
        <x:v>Ready</x:v>
      </x:c>
      <x:c r="U1259" s="22" t="n">
        <x:f>IF(COUNT(I1259,M1259,N1259)=3,MAX(0,ROUND(I1259+M1259-N1259,2)),"n.a.")</x:f>
        <x:v>0</x:v>
      </x:c>
    </x:row>
    <x:row r="1260" ht="22" customHeight="1">
      <x:c r="A1260" s="2"/>
      <x:c r="B1260" s="2"/>
      <x:c r="C1260" s="27" t="n">
        <x:f>251</x:f>
        <x:v>251</x:v>
      </x:c>
      <x:c r="D1260" s="28" t="n">
        <x:f>IF(ISNUMBER('Inputs'!$D$7),EDATE('Inputs'!$D$7,250),"n.a.")</x:f>
        <x:v>53936</x:v>
      </x:c>
      <x:c r="E1260" s="26" t="n">
        <x:f>IF('Inputs'!$D$9&lt;&gt;"Ready","n.a.",IF(ISNUMBER('Inputs'!E269),IF('Inputs'!E269&gt;=0,'Inputs'!E269,"n.a."),IF('Inputs'!E269="",'Inputs'!$D$6,"n.a.")))</x:f>
        <x:v>500</x:v>
      </x:c>
      <x:c r="F1260" s="22" t="n">
        <x:f>IF(COUNT($N$1257:$N$1261)=5,SUM($N$1257:$N$1261),"n.a.")</x:f>
        <x:v>0</x:v>
      </x:c>
      <x:c r="G1260" s="22" t="n">
        <x:f>IF(COUNT(E1260:F1260)=2,MAX(0,E1260-F1260),"n.a.")</x:f>
        <x:v>500</x:v>
      </x:c>
      <x:c r="H1260" s="26" t="str">
        <x:f>'Inputs'!C14</x:f>
        <x:v>Unused 4</x:v>
      </x:c>
      <x:c r="I1260" s="26" t="n">
        <x:f>S1255</x:f>
        <x:v>0</x:v>
      </x:c>
      <x:c r="J1260" s="29" t="n">
        <x:f>IF('Inputs'!$D$9="Ready",'Inputs'!E14,"n.a.")</x:f>
        <x:v>0</x:v>
      </x:c>
      <x:c r="K1260" s="26" t="n">
        <x:f>IF('Inputs'!$D$9="Ready",'Inputs'!F14,"n.a.")</x:f>
        <x:v>0</x:v>
      </x:c>
      <x:c r="L1260" s="29" t="n">
        <x:f>IF('Inputs'!$D$9="Ready",'Inputs'!G14,"n.a.")</x:f>
        <x:v>0</x:v>
      </x:c>
      <x:c r="M1260" s="22" t="n">
        <x:f>IF(COUNT(I1260:L1260)=4,ROUND(I1260*J1260/12,2),"n.a.")</x:f>
        <x:v>0</x:v>
      </x:c>
      <x:c r="N1260" s="22" t="n">
        <x:f>IF(COUNT(I1260:M1260)=5,MIN(I1260+M1260,ROUND(MAX(K1260,I1260*L1260+M1260),2)),"n.a.")</x:f>
        <x:v>0</x:v>
      </x:c>
      <x:c r="O1260" s="30" t="n">
        <x:f>IF(COUNT($I$1257:$I$1261)&lt;&gt;5,"n.a.",IF(I1260=0,6,IF('Inputs'!$D$5=1,COUNTIFS($I$1257:$I$1261,"&gt;0",$I$1257:$I$1261,"&lt;"&amp;I1260)+COUNTIFS($I$1257:I1260,I1260),COUNTIFS($I$1257:$I$1261,"&gt;0",$J$1257:$J$1261,"&gt;"&amp;J1260)+COUNTIFS($I$1257:I1260,"&gt;0",$J$1257:J1260,J1260))))</x:f>
        <x:v>6</x:v>
      </x:c>
      <x:c r="P1260" s="22" t="n">
        <x:f>IF(T1260="Ready",MIN(U1260,MAX(0,G1260-SUMIFS($U$1257:$U$1261,$O$1257:$O$1261,"&lt;"&amp;O1260))),"n.a.")</x:f>
        <x:v>0</x:v>
      </x:c>
      <x:c r="Q1260" s="22" t="n">
        <x:f>IF(T1260="Ready",ROUND(N1260+P1260,2),"n.a.")</x:f>
        <x:v>0</x:v>
      </x:c>
      <x:c r="R1260" s="22" t="n">
        <x:f>IF(T1260="Ready",ROUND(Q1260-M1260,2),"n.a.")</x:f>
        <x:v>0</x:v>
      </x:c>
      <x:c r="S1260" s="22" t="n">
        <x:f>IF(T1260="Ready",MAX(0,ROUND(I1260+M1260-Q1260,2)),"n.a.")</x:f>
        <x:v>0</x:v>
      </x:c>
      <x:c r="T1260" s="22" t="str">
        <x:f>IF(AND(COUNT($I$1257:$I$1261)=5,COUNT(E1260:F1260)=2),IF(E1260&gt;=F1260,"Ready","Budget below minima"),"Check inputs")</x:f>
        <x:v>Ready</x:v>
      </x:c>
      <x:c r="U1260" s="22" t="n">
        <x:f>IF(COUNT(I1260,M1260,N1260)=3,MAX(0,ROUND(I1260+M1260-N1260,2)),"n.a.")</x:f>
        <x:v>0</x:v>
      </x:c>
    </x:row>
    <x:row r="1261" ht="22" customHeight="1">
      <x:c r="A1261" s="2"/>
      <x:c r="B1261" s="2"/>
      <x:c r="C1261" s="27" t="n">
        <x:f>251</x:f>
        <x:v>251</x:v>
      </x:c>
      <x:c r="D1261" s="28" t="n">
        <x:f>IF(ISNUMBER('Inputs'!$D$7),EDATE('Inputs'!$D$7,250),"n.a.")</x:f>
        <x:v>53936</x:v>
      </x:c>
      <x:c r="E1261" s="26" t="n">
        <x:f>IF('Inputs'!$D$9&lt;&gt;"Ready","n.a.",IF(ISNUMBER('Inputs'!E269),IF('Inputs'!E269&gt;=0,'Inputs'!E269,"n.a."),IF('Inputs'!E269="",'Inputs'!$D$6,"n.a.")))</x:f>
        <x:v>500</x:v>
      </x:c>
      <x:c r="F1261" s="22" t="n">
        <x:f>IF(COUNT($N$1257:$N$1261)=5,SUM($N$1257:$N$1261),"n.a.")</x:f>
        <x:v>0</x:v>
      </x:c>
      <x:c r="G1261" s="22" t="n">
        <x:f>IF(COUNT(E1261:F1261)=2,MAX(0,E1261-F1261),"n.a.")</x:f>
        <x:v>500</x:v>
      </x:c>
      <x:c r="H1261" s="26" t="str">
        <x:f>'Inputs'!C15</x:f>
        <x:v>Unused 5</x:v>
      </x:c>
      <x:c r="I1261" s="26" t="n">
        <x:f>S1256</x:f>
        <x:v>0</x:v>
      </x:c>
      <x:c r="J1261" s="29" t="n">
        <x:f>IF('Inputs'!$D$9="Ready",'Inputs'!E15,"n.a.")</x:f>
        <x:v>0</x:v>
      </x:c>
      <x:c r="K1261" s="26" t="n">
        <x:f>IF('Inputs'!$D$9="Ready",'Inputs'!F15,"n.a.")</x:f>
        <x:v>0</x:v>
      </x:c>
      <x:c r="L1261" s="29" t="n">
        <x:f>IF('Inputs'!$D$9="Ready",'Inputs'!G15,"n.a.")</x:f>
        <x:v>0</x:v>
      </x:c>
      <x:c r="M1261" s="22" t="n">
        <x:f>IF(COUNT(I1261:L1261)=4,ROUND(I1261*J1261/12,2),"n.a.")</x:f>
        <x:v>0</x:v>
      </x:c>
      <x:c r="N1261" s="22" t="n">
        <x:f>IF(COUNT(I1261:M1261)=5,MIN(I1261+M1261,ROUND(MAX(K1261,I1261*L1261+M1261),2)),"n.a.")</x:f>
        <x:v>0</x:v>
      </x:c>
      <x:c r="O1261" s="30" t="n">
        <x:f>IF(COUNT($I$1257:$I$1261)&lt;&gt;5,"n.a.",IF(I1261=0,6,IF('Inputs'!$D$5=1,COUNTIFS($I$1257:$I$1261,"&gt;0",$I$1257:$I$1261,"&lt;"&amp;I1261)+COUNTIFS($I$1257:I1261,I1261),COUNTIFS($I$1257:$I$1261,"&gt;0",$J$1257:$J$1261,"&gt;"&amp;J1261)+COUNTIFS($I$1257:I1261,"&gt;0",$J$1257:J1261,J1261))))</x:f>
        <x:v>6</x:v>
      </x:c>
      <x:c r="P1261" s="22" t="n">
        <x:f>IF(T1261="Ready",MIN(U1261,MAX(0,G1261-SUMIFS($U$1257:$U$1261,$O$1257:$O$1261,"&lt;"&amp;O1261))),"n.a.")</x:f>
        <x:v>0</x:v>
      </x:c>
      <x:c r="Q1261" s="22" t="n">
        <x:f>IF(T1261="Ready",ROUND(N1261+P1261,2),"n.a.")</x:f>
        <x:v>0</x:v>
      </x:c>
      <x:c r="R1261" s="22" t="n">
        <x:f>IF(T1261="Ready",ROUND(Q1261-M1261,2),"n.a.")</x:f>
        <x:v>0</x:v>
      </x:c>
      <x:c r="S1261" s="22" t="n">
        <x:f>IF(T1261="Ready",MAX(0,ROUND(I1261+M1261-Q1261,2)),"n.a.")</x:f>
        <x:v>0</x:v>
      </x:c>
      <x:c r="T1261" s="22" t="str">
        <x:f>IF(AND(COUNT($I$1257:$I$1261)=5,COUNT(E1261:F1261)=2),IF(E1261&gt;=F1261,"Ready","Budget below minima"),"Check inputs")</x:f>
        <x:v>Ready</x:v>
      </x:c>
      <x:c r="U1261" s="22" t="n">
        <x:f>IF(COUNT(I1261,M1261,N1261)=3,MAX(0,ROUND(I1261+M1261-N1261,2)),"n.a.")</x:f>
        <x:v>0</x:v>
      </x:c>
    </x:row>
    <x:row r="1262" ht="22" customHeight="1">
      <x:c r="A1262" s="2"/>
      <x:c r="B1262" s="2"/>
      <x:c r="C1262" s="27" t="n">
        <x:f>252</x:f>
        <x:v>252</x:v>
      </x:c>
      <x:c r="D1262" s="28" t="n">
        <x:f>IF(ISNUMBER('Inputs'!$D$7),EDATE('Inputs'!$D$7,251),"n.a.")</x:f>
        <x:v>53966</x:v>
      </x:c>
      <x:c r="E1262" s="26" t="n">
        <x:f>IF('Inputs'!$D$9&lt;&gt;"Ready","n.a.",IF(ISNUMBER('Inputs'!E270),IF('Inputs'!E270&gt;=0,'Inputs'!E270,"n.a."),IF('Inputs'!E270="",'Inputs'!$D$6,"n.a.")))</x:f>
        <x:v>500</x:v>
      </x:c>
      <x:c r="F1262" s="22" t="n">
        <x:f>IF(COUNT($N$1262:$N$1266)=5,SUM($N$1262:$N$1266),"n.a.")</x:f>
        <x:v>0</x:v>
      </x:c>
      <x:c r="G1262" s="22" t="n">
        <x:f>IF(COUNT(E1262:F1262)=2,MAX(0,E1262-F1262),"n.a.")</x:f>
        <x:v>500</x:v>
      </x:c>
      <x:c r="H1262" s="26" t="str">
        <x:f>'Inputs'!C11</x:f>
        <x:v>Card A</x:v>
      </x:c>
      <x:c r="I1262" s="26" t="n">
        <x:f>S1257</x:f>
        <x:v>0</x:v>
      </x:c>
      <x:c r="J1262" s="29" t="n">
        <x:f>IF('Inputs'!$D$9="Ready",'Inputs'!E11,"n.a.")</x:f>
        <x:v>0.24</x:v>
      </x:c>
      <x:c r="K1262" s="26" t="n">
        <x:f>IF('Inputs'!$D$9="Ready",'Inputs'!F11,"n.a.")</x:f>
        <x:v>35</x:v>
      </x:c>
      <x:c r="L1262" s="29" t="n">
        <x:f>IF('Inputs'!$D$9="Ready",'Inputs'!G11,"n.a.")</x:f>
        <x:v>0.02</x:v>
      </x:c>
      <x:c r="M1262" s="22" t="n">
        <x:f>IF(COUNT(I1262:L1262)=4,ROUND(I1262*J1262/12,2),"n.a.")</x:f>
        <x:v>0</x:v>
      </x:c>
      <x:c r="N1262" s="22" t="n">
        <x:f>IF(COUNT(I1262:M1262)=5,MIN(I1262+M1262,ROUND(MAX(K1262,I1262*L1262+M1262),2)),"n.a.")</x:f>
        <x:v>0</x:v>
      </x:c>
      <x:c r="O1262" s="30" t="n">
        <x:f>IF(COUNT($I$1262:$I$1266)&lt;&gt;5,"n.a.",IF(I1262=0,6,IF('Inputs'!$D$5=1,COUNTIFS($I$1262:$I$1266,"&gt;0",$I$1262:$I$1266,"&lt;"&amp;I1262)+COUNTIFS($I$1262:I1262,I1262),COUNTIFS($I$1262:$I$1266,"&gt;0",$J$1262:$J$1266,"&gt;"&amp;J1262)+COUNTIFS($I$1262:I1262,"&gt;0",$J$1262:J1262,J1262))))</x:f>
        <x:v>6</x:v>
      </x:c>
      <x:c r="P1262" s="22" t="n">
        <x:f>IF(T1262="Ready",MIN(U1262,MAX(0,G1262-SUMIFS($U$1262:$U$1266,$O$1262:$O$1266,"&lt;"&amp;O1262))),"n.a.")</x:f>
        <x:v>0</x:v>
      </x:c>
      <x:c r="Q1262" s="22" t="n">
        <x:f>IF(T1262="Ready",ROUND(N1262+P1262,2),"n.a.")</x:f>
        <x:v>0</x:v>
      </x:c>
      <x:c r="R1262" s="22" t="n">
        <x:f>IF(T1262="Ready",ROUND(Q1262-M1262,2),"n.a.")</x:f>
        <x:v>0</x:v>
      </x:c>
      <x:c r="S1262" s="22" t="n">
        <x:f>IF(T1262="Ready",MAX(0,ROUND(I1262+M1262-Q1262,2)),"n.a.")</x:f>
        <x:v>0</x:v>
      </x:c>
      <x:c r="T1262" s="22" t="str">
        <x:f>IF(AND(COUNT($I$1262:$I$1266)=5,COUNT(E1262:F1262)=2),IF(E1262&gt;=F1262,"Ready","Budget below minima"),"Check inputs")</x:f>
        <x:v>Ready</x:v>
      </x:c>
      <x:c r="U1262" s="22" t="n">
        <x:f>IF(COUNT(I1262,M1262,N1262)=3,MAX(0,ROUND(I1262+M1262-N1262,2)),"n.a.")</x:f>
        <x:v>0</x:v>
      </x:c>
    </x:row>
    <x:row r="1263" ht="22" customHeight="1">
      <x:c r="A1263" s="2"/>
      <x:c r="B1263" s="2"/>
      <x:c r="C1263" s="27" t="n">
        <x:f>252</x:f>
        <x:v>252</x:v>
      </x:c>
      <x:c r="D1263" s="28" t="n">
        <x:f>IF(ISNUMBER('Inputs'!$D$7),EDATE('Inputs'!$D$7,251),"n.a.")</x:f>
        <x:v>53966</x:v>
      </x:c>
      <x:c r="E1263" s="26" t="n">
        <x:f>IF('Inputs'!$D$9&lt;&gt;"Ready","n.a.",IF(ISNUMBER('Inputs'!E270),IF('Inputs'!E270&gt;=0,'Inputs'!E270,"n.a."),IF('Inputs'!E270="",'Inputs'!$D$6,"n.a.")))</x:f>
        <x:v>500</x:v>
      </x:c>
      <x:c r="F1263" s="22" t="n">
        <x:f>IF(COUNT($N$1262:$N$1266)=5,SUM($N$1262:$N$1266),"n.a.")</x:f>
        <x:v>0</x:v>
      </x:c>
      <x:c r="G1263" s="22" t="n">
        <x:f>IF(COUNT(E1263:F1263)=2,MAX(0,E1263-F1263),"n.a.")</x:f>
        <x:v>500</x:v>
      </x:c>
      <x:c r="H1263" s="26" t="str">
        <x:f>'Inputs'!C12</x:f>
        <x:v>Card B</x:v>
      </x:c>
      <x:c r="I1263" s="26" t="n">
        <x:f>S1258</x:f>
        <x:v>0</x:v>
      </x:c>
      <x:c r="J1263" s="29" t="n">
        <x:f>IF('Inputs'!$D$9="Ready",'Inputs'!E12,"n.a.")</x:f>
        <x:v>0.18</x:v>
      </x:c>
      <x:c r="K1263" s="26" t="n">
        <x:f>IF('Inputs'!$D$9="Ready",'Inputs'!F12,"n.a.")</x:f>
        <x:v>60</x:v>
      </x:c>
      <x:c r="L1263" s="29" t="n">
        <x:f>IF('Inputs'!$D$9="Ready",'Inputs'!G12,"n.a.")</x:f>
        <x:v>0.02</x:v>
      </x:c>
      <x:c r="M1263" s="22" t="n">
        <x:f>IF(COUNT(I1263:L1263)=4,ROUND(I1263*J1263/12,2),"n.a.")</x:f>
        <x:v>0</x:v>
      </x:c>
      <x:c r="N1263" s="22" t="n">
        <x:f>IF(COUNT(I1263:M1263)=5,MIN(I1263+M1263,ROUND(MAX(K1263,I1263*L1263+M1263),2)),"n.a.")</x:f>
        <x:v>0</x:v>
      </x:c>
      <x:c r="O1263" s="30" t="n">
        <x:f>IF(COUNT($I$1262:$I$1266)&lt;&gt;5,"n.a.",IF(I1263=0,6,IF('Inputs'!$D$5=1,COUNTIFS($I$1262:$I$1266,"&gt;0",$I$1262:$I$1266,"&lt;"&amp;I1263)+COUNTIFS($I$1262:I1263,I1263),COUNTIFS($I$1262:$I$1266,"&gt;0",$J$1262:$J$1266,"&gt;"&amp;J1263)+COUNTIFS($I$1262:I1263,"&gt;0",$J$1262:J1263,J1263))))</x:f>
        <x:v>6</x:v>
      </x:c>
      <x:c r="P1263" s="22" t="n">
        <x:f>IF(T1263="Ready",MIN(U1263,MAX(0,G1263-SUMIFS($U$1262:$U$1266,$O$1262:$O$1266,"&lt;"&amp;O1263))),"n.a.")</x:f>
        <x:v>0</x:v>
      </x:c>
      <x:c r="Q1263" s="22" t="n">
        <x:f>IF(T1263="Ready",ROUND(N1263+P1263,2),"n.a.")</x:f>
        <x:v>0</x:v>
      </x:c>
      <x:c r="R1263" s="22" t="n">
        <x:f>IF(T1263="Ready",ROUND(Q1263-M1263,2),"n.a.")</x:f>
        <x:v>0</x:v>
      </x:c>
      <x:c r="S1263" s="22" t="n">
        <x:f>IF(T1263="Ready",MAX(0,ROUND(I1263+M1263-Q1263,2)),"n.a.")</x:f>
        <x:v>0</x:v>
      </x:c>
      <x:c r="T1263" s="22" t="str">
        <x:f>IF(AND(COUNT($I$1262:$I$1266)=5,COUNT(E1263:F1263)=2),IF(E1263&gt;=F1263,"Ready","Budget below minima"),"Check inputs")</x:f>
        <x:v>Ready</x:v>
      </x:c>
      <x:c r="U1263" s="22" t="n">
        <x:f>IF(COUNT(I1263,M1263,N1263)=3,MAX(0,ROUND(I1263+M1263-N1263,2)),"n.a.")</x:f>
        <x:v>0</x:v>
      </x:c>
    </x:row>
    <x:row r="1264" ht="22" customHeight="1">
      <x:c r="A1264" s="2"/>
      <x:c r="B1264" s="2"/>
      <x:c r="C1264" s="27" t="n">
        <x:f>252</x:f>
        <x:v>252</x:v>
      </x:c>
      <x:c r="D1264" s="28" t="n">
        <x:f>IF(ISNUMBER('Inputs'!$D$7),EDATE('Inputs'!$D$7,251),"n.a.")</x:f>
        <x:v>53966</x:v>
      </x:c>
      <x:c r="E1264" s="26" t="n">
        <x:f>IF('Inputs'!$D$9&lt;&gt;"Ready","n.a.",IF(ISNUMBER('Inputs'!E270),IF('Inputs'!E270&gt;=0,'Inputs'!E270,"n.a."),IF('Inputs'!E270="",'Inputs'!$D$6,"n.a.")))</x:f>
        <x:v>500</x:v>
      </x:c>
      <x:c r="F1264" s="22" t="n">
        <x:f>IF(COUNT($N$1262:$N$1266)=5,SUM($N$1262:$N$1266),"n.a.")</x:f>
        <x:v>0</x:v>
      </x:c>
      <x:c r="G1264" s="22" t="n">
        <x:f>IF(COUNT(E1264:F1264)=2,MAX(0,E1264-F1264),"n.a.")</x:f>
        <x:v>500</x:v>
      </x:c>
      <x:c r="H1264" s="26" t="str">
        <x:f>'Inputs'!C13</x:f>
        <x:v>Loan C</x:v>
      </x:c>
      <x:c r="I1264" s="26" t="n">
        <x:f>S1259</x:f>
        <x:v>0</x:v>
      </x:c>
      <x:c r="J1264" s="29" t="n">
        <x:f>IF('Inputs'!$D$9="Ready",'Inputs'!E13,"n.a.")</x:f>
        <x:v>0.08</x:v>
      </x:c>
      <x:c r="K1264" s="26" t="n">
        <x:f>IF('Inputs'!$D$9="Ready",'Inputs'!F13,"n.a.")</x:f>
        <x:v>150</x:v>
      </x:c>
      <x:c r="L1264" s="29" t="n">
        <x:f>IF('Inputs'!$D$9="Ready",'Inputs'!G13,"n.a.")</x:f>
        <x:v>0</x:v>
      </x:c>
      <x:c r="M1264" s="22" t="n">
        <x:f>IF(COUNT(I1264:L1264)=4,ROUND(I1264*J1264/12,2),"n.a.")</x:f>
        <x:v>0</x:v>
      </x:c>
      <x:c r="N1264" s="22" t="n">
        <x:f>IF(COUNT(I1264:M1264)=5,MIN(I1264+M1264,ROUND(MAX(K1264,I1264*L1264+M1264),2)),"n.a.")</x:f>
        <x:v>0</x:v>
      </x:c>
      <x:c r="O1264" s="30" t="n">
        <x:f>IF(COUNT($I$1262:$I$1266)&lt;&gt;5,"n.a.",IF(I1264=0,6,IF('Inputs'!$D$5=1,COUNTIFS($I$1262:$I$1266,"&gt;0",$I$1262:$I$1266,"&lt;"&amp;I1264)+COUNTIFS($I$1262:I1264,I1264),COUNTIFS($I$1262:$I$1266,"&gt;0",$J$1262:$J$1266,"&gt;"&amp;J1264)+COUNTIFS($I$1262:I1264,"&gt;0",$J$1262:J1264,J1264))))</x:f>
        <x:v>6</x:v>
      </x:c>
      <x:c r="P1264" s="22" t="n">
        <x:f>IF(T1264="Ready",MIN(U1264,MAX(0,G1264-SUMIFS($U$1262:$U$1266,$O$1262:$O$1266,"&lt;"&amp;O1264))),"n.a.")</x:f>
        <x:v>0</x:v>
      </x:c>
      <x:c r="Q1264" s="22" t="n">
        <x:f>IF(T1264="Ready",ROUND(N1264+P1264,2),"n.a.")</x:f>
        <x:v>0</x:v>
      </x:c>
      <x:c r="R1264" s="22" t="n">
        <x:f>IF(T1264="Ready",ROUND(Q1264-M1264,2),"n.a.")</x:f>
        <x:v>0</x:v>
      </x:c>
      <x:c r="S1264" s="22" t="n">
        <x:f>IF(T1264="Ready",MAX(0,ROUND(I1264+M1264-Q1264,2)),"n.a.")</x:f>
        <x:v>0</x:v>
      </x:c>
      <x:c r="T1264" s="22" t="str">
        <x:f>IF(AND(COUNT($I$1262:$I$1266)=5,COUNT(E1264:F1264)=2),IF(E1264&gt;=F1264,"Ready","Budget below minima"),"Check inputs")</x:f>
        <x:v>Ready</x:v>
      </x:c>
      <x:c r="U1264" s="22" t="n">
        <x:f>IF(COUNT(I1264,M1264,N1264)=3,MAX(0,ROUND(I1264+M1264-N1264,2)),"n.a.")</x:f>
        <x:v>0</x:v>
      </x:c>
    </x:row>
    <x:row r="1265" ht="22" customHeight="1">
      <x:c r="A1265" s="2"/>
      <x:c r="B1265" s="2"/>
      <x:c r="C1265" s="27" t="n">
        <x:f>252</x:f>
        <x:v>252</x:v>
      </x:c>
      <x:c r="D1265" s="28" t="n">
        <x:f>IF(ISNUMBER('Inputs'!$D$7),EDATE('Inputs'!$D$7,251),"n.a.")</x:f>
        <x:v>53966</x:v>
      </x:c>
      <x:c r="E1265" s="26" t="n">
        <x:f>IF('Inputs'!$D$9&lt;&gt;"Ready","n.a.",IF(ISNUMBER('Inputs'!E270),IF('Inputs'!E270&gt;=0,'Inputs'!E270,"n.a."),IF('Inputs'!E270="",'Inputs'!$D$6,"n.a.")))</x:f>
        <x:v>500</x:v>
      </x:c>
      <x:c r="F1265" s="22" t="n">
        <x:f>IF(COUNT($N$1262:$N$1266)=5,SUM($N$1262:$N$1266),"n.a.")</x:f>
        <x:v>0</x:v>
      </x:c>
      <x:c r="G1265" s="22" t="n">
        <x:f>IF(COUNT(E1265:F1265)=2,MAX(0,E1265-F1265),"n.a.")</x:f>
        <x:v>500</x:v>
      </x:c>
      <x:c r="H1265" s="26" t="str">
        <x:f>'Inputs'!C14</x:f>
        <x:v>Unused 4</x:v>
      </x:c>
      <x:c r="I1265" s="26" t="n">
        <x:f>S1260</x:f>
        <x:v>0</x:v>
      </x:c>
      <x:c r="J1265" s="29" t="n">
        <x:f>IF('Inputs'!$D$9="Ready",'Inputs'!E14,"n.a.")</x:f>
        <x:v>0</x:v>
      </x:c>
      <x:c r="K1265" s="26" t="n">
        <x:f>IF('Inputs'!$D$9="Ready",'Inputs'!F14,"n.a.")</x:f>
        <x:v>0</x:v>
      </x:c>
      <x:c r="L1265" s="29" t="n">
        <x:f>IF('Inputs'!$D$9="Ready",'Inputs'!G14,"n.a.")</x:f>
        <x:v>0</x:v>
      </x:c>
      <x:c r="M1265" s="22" t="n">
        <x:f>IF(COUNT(I1265:L1265)=4,ROUND(I1265*J1265/12,2),"n.a.")</x:f>
        <x:v>0</x:v>
      </x:c>
      <x:c r="N1265" s="22" t="n">
        <x:f>IF(COUNT(I1265:M1265)=5,MIN(I1265+M1265,ROUND(MAX(K1265,I1265*L1265+M1265),2)),"n.a.")</x:f>
        <x:v>0</x:v>
      </x:c>
      <x:c r="O1265" s="30" t="n">
        <x:f>IF(COUNT($I$1262:$I$1266)&lt;&gt;5,"n.a.",IF(I1265=0,6,IF('Inputs'!$D$5=1,COUNTIFS($I$1262:$I$1266,"&gt;0",$I$1262:$I$1266,"&lt;"&amp;I1265)+COUNTIFS($I$1262:I1265,I1265),COUNTIFS($I$1262:$I$1266,"&gt;0",$J$1262:$J$1266,"&gt;"&amp;J1265)+COUNTIFS($I$1262:I1265,"&gt;0",$J$1262:J1265,J1265))))</x:f>
        <x:v>6</x:v>
      </x:c>
      <x:c r="P1265" s="22" t="n">
        <x:f>IF(T1265="Ready",MIN(U1265,MAX(0,G1265-SUMIFS($U$1262:$U$1266,$O$1262:$O$1266,"&lt;"&amp;O1265))),"n.a.")</x:f>
        <x:v>0</x:v>
      </x:c>
      <x:c r="Q1265" s="22" t="n">
        <x:f>IF(T1265="Ready",ROUND(N1265+P1265,2),"n.a.")</x:f>
        <x:v>0</x:v>
      </x:c>
      <x:c r="R1265" s="22" t="n">
        <x:f>IF(T1265="Ready",ROUND(Q1265-M1265,2),"n.a.")</x:f>
        <x:v>0</x:v>
      </x:c>
      <x:c r="S1265" s="22" t="n">
        <x:f>IF(T1265="Ready",MAX(0,ROUND(I1265+M1265-Q1265,2)),"n.a.")</x:f>
        <x:v>0</x:v>
      </x:c>
      <x:c r="T1265" s="22" t="str">
        <x:f>IF(AND(COUNT($I$1262:$I$1266)=5,COUNT(E1265:F1265)=2),IF(E1265&gt;=F1265,"Ready","Budget below minima"),"Check inputs")</x:f>
        <x:v>Ready</x:v>
      </x:c>
      <x:c r="U1265" s="22" t="n">
        <x:f>IF(COUNT(I1265,M1265,N1265)=3,MAX(0,ROUND(I1265+M1265-N1265,2)),"n.a.")</x:f>
        <x:v>0</x:v>
      </x:c>
    </x:row>
    <x:row r="1266" ht="22" customHeight="1">
      <x:c r="A1266" s="2"/>
      <x:c r="B1266" s="2"/>
      <x:c r="C1266" s="27" t="n">
        <x:f>252</x:f>
        <x:v>252</x:v>
      </x:c>
      <x:c r="D1266" s="28" t="n">
        <x:f>IF(ISNUMBER('Inputs'!$D$7),EDATE('Inputs'!$D$7,251),"n.a.")</x:f>
        <x:v>53966</x:v>
      </x:c>
      <x:c r="E1266" s="26" t="n">
        <x:f>IF('Inputs'!$D$9&lt;&gt;"Ready","n.a.",IF(ISNUMBER('Inputs'!E270),IF('Inputs'!E270&gt;=0,'Inputs'!E270,"n.a."),IF('Inputs'!E270="",'Inputs'!$D$6,"n.a.")))</x:f>
        <x:v>500</x:v>
      </x:c>
      <x:c r="F1266" s="22" t="n">
        <x:f>IF(COUNT($N$1262:$N$1266)=5,SUM($N$1262:$N$1266),"n.a.")</x:f>
        <x:v>0</x:v>
      </x:c>
      <x:c r="G1266" s="22" t="n">
        <x:f>IF(COUNT(E1266:F1266)=2,MAX(0,E1266-F1266),"n.a.")</x:f>
        <x:v>500</x:v>
      </x:c>
      <x:c r="H1266" s="26" t="str">
        <x:f>'Inputs'!C15</x:f>
        <x:v>Unused 5</x:v>
      </x:c>
      <x:c r="I1266" s="26" t="n">
        <x:f>S1261</x:f>
        <x:v>0</x:v>
      </x:c>
      <x:c r="J1266" s="29" t="n">
        <x:f>IF('Inputs'!$D$9="Ready",'Inputs'!E15,"n.a.")</x:f>
        <x:v>0</x:v>
      </x:c>
      <x:c r="K1266" s="26" t="n">
        <x:f>IF('Inputs'!$D$9="Ready",'Inputs'!F15,"n.a.")</x:f>
        <x:v>0</x:v>
      </x:c>
      <x:c r="L1266" s="29" t="n">
        <x:f>IF('Inputs'!$D$9="Ready",'Inputs'!G15,"n.a.")</x:f>
        <x:v>0</x:v>
      </x:c>
      <x:c r="M1266" s="22" t="n">
        <x:f>IF(COUNT(I1266:L1266)=4,ROUND(I1266*J1266/12,2),"n.a.")</x:f>
        <x:v>0</x:v>
      </x:c>
      <x:c r="N1266" s="22" t="n">
        <x:f>IF(COUNT(I1266:M1266)=5,MIN(I1266+M1266,ROUND(MAX(K1266,I1266*L1266+M1266),2)),"n.a.")</x:f>
        <x:v>0</x:v>
      </x:c>
      <x:c r="O1266" s="30" t="n">
        <x:f>IF(COUNT($I$1262:$I$1266)&lt;&gt;5,"n.a.",IF(I1266=0,6,IF('Inputs'!$D$5=1,COUNTIFS($I$1262:$I$1266,"&gt;0",$I$1262:$I$1266,"&lt;"&amp;I1266)+COUNTIFS($I$1262:I1266,I1266),COUNTIFS($I$1262:$I$1266,"&gt;0",$J$1262:$J$1266,"&gt;"&amp;J1266)+COUNTIFS($I$1262:I1266,"&gt;0",$J$1262:J1266,J1266))))</x:f>
        <x:v>6</x:v>
      </x:c>
      <x:c r="P1266" s="22" t="n">
        <x:f>IF(T1266="Ready",MIN(U1266,MAX(0,G1266-SUMIFS($U$1262:$U$1266,$O$1262:$O$1266,"&lt;"&amp;O1266))),"n.a.")</x:f>
        <x:v>0</x:v>
      </x:c>
      <x:c r="Q1266" s="22" t="n">
        <x:f>IF(T1266="Ready",ROUND(N1266+P1266,2),"n.a.")</x:f>
        <x:v>0</x:v>
      </x:c>
      <x:c r="R1266" s="22" t="n">
        <x:f>IF(T1266="Ready",ROUND(Q1266-M1266,2),"n.a.")</x:f>
        <x:v>0</x:v>
      </x:c>
      <x:c r="S1266" s="22" t="n">
        <x:f>IF(T1266="Ready",MAX(0,ROUND(I1266+M1266-Q1266,2)),"n.a.")</x:f>
        <x:v>0</x:v>
      </x:c>
      <x:c r="T1266" s="22" t="str">
        <x:f>IF(AND(COUNT($I$1262:$I$1266)=5,COUNT(E1266:F1266)=2),IF(E1266&gt;=F1266,"Ready","Budget below minima"),"Check inputs")</x:f>
        <x:v>Ready</x:v>
      </x:c>
      <x:c r="U1266" s="22" t="n">
        <x:f>IF(COUNT(I1266,M1266,N1266)=3,MAX(0,ROUND(I1266+M1266-N1266,2)),"n.a.")</x:f>
        <x:v>0</x:v>
      </x:c>
    </x:row>
    <x:row r="1267" ht="22" customHeight="1">
      <x:c r="A1267" s="2"/>
      <x:c r="B1267" s="2"/>
      <x:c r="C1267" s="27" t="n">
        <x:f>253</x:f>
        <x:v>253</x:v>
      </x:c>
      <x:c r="D1267" s="28" t="n">
        <x:f>IF(ISNUMBER('Inputs'!$D$7),EDATE('Inputs'!$D$7,252),"n.a.")</x:f>
        <x:v>53997</x:v>
      </x:c>
      <x:c r="E1267" s="26" t="n">
        <x:f>IF('Inputs'!$D$9&lt;&gt;"Ready","n.a.",IF(ISNUMBER('Inputs'!E271),IF('Inputs'!E271&gt;=0,'Inputs'!E271,"n.a."),IF('Inputs'!E271="",'Inputs'!$D$6,"n.a.")))</x:f>
        <x:v>500</x:v>
      </x:c>
      <x:c r="F1267" s="22" t="n">
        <x:f>IF(COUNT($N$1267:$N$1271)=5,SUM($N$1267:$N$1271),"n.a.")</x:f>
        <x:v>0</x:v>
      </x:c>
      <x:c r="G1267" s="22" t="n">
        <x:f>IF(COUNT(E1267:F1267)=2,MAX(0,E1267-F1267),"n.a.")</x:f>
        <x:v>500</x:v>
      </x:c>
      <x:c r="H1267" s="26" t="str">
        <x:f>'Inputs'!C11</x:f>
        <x:v>Card A</x:v>
      </x:c>
      <x:c r="I1267" s="26" t="n">
        <x:f>S1262</x:f>
        <x:v>0</x:v>
      </x:c>
      <x:c r="J1267" s="29" t="n">
        <x:f>IF('Inputs'!$D$9="Ready",'Inputs'!E11,"n.a.")</x:f>
        <x:v>0.24</x:v>
      </x:c>
      <x:c r="K1267" s="26" t="n">
        <x:f>IF('Inputs'!$D$9="Ready",'Inputs'!F11,"n.a.")</x:f>
        <x:v>35</x:v>
      </x:c>
      <x:c r="L1267" s="29" t="n">
        <x:f>IF('Inputs'!$D$9="Ready",'Inputs'!G11,"n.a.")</x:f>
        <x:v>0.02</x:v>
      </x:c>
      <x:c r="M1267" s="22" t="n">
        <x:f>IF(COUNT(I1267:L1267)=4,ROUND(I1267*J1267/12,2),"n.a.")</x:f>
        <x:v>0</x:v>
      </x:c>
      <x:c r="N1267" s="22" t="n">
        <x:f>IF(COUNT(I1267:M1267)=5,MIN(I1267+M1267,ROUND(MAX(K1267,I1267*L1267+M1267),2)),"n.a.")</x:f>
        <x:v>0</x:v>
      </x:c>
      <x:c r="O1267" s="30" t="n">
        <x:f>IF(COUNT($I$1267:$I$1271)&lt;&gt;5,"n.a.",IF(I1267=0,6,IF('Inputs'!$D$5=1,COUNTIFS($I$1267:$I$1271,"&gt;0",$I$1267:$I$1271,"&lt;"&amp;I1267)+COUNTIFS($I$1267:I1267,I1267),COUNTIFS($I$1267:$I$1271,"&gt;0",$J$1267:$J$1271,"&gt;"&amp;J1267)+COUNTIFS($I$1267:I1267,"&gt;0",$J$1267:J1267,J1267))))</x:f>
        <x:v>6</x:v>
      </x:c>
      <x:c r="P1267" s="22" t="n">
        <x:f>IF(T1267="Ready",MIN(U1267,MAX(0,G1267-SUMIFS($U$1267:$U$1271,$O$1267:$O$1271,"&lt;"&amp;O1267))),"n.a.")</x:f>
        <x:v>0</x:v>
      </x:c>
      <x:c r="Q1267" s="22" t="n">
        <x:f>IF(T1267="Ready",ROUND(N1267+P1267,2),"n.a.")</x:f>
        <x:v>0</x:v>
      </x:c>
      <x:c r="R1267" s="22" t="n">
        <x:f>IF(T1267="Ready",ROUND(Q1267-M1267,2),"n.a.")</x:f>
        <x:v>0</x:v>
      </x:c>
      <x:c r="S1267" s="22" t="n">
        <x:f>IF(T1267="Ready",MAX(0,ROUND(I1267+M1267-Q1267,2)),"n.a.")</x:f>
        <x:v>0</x:v>
      </x:c>
      <x:c r="T1267" s="22" t="str">
        <x:f>IF(AND(COUNT($I$1267:$I$1271)=5,COUNT(E1267:F1267)=2),IF(E1267&gt;=F1267,"Ready","Budget below minima"),"Check inputs")</x:f>
        <x:v>Ready</x:v>
      </x:c>
      <x:c r="U1267" s="22" t="n">
        <x:f>IF(COUNT(I1267,M1267,N1267)=3,MAX(0,ROUND(I1267+M1267-N1267,2)),"n.a.")</x:f>
        <x:v>0</x:v>
      </x:c>
    </x:row>
    <x:row r="1268" ht="22" customHeight="1">
      <x:c r="A1268" s="2"/>
      <x:c r="B1268" s="2"/>
      <x:c r="C1268" s="27" t="n">
        <x:f>253</x:f>
        <x:v>253</x:v>
      </x:c>
      <x:c r="D1268" s="28" t="n">
        <x:f>IF(ISNUMBER('Inputs'!$D$7),EDATE('Inputs'!$D$7,252),"n.a.")</x:f>
        <x:v>53997</x:v>
      </x:c>
      <x:c r="E1268" s="26" t="n">
        <x:f>IF('Inputs'!$D$9&lt;&gt;"Ready","n.a.",IF(ISNUMBER('Inputs'!E271),IF('Inputs'!E271&gt;=0,'Inputs'!E271,"n.a."),IF('Inputs'!E271="",'Inputs'!$D$6,"n.a.")))</x:f>
        <x:v>500</x:v>
      </x:c>
      <x:c r="F1268" s="22" t="n">
        <x:f>IF(COUNT($N$1267:$N$1271)=5,SUM($N$1267:$N$1271),"n.a.")</x:f>
        <x:v>0</x:v>
      </x:c>
      <x:c r="G1268" s="22" t="n">
        <x:f>IF(COUNT(E1268:F1268)=2,MAX(0,E1268-F1268),"n.a.")</x:f>
        <x:v>500</x:v>
      </x:c>
      <x:c r="H1268" s="26" t="str">
        <x:f>'Inputs'!C12</x:f>
        <x:v>Card B</x:v>
      </x:c>
      <x:c r="I1268" s="26" t="n">
        <x:f>S1263</x:f>
        <x:v>0</x:v>
      </x:c>
      <x:c r="J1268" s="29" t="n">
        <x:f>IF('Inputs'!$D$9="Ready",'Inputs'!E12,"n.a.")</x:f>
        <x:v>0.18</x:v>
      </x:c>
      <x:c r="K1268" s="26" t="n">
        <x:f>IF('Inputs'!$D$9="Ready",'Inputs'!F12,"n.a.")</x:f>
        <x:v>60</x:v>
      </x:c>
      <x:c r="L1268" s="29" t="n">
        <x:f>IF('Inputs'!$D$9="Ready",'Inputs'!G12,"n.a.")</x:f>
        <x:v>0.02</x:v>
      </x:c>
      <x:c r="M1268" s="22" t="n">
        <x:f>IF(COUNT(I1268:L1268)=4,ROUND(I1268*J1268/12,2),"n.a.")</x:f>
        <x:v>0</x:v>
      </x:c>
      <x:c r="N1268" s="22" t="n">
        <x:f>IF(COUNT(I1268:M1268)=5,MIN(I1268+M1268,ROUND(MAX(K1268,I1268*L1268+M1268),2)),"n.a.")</x:f>
        <x:v>0</x:v>
      </x:c>
      <x:c r="O1268" s="30" t="n">
        <x:f>IF(COUNT($I$1267:$I$1271)&lt;&gt;5,"n.a.",IF(I1268=0,6,IF('Inputs'!$D$5=1,COUNTIFS($I$1267:$I$1271,"&gt;0",$I$1267:$I$1271,"&lt;"&amp;I1268)+COUNTIFS($I$1267:I1268,I1268),COUNTIFS($I$1267:$I$1271,"&gt;0",$J$1267:$J$1271,"&gt;"&amp;J1268)+COUNTIFS($I$1267:I1268,"&gt;0",$J$1267:J1268,J1268))))</x:f>
        <x:v>6</x:v>
      </x:c>
      <x:c r="P1268" s="22" t="n">
        <x:f>IF(T1268="Ready",MIN(U1268,MAX(0,G1268-SUMIFS($U$1267:$U$1271,$O$1267:$O$1271,"&lt;"&amp;O1268))),"n.a.")</x:f>
        <x:v>0</x:v>
      </x:c>
      <x:c r="Q1268" s="22" t="n">
        <x:f>IF(T1268="Ready",ROUND(N1268+P1268,2),"n.a.")</x:f>
        <x:v>0</x:v>
      </x:c>
      <x:c r="R1268" s="22" t="n">
        <x:f>IF(T1268="Ready",ROUND(Q1268-M1268,2),"n.a.")</x:f>
        <x:v>0</x:v>
      </x:c>
      <x:c r="S1268" s="22" t="n">
        <x:f>IF(T1268="Ready",MAX(0,ROUND(I1268+M1268-Q1268,2)),"n.a.")</x:f>
        <x:v>0</x:v>
      </x:c>
      <x:c r="T1268" s="22" t="str">
        <x:f>IF(AND(COUNT($I$1267:$I$1271)=5,COUNT(E1268:F1268)=2),IF(E1268&gt;=F1268,"Ready","Budget below minima"),"Check inputs")</x:f>
        <x:v>Ready</x:v>
      </x:c>
      <x:c r="U1268" s="22" t="n">
        <x:f>IF(COUNT(I1268,M1268,N1268)=3,MAX(0,ROUND(I1268+M1268-N1268,2)),"n.a.")</x:f>
        <x:v>0</x:v>
      </x:c>
    </x:row>
    <x:row r="1269" ht="22" customHeight="1">
      <x:c r="A1269" s="2"/>
      <x:c r="B1269" s="2"/>
      <x:c r="C1269" s="27" t="n">
        <x:f>253</x:f>
        <x:v>253</x:v>
      </x:c>
      <x:c r="D1269" s="28" t="n">
        <x:f>IF(ISNUMBER('Inputs'!$D$7),EDATE('Inputs'!$D$7,252),"n.a.")</x:f>
        <x:v>53997</x:v>
      </x:c>
      <x:c r="E1269" s="26" t="n">
        <x:f>IF('Inputs'!$D$9&lt;&gt;"Ready","n.a.",IF(ISNUMBER('Inputs'!E271),IF('Inputs'!E271&gt;=0,'Inputs'!E271,"n.a."),IF('Inputs'!E271="",'Inputs'!$D$6,"n.a.")))</x:f>
        <x:v>500</x:v>
      </x:c>
      <x:c r="F1269" s="22" t="n">
        <x:f>IF(COUNT($N$1267:$N$1271)=5,SUM($N$1267:$N$1271),"n.a.")</x:f>
        <x:v>0</x:v>
      </x:c>
      <x:c r="G1269" s="22" t="n">
        <x:f>IF(COUNT(E1269:F1269)=2,MAX(0,E1269-F1269),"n.a.")</x:f>
        <x:v>500</x:v>
      </x:c>
      <x:c r="H1269" s="26" t="str">
        <x:f>'Inputs'!C13</x:f>
        <x:v>Loan C</x:v>
      </x:c>
      <x:c r="I1269" s="26" t="n">
        <x:f>S1264</x:f>
        <x:v>0</x:v>
      </x:c>
      <x:c r="J1269" s="29" t="n">
        <x:f>IF('Inputs'!$D$9="Ready",'Inputs'!E13,"n.a.")</x:f>
        <x:v>0.08</x:v>
      </x:c>
      <x:c r="K1269" s="26" t="n">
        <x:f>IF('Inputs'!$D$9="Ready",'Inputs'!F13,"n.a.")</x:f>
        <x:v>150</x:v>
      </x:c>
      <x:c r="L1269" s="29" t="n">
        <x:f>IF('Inputs'!$D$9="Ready",'Inputs'!G13,"n.a.")</x:f>
        <x:v>0</x:v>
      </x:c>
      <x:c r="M1269" s="22" t="n">
        <x:f>IF(COUNT(I1269:L1269)=4,ROUND(I1269*J1269/12,2),"n.a.")</x:f>
        <x:v>0</x:v>
      </x:c>
      <x:c r="N1269" s="22" t="n">
        <x:f>IF(COUNT(I1269:M1269)=5,MIN(I1269+M1269,ROUND(MAX(K1269,I1269*L1269+M1269),2)),"n.a.")</x:f>
        <x:v>0</x:v>
      </x:c>
      <x:c r="O1269" s="30" t="n">
        <x:f>IF(COUNT($I$1267:$I$1271)&lt;&gt;5,"n.a.",IF(I1269=0,6,IF('Inputs'!$D$5=1,COUNTIFS($I$1267:$I$1271,"&gt;0",$I$1267:$I$1271,"&lt;"&amp;I1269)+COUNTIFS($I$1267:I1269,I1269),COUNTIFS($I$1267:$I$1271,"&gt;0",$J$1267:$J$1271,"&gt;"&amp;J1269)+COUNTIFS($I$1267:I1269,"&gt;0",$J$1267:J1269,J1269))))</x:f>
        <x:v>6</x:v>
      </x:c>
      <x:c r="P1269" s="22" t="n">
        <x:f>IF(T1269="Ready",MIN(U1269,MAX(0,G1269-SUMIFS($U$1267:$U$1271,$O$1267:$O$1271,"&lt;"&amp;O1269))),"n.a.")</x:f>
        <x:v>0</x:v>
      </x:c>
      <x:c r="Q1269" s="22" t="n">
        <x:f>IF(T1269="Ready",ROUND(N1269+P1269,2),"n.a.")</x:f>
        <x:v>0</x:v>
      </x:c>
      <x:c r="R1269" s="22" t="n">
        <x:f>IF(T1269="Ready",ROUND(Q1269-M1269,2),"n.a.")</x:f>
        <x:v>0</x:v>
      </x:c>
      <x:c r="S1269" s="22" t="n">
        <x:f>IF(T1269="Ready",MAX(0,ROUND(I1269+M1269-Q1269,2)),"n.a.")</x:f>
        <x:v>0</x:v>
      </x:c>
      <x:c r="T1269" s="22" t="str">
        <x:f>IF(AND(COUNT($I$1267:$I$1271)=5,COUNT(E1269:F1269)=2),IF(E1269&gt;=F1269,"Ready","Budget below minima"),"Check inputs")</x:f>
        <x:v>Ready</x:v>
      </x:c>
      <x:c r="U1269" s="22" t="n">
        <x:f>IF(COUNT(I1269,M1269,N1269)=3,MAX(0,ROUND(I1269+M1269-N1269,2)),"n.a.")</x:f>
        <x:v>0</x:v>
      </x:c>
    </x:row>
    <x:row r="1270" ht="22" customHeight="1">
      <x:c r="A1270" s="2"/>
      <x:c r="B1270" s="2"/>
      <x:c r="C1270" s="27" t="n">
        <x:f>253</x:f>
        <x:v>253</x:v>
      </x:c>
      <x:c r="D1270" s="28" t="n">
        <x:f>IF(ISNUMBER('Inputs'!$D$7),EDATE('Inputs'!$D$7,252),"n.a.")</x:f>
        <x:v>53997</x:v>
      </x:c>
      <x:c r="E1270" s="26" t="n">
        <x:f>IF('Inputs'!$D$9&lt;&gt;"Ready","n.a.",IF(ISNUMBER('Inputs'!E271),IF('Inputs'!E271&gt;=0,'Inputs'!E271,"n.a."),IF('Inputs'!E271="",'Inputs'!$D$6,"n.a.")))</x:f>
        <x:v>500</x:v>
      </x:c>
      <x:c r="F1270" s="22" t="n">
        <x:f>IF(COUNT($N$1267:$N$1271)=5,SUM($N$1267:$N$1271),"n.a.")</x:f>
        <x:v>0</x:v>
      </x:c>
      <x:c r="G1270" s="22" t="n">
        <x:f>IF(COUNT(E1270:F1270)=2,MAX(0,E1270-F1270),"n.a.")</x:f>
        <x:v>500</x:v>
      </x:c>
      <x:c r="H1270" s="26" t="str">
        <x:f>'Inputs'!C14</x:f>
        <x:v>Unused 4</x:v>
      </x:c>
      <x:c r="I1270" s="26" t="n">
        <x:f>S1265</x:f>
        <x:v>0</x:v>
      </x:c>
      <x:c r="J1270" s="29" t="n">
        <x:f>IF('Inputs'!$D$9="Ready",'Inputs'!E14,"n.a.")</x:f>
        <x:v>0</x:v>
      </x:c>
      <x:c r="K1270" s="26" t="n">
        <x:f>IF('Inputs'!$D$9="Ready",'Inputs'!F14,"n.a.")</x:f>
        <x:v>0</x:v>
      </x:c>
      <x:c r="L1270" s="29" t="n">
        <x:f>IF('Inputs'!$D$9="Ready",'Inputs'!G14,"n.a.")</x:f>
        <x:v>0</x:v>
      </x:c>
      <x:c r="M1270" s="22" t="n">
        <x:f>IF(COUNT(I1270:L1270)=4,ROUND(I1270*J1270/12,2),"n.a.")</x:f>
        <x:v>0</x:v>
      </x:c>
      <x:c r="N1270" s="22" t="n">
        <x:f>IF(COUNT(I1270:M1270)=5,MIN(I1270+M1270,ROUND(MAX(K1270,I1270*L1270+M1270),2)),"n.a.")</x:f>
        <x:v>0</x:v>
      </x:c>
      <x:c r="O1270" s="30" t="n">
        <x:f>IF(COUNT($I$1267:$I$1271)&lt;&gt;5,"n.a.",IF(I1270=0,6,IF('Inputs'!$D$5=1,COUNTIFS($I$1267:$I$1271,"&gt;0",$I$1267:$I$1271,"&lt;"&amp;I1270)+COUNTIFS($I$1267:I1270,I1270),COUNTIFS($I$1267:$I$1271,"&gt;0",$J$1267:$J$1271,"&gt;"&amp;J1270)+COUNTIFS($I$1267:I1270,"&gt;0",$J$1267:J1270,J1270))))</x:f>
        <x:v>6</x:v>
      </x:c>
      <x:c r="P1270" s="22" t="n">
        <x:f>IF(T1270="Ready",MIN(U1270,MAX(0,G1270-SUMIFS($U$1267:$U$1271,$O$1267:$O$1271,"&lt;"&amp;O1270))),"n.a.")</x:f>
        <x:v>0</x:v>
      </x:c>
      <x:c r="Q1270" s="22" t="n">
        <x:f>IF(T1270="Ready",ROUND(N1270+P1270,2),"n.a.")</x:f>
        <x:v>0</x:v>
      </x:c>
      <x:c r="R1270" s="22" t="n">
        <x:f>IF(T1270="Ready",ROUND(Q1270-M1270,2),"n.a.")</x:f>
        <x:v>0</x:v>
      </x:c>
      <x:c r="S1270" s="22" t="n">
        <x:f>IF(T1270="Ready",MAX(0,ROUND(I1270+M1270-Q1270,2)),"n.a.")</x:f>
        <x:v>0</x:v>
      </x:c>
      <x:c r="T1270" s="22" t="str">
        <x:f>IF(AND(COUNT($I$1267:$I$1271)=5,COUNT(E1270:F1270)=2),IF(E1270&gt;=F1270,"Ready","Budget below minima"),"Check inputs")</x:f>
        <x:v>Ready</x:v>
      </x:c>
      <x:c r="U1270" s="22" t="n">
        <x:f>IF(COUNT(I1270,M1270,N1270)=3,MAX(0,ROUND(I1270+M1270-N1270,2)),"n.a.")</x:f>
        <x:v>0</x:v>
      </x:c>
    </x:row>
    <x:row r="1271" ht="22" customHeight="1">
      <x:c r="A1271" s="2"/>
      <x:c r="B1271" s="2"/>
      <x:c r="C1271" s="27" t="n">
        <x:f>253</x:f>
        <x:v>253</x:v>
      </x:c>
      <x:c r="D1271" s="28" t="n">
        <x:f>IF(ISNUMBER('Inputs'!$D$7),EDATE('Inputs'!$D$7,252),"n.a.")</x:f>
        <x:v>53997</x:v>
      </x:c>
      <x:c r="E1271" s="26" t="n">
        <x:f>IF('Inputs'!$D$9&lt;&gt;"Ready","n.a.",IF(ISNUMBER('Inputs'!E271),IF('Inputs'!E271&gt;=0,'Inputs'!E271,"n.a."),IF('Inputs'!E271="",'Inputs'!$D$6,"n.a.")))</x:f>
        <x:v>500</x:v>
      </x:c>
      <x:c r="F1271" s="22" t="n">
        <x:f>IF(COUNT($N$1267:$N$1271)=5,SUM($N$1267:$N$1271),"n.a.")</x:f>
        <x:v>0</x:v>
      </x:c>
      <x:c r="G1271" s="22" t="n">
        <x:f>IF(COUNT(E1271:F1271)=2,MAX(0,E1271-F1271),"n.a.")</x:f>
        <x:v>500</x:v>
      </x:c>
      <x:c r="H1271" s="26" t="str">
        <x:f>'Inputs'!C15</x:f>
        <x:v>Unused 5</x:v>
      </x:c>
      <x:c r="I1271" s="26" t="n">
        <x:f>S1266</x:f>
        <x:v>0</x:v>
      </x:c>
      <x:c r="J1271" s="29" t="n">
        <x:f>IF('Inputs'!$D$9="Ready",'Inputs'!E15,"n.a.")</x:f>
        <x:v>0</x:v>
      </x:c>
      <x:c r="K1271" s="26" t="n">
        <x:f>IF('Inputs'!$D$9="Ready",'Inputs'!F15,"n.a.")</x:f>
        <x:v>0</x:v>
      </x:c>
      <x:c r="L1271" s="29" t="n">
        <x:f>IF('Inputs'!$D$9="Ready",'Inputs'!G15,"n.a.")</x:f>
        <x:v>0</x:v>
      </x:c>
      <x:c r="M1271" s="22" t="n">
        <x:f>IF(COUNT(I1271:L1271)=4,ROUND(I1271*J1271/12,2),"n.a.")</x:f>
        <x:v>0</x:v>
      </x:c>
      <x:c r="N1271" s="22" t="n">
        <x:f>IF(COUNT(I1271:M1271)=5,MIN(I1271+M1271,ROUND(MAX(K1271,I1271*L1271+M1271),2)),"n.a.")</x:f>
        <x:v>0</x:v>
      </x:c>
      <x:c r="O1271" s="30" t="n">
        <x:f>IF(COUNT($I$1267:$I$1271)&lt;&gt;5,"n.a.",IF(I1271=0,6,IF('Inputs'!$D$5=1,COUNTIFS($I$1267:$I$1271,"&gt;0",$I$1267:$I$1271,"&lt;"&amp;I1271)+COUNTIFS($I$1267:I1271,I1271),COUNTIFS($I$1267:$I$1271,"&gt;0",$J$1267:$J$1271,"&gt;"&amp;J1271)+COUNTIFS($I$1267:I1271,"&gt;0",$J$1267:J1271,J1271))))</x:f>
        <x:v>6</x:v>
      </x:c>
      <x:c r="P1271" s="22" t="n">
        <x:f>IF(T1271="Ready",MIN(U1271,MAX(0,G1271-SUMIFS($U$1267:$U$1271,$O$1267:$O$1271,"&lt;"&amp;O1271))),"n.a.")</x:f>
        <x:v>0</x:v>
      </x:c>
      <x:c r="Q1271" s="22" t="n">
        <x:f>IF(T1271="Ready",ROUND(N1271+P1271,2),"n.a.")</x:f>
        <x:v>0</x:v>
      </x:c>
      <x:c r="R1271" s="22" t="n">
        <x:f>IF(T1271="Ready",ROUND(Q1271-M1271,2),"n.a.")</x:f>
        <x:v>0</x:v>
      </x:c>
      <x:c r="S1271" s="22" t="n">
        <x:f>IF(T1271="Ready",MAX(0,ROUND(I1271+M1271-Q1271,2)),"n.a.")</x:f>
        <x:v>0</x:v>
      </x:c>
      <x:c r="T1271" s="22" t="str">
        <x:f>IF(AND(COUNT($I$1267:$I$1271)=5,COUNT(E1271:F1271)=2),IF(E1271&gt;=F1271,"Ready","Budget below minima"),"Check inputs")</x:f>
        <x:v>Ready</x:v>
      </x:c>
      <x:c r="U1271" s="22" t="n">
        <x:f>IF(COUNT(I1271,M1271,N1271)=3,MAX(0,ROUND(I1271+M1271-N1271,2)),"n.a.")</x:f>
        <x:v>0</x:v>
      </x:c>
    </x:row>
    <x:row r="1272" ht="22" customHeight="1">
      <x:c r="A1272" s="2"/>
      <x:c r="B1272" s="2"/>
      <x:c r="C1272" s="27" t="n">
        <x:f>254</x:f>
        <x:v>254</x:v>
      </x:c>
      <x:c r="D1272" s="28" t="n">
        <x:f>IF(ISNUMBER('Inputs'!$D$7),EDATE('Inputs'!$D$7,253),"n.a.")</x:f>
        <x:v>54027</x:v>
      </x:c>
      <x:c r="E1272" s="26" t="n">
        <x:f>IF('Inputs'!$D$9&lt;&gt;"Ready","n.a.",IF(ISNUMBER('Inputs'!E272),IF('Inputs'!E272&gt;=0,'Inputs'!E272,"n.a."),IF('Inputs'!E272="",'Inputs'!$D$6,"n.a.")))</x:f>
        <x:v>500</x:v>
      </x:c>
      <x:c r="F1272" s="22" t="n">
        <x:f>IF(COUNT($N$1272:$N$1276)=5,SUM($N$1272:$N$1276),"n.a.")</x:f>
        <x:v>0</x:v>
      </x:c>
      <x:c r="G1272" s="22" t="n">
        <x:f>IF(COUNT(E1272:F1272)=2,MAX(0,E1272-F1272),"n.a.")</x:f>
        <x:v>500</x:v>
      </x:c>
      <x:c r="H1272" s="26" t="str">
        <x:f>'Inputs'!C11</x:f>
        <x:v>Card A</x:v>
      </x:c>
      <x:c r="I1272" s="26" t="n">
        <x:f>S1267</x:f>
        <x:v>0</x:v>
      </x:c>
      <x:c r="J1272" s="29" t="n">
        <x:f>IF('Inputs'!$D$9="Ready",'Inputs'!E11,"n.a.")</x:f>
        <x:v>0.24</x:v>
      </x:c>
      <x:c r="K1272" s="26" t="n">
        <x:f>IF('Inputs'!$D$9="Ready",'Inputs'!F11,"n.a.")</x:f>
        <x:v>35</x:v>
      </x:c>
      <x:c r="L1272" s="29" t="n">
        <x:f>IF('Inputs'!$D$9="Ready",'Inputs'!G11,"n.a.")</x:f>
        <x:v>0.02</x:v>
      </x:c>
      <x:c r="M1272" s="22" t="n">
        <x:f>IF(COUNT(I1272:L1272)=4,ROUND(I1272*J1272/12,2),"n.a.")</x:f>
        <x:v>0</x:v>
      </x:c>
      <x:c r="N1272" s="22" t="n">
        <x:f>IF(COUNT(I1272:M1272)=5,MIN(I1272+M1272,ROUND(MAX(K1272,I1272*L1272+M1272),2)),"n.a.")</x:f>
        <x:v>0</x:v>
      </x:c>
      <x:c r="O1272" s="30" t="n">
        <x:f>IF(COUNT($I$1272:$I$1276)&lt;&gt;5,"n.a.",IF(I1272=0,6,IF('Inputs'!$D$5=1,COUNTIFS($I$1272:$I$1276,"&gt;0",$I$1272:$I$1276,"&lt;"&amp;I1272)+COUNTIFS($I$1272:I1272,I1272),COUNTIFS($I$1272:$I$1276,"&gt;0",$J$1272:$J$1276,"&gt;"&amp;J1272)+COUNTIFS($I$1272:I1272,"&gt;0",$J$1272:J1272,J1272))))</x:f>
        <x:v>6</x:v>
      </x:c>
      <x:c r="P1272" s="22" t="n">
        <x:f>IF(T1272="Ready",MIN(U1272,MAX(0,G1272-SUMIFS($U$1272:$U$1276,$O$1272:$O$1276,"&lt;"&amp;O1272))),"n.a.")</x:f>
        <x:v>0</x:v>
      </x:c>
      <x:c r="Q1272" s="22" t="n">
        <x:f>IF(T1272="Ready",ROUND(N1272+P1272,2),"n.a.")</x:f>
        <x:v>0</x:v>
      </x:c>
      <x:c r="R1272" s="22" t="n">
        <x:f>IF(T1272="Ready",ROUND(Q1272-M1272,2),"n.a.")</x:f>
        <x:v>0</x:v>
      </x:c>
      <x:c r="S1272" s="22" t="n">
        <x:f>IF(T1272="Ready",MAX(0,ROUND(I1272+M1272-Q1272,2)),"n.a.")</x:f>
        <x:v>0</x:v>
      </x:c>
      <x:c r="T1272" s="22" t="str">
        <x:f>IF(AND(COUNT($I$1272:$I$1276)=5,COUNT(E1272:F1272)=2),IF(E1272&gt;=F1272,"Ready","Budget below minima"),"Check inputs")</x:f>
        <x:v>Ready</x:v>
      </x:c>
      <x:c r="U1272" s="22" t="n">
        <x:f>IF(COUNT(I1272,M1272,N1272)=3,MAX(0,ROUND(I1272+M1272-N1272,2)),"n.a.")</x:f>
        <x:v>0</x:v>
      </x:c>
    </x:row>
    <x:row r="1273" ht="22" customHeight="1">
      <x:c r="A1273" s="2"/>
      <x:c r="B1273" s="2"/>
      <x:c r="C1273" s="27" t="n">
        <x:f>254</x:f>
        <x:v>254</x:v>
      </x:c>
      <x:c r="D1273" s="28" t="n">
        <x:f>IF(ISNUMBER('Inputs'!$D$7),EDATE('Inputs'!$D$7,253),"n.a.")</x:f>
        <x:v>54027</x:v>
      </x:c>
      <x:c r="E1273" s="26" t="n">
        <x:f>IF('Inputs'!$D$9&lt;&gt;"Ready","n.a.",IF(ISNUMBER('Inputs'!E272),IF('Inputs'!E272&gt;=0,'Inputs'!E272,"n.a."),IF('Inputs'!E272="",'Inputs'!$D$6,"n.a.")))</x:f>
        <x:v>500</x:v>
      </x:c>
      <x:c r="F1273" s="22" t="n">
        <x:f>IF(COUNT($N$1272:$N$1276)=5,SUM($N$1272:$N$1276),"n.a.")</x:f>
        <x:v>0</x:v>
      </x:c>
      <x:c r="G1273" s="22" t="n">
        <x:f>IF(COUNT(E1273:F1273)=2,MAX(0,E1273-F1273),"n.a.")</x:f>
        <x:v>500</x:v>
      </x:c>
      <x:c r="H1273" s="26" t="str">
        <x:f>'Inputs'!C12</x:f>
        <x:v>Card B</x:v>
      </x:c>
      <x:c r="I1273" s="26" t="n">
        <x:f>S1268</x:f>
        <x:v>0</x:v>
      </x:c>
      <x:c r="J1273" s="29" t="n">
        <x:f>IF('Inputs'!$D$9="Ready",'Inputs'!E12,"n.a.")</x:f>
        <x:v>0.18</x:v>
      </x:c>
      <x:c r="K1273" s="26" t="n">
        <x:f>IF('Inputs'!$D$9="Ready",'Inputs'!F12,"n.a.")</x:f>
        <x:v>60</x:v>
      </x:c>
      <x:c r="L1273" s="29" t="n">
        <x:f>IF('Inputs'!$D$9="Ready",'Inputs'!G12,"n.a.")</x:f>
        <x:v>0.02</x:v>
      </x:c>
      <x:c r="M1273" s="22" t="n">
        <x:f>IF(COUNT(I1273:L1273)=4,ROUND(I1273*J1273/12,2),"n.a.")</x:f>
        <x:v>0</x:v>
      </x:c>
      <x:c r="N1273" s="22" t="n">
        <x:f>IF(COUNT(I1273:M1273)=5,MIN(I1273+M1273,ROUND(MAX(K1273,I1273*L1273+M1273),2)),"n.a.")</x:f>
        <x:v>0</x:v>
      </x:c>
      <x:c r="O1273" s="30" t="n">
        <x:f>IF(COUNT($I$1272:$I$1276)&lt;&gt;5,"n.a.",IF(I1273=0,6,IF('Inputs'!$D$5=1,COUNTIFS($I$1272:$I$1276,"&gt;0",$I$1272:$I$1276,"&lt;"&amp;I1273)+COUNTIFS($I$1272:I1273,I1273),COUNTIFS($I$1272:$I$1276,"&gt;0",$J$1272:$J$1276,"&gt;"&amp;J1273)+COUNTIFS($I$1272:I1273,"&gt;0",$J$1272:J1273,J1273))))</x:f>
        <x:v>6</x:v>
      </x:c>
      <x:c r="P1273" s="22" t="n">
        <x:f>IF(T1273="Ready",MIN(U1273,MAX(0,G1273-SUMIFS($U$1272:$U$1276,$O$1272:$O$1276,"&lt;"&amp;O1273))),"n.a.")</x:f>
        <x:v>0</x:v>
      </x:c>
      <x:c r="Q1273" s="22" t="n">
        <x:f>IF(T1273="Ready",ROUND(N1273+P1273,2),"n.a.")</x:f>
        <x:v>0</x:v>
      </x:c>
      <x:c r="R1273" s="22" t="n">
        <x:f>IF(T1273="Ready",ROUND(Q1273-M1273,2),"n.a.")</x:f>
        <x:v>0</x:v>
      </x:c>
      <x:c r="S1273" s="22" t="n">
        <x:f>IF(T1273="Ready",MAX(0,ROUND(I1273+M1273-Q1273,2)),"n.a.")</x:f>
        <x:v>0</x:v>
      </x:c>
      <x:c r="T1273" s="22" t="str">
        <x:f>IF(AND(COUNT($I$1272:$I$1276)=5,COUNT(E1273:F1273)=2),IF(E1273&gt;=F1273,"Ready","Budget below minima"),"Check inputs")</x:f>
        <x:v>Ready</x:v>
      </x:c>
      <x:c r="U1273" s="22" t="n">
        <x:f>IF(COUNT(I1273,M1273,N1273)=3,MAX(0,ROUND(I1273+M1273-N1273,2)),"n.a.")</x:f>
        <x:v>0</x:v>
      </x:c>
    </x:row>
    <x:row r="1274" ht="22" customHeight="1">
      <x:c r="A1274" s="2"/>
      <x:c r="B1274" s="2"/>
      <x:c r="C1274" s="27" t="n">
        <x:f>254</x:f>
        <x:v>254</x:v>
      </x:c>
      <x:c r="D1274" s="28" t="n">
        <x:f>IF(ISNUMBER('Inputs'!$D$7),EDATE('Inputs'!$D$7,253),"n.a.")</x:f>
        <x:v>54027</x:v>
      </x:c>
      <x:c r="E1274" s="26" t="n">
        <x:f>IF('Inputs'!$D$9&lt;&gt;"Ready","n.a.",IF(ISNUMBER('Inputs'!E272),IF('Inputs'!E272&gt;=0,'Inputs'!E272,"n.a."),IF('Inputs'!E272="",'Inputs'!$D$6,"n.a.")))</x:f>
        <x:v>500</x:v>
      </x:c>
      <x:c r="F1274" s="22" t="n">
        <x:f>IF(COUNT($N$1272:$N$1276)=5,SUM($N$1272:$N$1276),"n.a.")</x:f>
        <x:v>0</x:v>
      </x:c>
      <x:c r="G1274" s="22" t="n">
        <x:f>IF(COUNT(E1274:F1274)=2,MAX(0,E1274-F1274),"n.a.")</x:f>
        <x:v>500</x:v>
      </x:c>
      <x:c r="H1274" s="26" t="str">
        <x:f>'Inputs'!C13</x:f>
        <x:v>Loan C</x:v>
      </x:c>
      <x:c r="I1274" s="26" t="n">
        <x:f>S1269</x:f>
        <x:v>0</x:v>
      </x:c>
      <x:c r="J1274" s="29" t="n">
        <x:f>IF('Inputs'!$D$9="Ready",'Inputs'!E13,"n.a.")</x:f>
        <x:v>0.08</x:v>
      </x:c>
      <x:c r="K1274" s="26" t="n">
        <x:f>IF('Inputs'!$D$9="Ready",'Inputs'!F13,"n.a.")</x:f>
        <x:v>150</x:v>
      </x:c>
      <x:c r="L1274" s="29" t="n">
        <x:f>IF('Inputs'!$D$9="Ready",'Inputs'!G13,"n.a.")</x:f>
        <x:v>0</x:v>
      </x:c>
      <x:c r="M1274" s="22" t="n">
        <x:f>IF(COUNT(I1274:L1274)=4,ROUND(I1274*J1274/12,2),"n.a.")</x:f>
        <x:v>0</x:v>
      </x:c>
      <x:c r="N1274" s="22" t="n">
        <x:f>IF(COUNT(I1274:M1274)=5,MIN(I1274+M1274,ROUND(MAX(K1274,I1274*L1274+M1274),2)),"n.a.")</x:f>
        <x:v>0</x:v>
      </x:c>
      <x:c r="O1274" s="30" t="n">
        <x:f>IF(COUNT($I$1272:$I$1276)&lt;&gt;5,"n.a.",IF(I1274=0,6,IF('Inputs'!$D$5=1,COUNTIFS($I$1272:$I$1276,"&gt;0",$I$1272:$I$1276,"&lt;"&amp;I1274)+COUNTIFS($I$1272:I1274,I1274),COUNTIFS($I$1272:$I$1276,"&gt;0",$J$1272:$J$1276,"&gt;"&amp;J1274)+COUNTIFS($I$1272:I1274,"&gt;0",$J$1272:J1274,J1274))))</x:f>
        <x:v>6</x:v>
      </x:c>
      <x:c r="P1274" s="22" t="n">
        <x:f>IF(T1274="Ready",MIN(U1274,MAX(0,G1274-SUMIFS($U$1272:$U$1276,$O$1272:$O$1276,"&lt;"&amp;O1274))),"n.a.")</x:f>
        <x:v>0</x:v>
      </x:c>
      <x:c r="Q1274" s="22" t="n">
        <x:f>IF(T1274="Ready",ROUND(N1274+P1274,2),"n.a.")</x:f>
        <x:v>0</x:v>
      </x:c>
      <x:c r="R1274" s="22" t="n">
        <x:f>IF(T1274="Ready",ROUND(Q1274-M1274,2),"n.a.")</x:f>
        <x:v>0</x:v>
      </x:c>
      <x:c r="S1274" s="22" t="n">
        <x:f>IF(T1274="Ready",MAX(0,ROUND(I1274+M1274-Q1274,2)),"n.a.")</x:f>
        <x:v>0</x:v>
      </x:c>
      <x:c r="T1274" s="22" t="str">
        <x:f>IF(AND(COUNT($I$1272:$I$1276)=5,COUNT(E1274:F1274)=2),IF(E1274&gt;=F1274,"Ready","Budget below minima"),"Check inputs")</x:f>
        <x:v>Ready</x:v>
      </x:c>
      <x:c r="U1274" s="22" t="n">
        <x:f>IF(COUNT(I1274,M1274,N1274)=3,MAX(0,ROUND(I1274+M1274-N1274,2)),"n.a.")</x:f>
        <x:v>0</x:v>
      </x:c>
    </x:row>
    <x:row r="1275" ht="22" customHeight="1">
      <x:c r="A1275" s="2"/>
      <x:c r="B1275" s="2"/>
      <x:c r="C1275" s="27" t="n">
        <x:f>254</x:f>
        <x:v>254</x:v>
      </x:c>
      <x:c r="D1275" s="28" t="n">
        <x:f>IF(ISNUMBER('Inputs'!$D$7),EDATE('Inputs'!$D$7,253),"n.a.")</x:f>
        <x:v>54027</x:v>
      </x:c>
      <x:c r="E1275" s="26" t="n">
        <x:f>IF('Inputs'!$D$9&lt;&gt;"Ready","n.a.",IF(ISNUMBER('Inputs'!E272),IF('Inputs'!E272&gt;=0,'Inputs'!E272,"n.a."),IF('Inputs'!E272="",'Inputs'!$D$6,"n.a.")))</x:f>
        <x:v>500</x:v>
      </x:c>
      <x:c r="F1275" s="22" t="n">
        <x:f>IF(COUNT($N$1272:$N$1276)=5,SUM($N$1272:$N$1276),"n.a.")</x:f>
        <x:v>0</x:v>
      </x:c>
      <x:c r="G1275" s="22" t="n">
        <x:f>IF(COUNT(E1275:F1275)=2,MAX(0,E1275-F1275),"n.a.")</x:f>
        <x:v>500</x:v>
      </x:c>
      <x:c r="H1275" s="26" t="str">
        <x:f>'Inputs'!C14</x:f>
        <x:v>Unused 4</x:v>
      </x:c>
      <x:c r="I1275" s="26" t="n">
        <x:f>S1270</x:f>
        <x:v>0</x:v>
      </x:c>
      <x:c r="J1275" s="29" t="n">
        <x:f>IF('Inputs'!$D$9="Ready",'Inputs'!E14,"n.a.")</x:f>
        <x:v>0</x:v>
      </x:c>
      <x:c r="K1275" s="26" t="n">
        <x:f>IF('Inputs'!$D$9="Ready",'Inputs'!F14,"n.a.")</x:f>
        <x:v>0</x:v>
      </x:c>
      <x:c r="L1275" s="29" t="n">
        <x:f>IF('Inputs'!$D$9="Ready",'Inputs'!G14,"n.a.")</x:f>
        <x:v>0</x:v>
      </x:c>
      <x:c r="M1275" s="22" t="n">
        <x:f>IF(COUNT(I1275:L1275)=4,ROUND(I1275*J1275/12,2),"n.a.")</x:f>
        <x:v>0</x:v>
      </x:c>
      <x:c r="N1275" s="22" t="n">
        <x:f>IF(COUNT(I1275:M1275)=5,MIN(I1275+M1275,ROUND(MAX(K1275,I1275*L1275+M1275),2)),"n.a.")</x:f>
        <x:v>0</x:v>
      </x:c>
      <x:c r="O1275" s="30" t="n">
        <x:f>IF(COUNT($I$1272:$I$1276)&lt;&gt;5,"n.a.",IF(I1275=0,6,IF('Inputs'!$D$5=1,COUNTIFS($I$1272:$I$1276,"&gt;0",$I$1272:$I$1276,"&lt;"&amp;I1275)+COUNTIFS($I$1272:I1275,I1275),COUNTIFS($I$1272:$I$1276,"&gt;0",$J$1272:$J$1276,"&gt;"&amp;J1275)+COUNTIFS($I$1272:I1275,"&gt;0",$J$1272:J1275,J1275))))</x:f>
        <x:v>6</x:v>
      </x:c>
      <x:c r="P1275" s="22" t="n">
        <x:f>IF(T1275="Ready",MIN(U1275,MAX(0,G1275-SUMIFS($U$1272:$U$1276,$O$1272:$O$1276,"&lt;"&amp;O1275))),"n.a.")</x:f>
        <x:v>0</x:v>
      </x:c>
      <x:c r="Q1275" s="22" t="n">
        <x:f>IF(T1275="Ready",ROUND(N1275+P1275,2),"n.a.")</x:f>
        <x:v>0</x:v>
      </x:c>
      <x:c r="R1275" s="22" t="n">
        <x:f>IF(T1275="Ready",ROUND(Q1275-M1275,2),"n.a.")</x:f>
        <x:v>0</x:v>
      </x:c>
      <x:c r="S1275" s="22" t="n">
        <x:f>IF(T1275="Ready",MAX(0,ROUND(I1275+M1275-Q1275,2)),"n.a.")</x:f>
        <x:v>0</x:v>
      </x:c>
      <x:c r="T1275" s="22" t="str">
        <x:f>IF(AND(COUNT($I$1272:$I$1276)=5,COUNT(E1275:F1275)=2),IF(E1275&gt;=F1275,"Ready","Budget below minima"),"Check inputs")</x:f>
        <x:v>Ready</x:v>
      </x:c>
      <x:c r="U1275" s="22" t="n">
        <x:f>IF(COUNT(I1275,M1275,N1275)=3,MAX(0,ROUND(I1275+M1275-N1275,2)),"n.a.")</x:f>
        <x:v>0</x:v>
      </x:c>
    </x:row>
    <x:row r="1276" ht="22" customHeight="1">
      <x:c r="A1276" s="2"/>
      <x:c r="B1276" s="2"/>
      <x:c r="C1276" s="27" t="n">
        <x:f>254</x:f>
        <x:v>254</x:v>
      </x:c>
      <x:c r="D1276" s="28" t="n">
        <x:f>IF(ISNUMBER('Inputs'!$D$7),EDATE('Inputs'!$D$7,253),"n.a.")</x:f>
        <x:v>54027</x:v>
      </x:c>
      <x:c r="E1276" s="26" t="n">
        <x:f>IF('Inputs'!$D$9&lt;&gt;"Ready","n.a.",IF(ISNUMBER('Inputs'!E272),IF('Inputs'!E272&gt;=0,'Inputs'!E272,"n.a."),IF('Inputs'!E272="",'Inputs'!$D$6,"n.a.")))</x:f>
        <x:v>500</x:v>
      </x:c>
      <x:c r="F1276" s="22" t="n">
        <x:f>IF(COUNT($N$1272:$N$1276)=5,SUM($N$1272:$N$1276),"n.a.")</x:f>
        <x:v>0</x:v>
      </x:c>
      <x:c r="G1276" s="22" t="n">
        <x:f>IF(COUNT(E1276:F1276)=2,MAX(0,E1276-F1276),"n.a.")</x:f>
        <x:v>500</x:v>
      </x:c>
      <x:c r="H1276" s="26" t="str">
        <x:f>'Inputs'!C15</x:f>
        <x:v>Unused 5</x:v>
      </x:c>
      <x:c r="I1276" s="26" t="n">
        <x:f>S1271</x:f>
        <x:v>0</x:v>
      </x:c>
      <x:c r="J1276" s="29" t="n">
        <x:f>IF('Inputs'!$D$9="Ready",'Inputs'!E15,"n.a.")</x:f>
        <x:v>0</x:v>
      </x:c>
      <x:c r="K1276" s="26" t="n">
        <x:f>IF('Inputs'!$D$9="Ready",'Inputs'!F15,"n.a.")</x:f>
        <x:v>0</x:v>
      </x:c>
      <x:c r="L1276" s="29" t="n">
        <x:f>IF('Inputs'!$D$9="Ready",'Inputs'!G15,"n.a.")</x:f>
        <x:v>0</x:v>
      </x:c>
      <x:c r="M1276" s="22" t="n">
        <x:f>IF(COUNT(I1276:L1276)=4,ROUND(I1276*J1276/12,2),"n.a.")</x:f>
        <x:v>0</x:v>
      </x:c>
      <x:c r="N1276" s="22" t="n">
        <x:f>IF(COUNT(I1276:M1276)=5,MIN(I1276+M1276,ROUND(MAX(K1276,I1276*L1276+M1276),2)),"n.a.")</x:f>
        <x:v>0</x:v>
      </x:c>
      <x:c r="O1276" s="30" t="n">
        <x:f>IF(COUNT($I$1272:$I$1276)&lt;&gt;5,"n.a.",IF(I1276=0,6,IF('Inputs'!$D$5=1,COUNTIFS($I$1272:$I$1276,"&gt;0",$I$1272:$I$1276,"&lt;"&amp;I1276)+COUNTIFS($I$1272:I1276,I1276),COUNTIFS($I$1272:$I$1276,"&gt;0",$J$1272:$J$1276,"&gt;"&amp;J1276)+COUNTIFS($I$1272:I1276,"&gt;0",$J$1272:J1276,J1276))))</x:f>
        <x:v>6</x:v>
      </x:c>
      <x:c r="P1276" s="22" t="n">
        <x:f>IF(T1276="Ready",MIN(U1276,MAX(0,G1276-SUMIFS($U$1272:$U$1276,$O$1272:$O$1276,"&lt;"&amp;O1276))),"n.a.")</x:f>
        <x:v>0</x:v>
      </x:c>
      <x:c r="Q1276" s="22" t="n">
        <x:f>IF(T1276="Ready",ROUND(N1276+P1276,2),"n.a.")</x:f>
        <x:v>0</x:v>
      </x:c>
      <x:c r="R1276" s="22" t="n">
        <x:f>IF(T1276="Ready",ROUND(Q1276-M1276,2),"n.a.")</x:f>
        <x:v>0</x:v>
      </x:c>
      <x:c r="S1276" s="22" t="n">
        <x:f>IF(T1276="Ready",MAX(0,ROUND(I1276+M1276-Q1276,2)),"n.a.")</x:f>
        <x:v>0</x:v>
      </x:c>
      <x:c r="T1276" s="22" t="str">
        <x:f>IF(AND(COUNT($I$1272:$I$1276)=5,COUNT(E1276:F1276)=2),IF(E1276&gt;=F1276,"Ready","Budget below minima"),"Check inputs")</x:f>
        <x:v>Ready</x:v>
      </x:c>
      <x:c r="U1276" s="22" t="n">
        <x:f>IF(COUNT(I1276,M1276,N1276)=3,MAX(0,ROUND(I1276+M1276-N1276,2)),"n.a.")</x:f>
        <x:v>0</x:v>
      </x:c>
    </x:row>
    <x:row r="1277" ht="22" customHeight="1">
      <x:c r="A1277" s="2"/>
      <x:c r="B1277" s="2"/>
      <x:c r="C1277" s="27" t="n">
        <x:f>255</x:f>
        <x:v>255</x:v>
      </x:c>
      <x:c r="D1277" s="28" t="n">
        <x:f>IF(ISNUMBER('Inputs'!$D$7),EDATE('Inputs'!$D$7,254),"n.a.")</x:f>
        <x:v>54058</x:v>
      </x:c>
      <x:c r="E1277" s="26" t="n">
        <x:f>IF('Inputs'!$D$9&lt;&gt;"Ready","n.a.",IF(ISNUMBER('Inputs'!E273),IF('Inputs'!E273&gt;=0,'Inputs'!E273,"n.a."),IF('Inputs'!E273="",'Inputs'!$D$6,"n.a.")))</x:f>
        <x:v>500</x:v>
      </x:c>
      <x:c r="F1277" s="22" t="n">
        <x:f>IF(COUNT($N$1277:$N$1281)=5,SUM($N$1277:$N$1281),"n.a.")</x:f>
        <x:v>0</x:v>
      </x:c>
      <x:c r="G1277" s="22" t="n">
        <x:f>IF(COUNT(E1277:F1277)=2,MAX(0,E1277-F1277),"n.a.")</x:f>
        <x:v>500</x:v>
      </x:c>
      <x:c r="H1277" s="26" t="str">
        <x:f>'Inputs'!C11</x:f>
        <x:v>Card A</x:v>
      </x:c>
      <x:c r="I1277" s="26" t="n">
        <x:f>S1272</x:f>
        <x:v>0</x:v>
      </x:c>
      <x:c r="J1277" s="29" t="n">
        <x:f>IF('Inputs'!$D$9="Ready",'Inputs'!E11,"n.a.")</x:f>
        <x:v>0.24</x:v>
      </x:c>
      <x:c r="K1277" s="26" t="n">
        <x:f>IF('Inputs'!$D$9="Ready",'Inputs'!F11,"n.a.")</x:f>
        <x:v>35</x:v>
      </x:c>
      <x:c r="L1277" s="29" t="n">
        <x:f>IF('Inputs'!$D$9="Ready",'Inputs'!G11,"n.a.")</x:f>
        <x:v>0.02</x:v>
      </x:c>
      <x:c r="M1277" s="22" t="n">
        <x:f>IF(COUNT(I1277:L1277)=4,ROUND(I1277*J1277/12,2),"n.a.")</x:f>
        <x:v>0</x:v>
      </x:c>
      <x:c r="N1277" s="22" t="n">
        <x:f>IF(COUNT(I1277:M1277)=5,MIN(I1277+M1277,ROUND(MAX(K1277,I1277*L1277+M1277),2)),"n.a.")</x:f>
        <x:v>0</x:v>
      </x:c>
      <x:c r="O1277" s="30" t="n">
        <x:f>IF(COUNT($I$1277:$I$1281)&lt;&gt;5,"n.a.",IF(I1277=0,6,IF('Inputs'!$D$5=1,COUNTIFS($I$1277:$I$1281,"&gt;0",$I$1277:$I$1281,"&lt;"&amp;I1277)+COUNTIFS($I$1277:I1277,I1277),COUNTIFS($I$1277:$I$1281,"&gt;0",$J$1277:$J$1281,"&gt;"&amp;J1277)+COUNTIFS($I$1277:I1277,"&gt;0",$J$1277:J1277,J1277))))</x:f>
        <x:v>6</x:v>
      </x:c>
      <x:c r="P1277" s="22" t="n">
        <x:f>IF(T1277="Ready",MIN(U1277,MAX(0,G1277-SUMIFS($U$1277:$U$1281,$O$1277:$O$1281,"&lt;"&amp;O1277))),"n.a.")</x:f>
        <x:v>0</x:v>
      </x:c>
      <x:c r="Q1277" s="22" t="n">
        <x:f>IF(T1277="Ready",ROUND(N1277+P1277,2),"n.a.")</x:f>
        <x:v>0</x:v>
      </x:c>
      <x:c r="R1277" s="22" t="n">
        <x:f>IF(T1277="Ready",ROUND(Q1277-M1277,2),"n.a.")</x:f>
        <x:v>0</x:v>
      </x:c>
      <x:c r="S1277" s="22" t="n">
        <x:f>IF(T1277="Ready",MAX(0,ROUND(I1277+M1277-Q1277,2)),"n.a.")</x:f>
        <x:v>0</x:v>
      </x:c>
      <x:c r="T1277" s="22" t="str">
        <x:f>IF(AND(COUNT($I$1277:$I$1281)=5,COUNT(E1277:F1277)=2),IF(E1277&gt;=F1277,"Ready","Budget below minima"),"Check inputs")</x:f>
        <x:v>Ready</x:v>
      </x:c>
      <x:c r="U1277" s="22" t="n">
        <x:f>IF(COUNT(I1277,M1277,N1277)=3,MAX(0,ROUND(I1277+M1277-N1277,2)),"n.a.")</x:f>
        <x:v>0</x:v>
      </x:c>
    </x:row>
    <x:row r="1278" ht="22" customHeight="1">
      <x:c r="A1278" s="2"/>
      <x:c r="B1278" s="2"/>
      <x:c r="C1278" s="27" t="n">
        <x:f>255</x:f>
        <x:v>255</x:v>
      </x:c>
      <x:c r="D1278" s="28" t="n">
        <x:f>IF(ISNUMBER('Inputs'!$D$7),EDATE('Inputs'!$D$7,254),"n.a.")</x:f>
        <x:v>54058</x:v>
      </x:c>
      <x:c r="E1278" s="26" t="n">
        <x:f>IF('Inputs'!$D$9&lt;&gt;"Ready","n.a.",IF(ISNUMBER('Inputs'!E273),IF('Inputs'!E273&gt;=0,'Inputs'!E273,"n.a."),IF('Inputs'!E273="",'Inputs'!$D$6,"n.a.")))</x:f>
        <x:v>500</x:v>
      </x:c>
      <x:c r="F1278" s="22" t="n">
        <x:f>IF(COUNT($N$1277:$N$1281)=5,SUM($N$1277:$N$1281),"n.a.")</x:f>
        <x:v>0</x:v>
      </x:c>
      <x:c r="G1278" s="22" t="n">
        <x:f>IF(COUNT(E1278:F1278)=2,MAX(0,E1278-F1278),"n.a.")</x:f>
        <x:v>500</x:v>
      </x:c>
      <x:c r="H1278" s="26" t="str">
        <x:f>'Inputs'!C12</x:f>
        <x:v>Card B</x:v>
      </x:c>
      <x:c r="I1278" s="26" t="n">
        <x:f>S1273</x:f>
        <x:v>0</x:v>
      </x:c>
      <x:c r="J1278" s="29" t="n">
        <x:f>IF('Inputs'!$D$9="Ready",'Inputs'!E12,"n.a.")</x:f>
        <x:v>0.18</x:v>
      </x:c>
      <x:c r="K1278" s="26" t="n">
        <x:f>IF('Inputs'!$D$9="Ready",'Inputs'!F12,"n.a.")</x:f>
        <x:v>60</x:v>
      </x:c>
      <x:c r="L1278" s="29" t="n">
        <x:f>IF('Inputs'!$D$9="Ready",'Inputs'!G12,"n.a.")</x:f>
        <x:v>0.02</x:v>
      </x:c>
      <x:c r="M1278" s="22" t="n">
        <x:f>IF(COUNT(I1278:L1278)=4,ROUND(I1278*J1278/12,2),"n.a.")</x:f>
        <x:v>0</x:v>
      </x:c>
      <x:c r="N1278" s="22" t="n">
        <x:f>IF(COUNT(I1278:M1278)=5,MIN(I1278+M1278,ROUND(MAX(K1278,I1278*L1278+M1278),2)),"n.a.")</x:f>
        <x:v>0</x:v>
      </x:c>
      <x:c r="O1278" s="30" t="n">
        <x:f>IF(COUNT($I$1277:$I$1281)&lt;&gt;5,"n.a.",IF(I1278=0,6,IF('Inputs'!$D$5=1,COUNTIFS($I$1277:$I$1281,"&gt;0",$I$1277:$I$1281,"&lt;"&amp;I1278)+COUNTIFS($I$1277:I1278,I1278),COUNTIFS($I$1277:$I$1281,"&gt;0",$J$1277:$J$1281,"&gt;"&amp;J1278)+COUNTIFS($I$1277:I1278,"&gt;0",$J$1277:J1278,J1278))))</x:f>
        <x:v>6</x:v>
      </x:c>
      <x:c r="P1278" s="22" t="n">
        <x:f>IF(T1278="Ready",MIN(U1278,MAX(0,G1278-SUMIFS($U$1277:$U$1281,$O$1277:$O$1281,"&lt;"&amp;O1278))),"n.a.")</x:f>
        <x:v>0</x:v>
      </x:c>
      <x:c r="Q1278" s="22" t="n">
        <x:f>IF(T1278="Ready",ROUND(N1278+P1278,2),"n.a.")</x:f>
        <x:v>0</x:v>
      </x:c>
      <x:c r="R1278" s="22" t="n">
        <x:f>IF(T1278="Ready",ROUND(Q1278-M1278,2),"n.a.")</x:f>
        <x:v>0</x:v>
      </x:c>
      <x:c r="S1278" s="22" t="n">
        <x:f>IF(T1278="Ready",MAX(0,ROUND(I1278+M1278-Q1278,2)),"n.a.")</x:f>
        <x:v>0</x:v>
      </x:c>
      <x:c r="T1278" s="22" t="str">
        <x:f>IF(AND(COUNT($I$1277:$I$1281)=5,COUNT(E1278:F1278)=2),IF(E1278&gt;=F1278,"Ready","Budget below minima"),"Check inputs")</x:f>
        <x:v>Ready</x:v>
      </x:c>
      <x:c r="U1278" s="22" t="n">
        <x:f>IF(COUNT(I1278,M1278,N1278)=3,MAX(0,ROUND(I1278+M1278-N1278,2)),"n.a.")</x:f>
        <x:v>0</x:v>
      </x:c>
    </x:row>
    <x:row r="1279" ht="22" customHeight="1">
      <x:c r="A1279" s="2"/>
      <x:c r="B1279" s="2"/>
      <x:c r="C1279" s="27" t="n">
        <x:f>255</x:f>
        <x:v>255</x:v>
      </x:c>
      <x:c r="D1279" s="28" t="n">
        <x:f>IF(ISNUMBER('Inputs'!$D$7),EDATE('Inputs'!$D$7,254),"n.a.")</x:f>
        <x:v>54058</x:v>
      </x:c>
      <x:c r="E1279" s="26" t="n">
        <x:f>IF('Inputs'!$D$9&lt;&gt;"Ready","n.a.",IF(ISNUMBER('Inputs'!E273),IF('Inputs'!E273&gt;=0,'Inputs'!E273,"n.a."),IF('Inputs'!E273="",'Inputs'!$D$6,"n.a.")))</x:f>
        <x:v>500</x:v>
      </x:c>
      <x:c r="F1279" s="22" t="n">
        <x:f>IF(COUNT($N$1277:$N$1281)=5,SUM($N$1277:$N$1281),"n.a.")</x:f>
        <x:v>0</x:v>
      </x:c>
      <x:c r="G1279" s="22" t="n">
        <x:f>IF(COUNT(E1279:F1279)=2,MAX(0,E1279-F1279),"n.a.")</x:f>
        <x:v>500</x:v>
      </x:c>
      <x:c r="H1279" s="26" t="str">
        <x:f>'Inputs'!C13</x:f>
        <x:v>Loan C</x:v>
      </x:c>
      <x:c r="I1279" s="26" t="n">
        <x:f>S1274</x:f>
        <x:v>0</x:v>
      </x:c>
      <x:c r="J1279" s="29" t="n">
        <x:f>IF('Inputs'!$D$9="Ready",'Inputs'!E13,"n.a.")</x:f>
        <x:v>0.08</x:v>
      </x:c>
      <x:c r="K1279" s="26" t="n">
        <x:f>IF('Inputs'!$D$9="Ready",'Inputs'!F13,"n.a.")</x:f>
        <x:v>150</x:v>
      </x:c>
      <x:c r="L1279" s="29" t="n">
        <x:f>IF('Inputs'!$D$9="Ready",'Inputs'!G13,"n.a.")</x:f>
        <x:v>0</x:v>
      </x:c>
      <x:c r="M1279" s="22" t="n">
        <x:f>IF(COUNT(I1279:L1279)=4,ROUND(I1279*J1279/12,2),"n.a.")</x:f>
        <x:v>0</x:v>
      </x:c>
      <x:c r="N1279" s="22" t="n">
        <x:f>IF(COUNT(I1279:M1279)=5,MIN(I1279+M1279,ROUND(MAX(K1279,I1279*L1279+M1279),2)),"n.a.")</x:f>
        <x:v>0</x:v>
      </x:c>
      <x:c r="O1279" s="30" t="n">
        <x:f>IF(COUNT($I$1277:$I$1281)&lt;&gt;5,"n.a.",IF(I1279=0,6,IF('Inputs'!$D$5=1,COUNTIFS($I$1277:$I$1281,"&gt;0",$I$1277:$I$1281,"&lt;"&amp;I1279)+COUNTIFS($I$1277:I1279,I1279),COUNTIFS($I$1277:$I$1281,"&gt;0",$J$1277:$J$1281,"&gt;"&amp;J1279)+COUNTIFS($I$1277:I1279,"&gt;0",$J$1277:J1279,J1279))))</x:f>
        <x:v>6</x:v>
      </x:c>
      <x:c r="P1279" s="22" t="n">
        <x:f>IF(T1279="Ready",MIN(U1279,MAX(0,G1279-SUMIFS($U$1277:$U$1281,$O$1277:$O$1281,"&lt;"&amp;O1279))),"n.a.")</x:f>
        <x:v>0</x:v>
      </x:c>
      <x:c r="Q1279" s="22" t="n">
        <x:f>IF(T1279="Ready",ROUND(N1279+P1279,2),"n.a.")</x:f>
        <x:v>0</x:v>
      </x:c>
      <x:c r="R1279" s="22" t="n">
        <x:f>IF(T1279="Ready",ROUND(Q1279-M1279,2),"n.a.")</x:f>
        <x:v>0</x:v>
      </x:c>
      <x:c r="S1279" s="22" t="n">
        <x:f>IF(T1279="Ready",MAX(0,ROUND(I1279+M1279-Q1279,2)),"n.a.")</x:f>
        <x:v>0</x:v>
      </x:c>
      <x:c r="T1279" s="22" t="str">
        <x:f>IF(AND(COUNT($I$1277:$I$1281)=5,COUNT(E1279:F1279)=2),IF(E1279&gt;=F1279,"Ready","Budget below minima"),"Check inputs")</x:f>
        <x:v>Ready</x:v>
      </x:c>
      <x:c r="U1279" s="22" t="n">
        <x:f>IF(COUNT(I1279,M1279,N1279)=3,MAX(0,ROUND(I1279+M1279-N1279,2)),"n.a.")</x:f>
        <x:v>0</x:v>
      </x:c>
    </x:row>
    <x:row r="1280" ht="22" customHeight="1">
      <x:c r="A1280" s="2"/>
      <x:c r="B1280" s="2"/>
      <x:c r="C1280" s="27" t="n">
        <x:f>255</x:f>
        <x:v>255</x:v>
      </x:c>
      <x:c r="D1280" s="28" t="n">
        <x:f>IF(ISNUMBER('Inputs'!$D$7),EDATE('Inputs'!$D$7,254),"n.a.")</x:f>
        <x:v>54058</x:v>
      </x:c>
      <x:c r="E1280" s="26" t="n">
        <x:f>IF('Inputs'!$D$9&lt;&gt;"Ready","n.a.",IF(ISNUMBER('Inputs'!E273),IF('Inputs'!E273&gt;=0,'Inputs'!E273,"n.a."),IF('Inputs'!E273="",'Inputs'!$D$6,"n.a.")))</x:f>
        <x:v>500</x:v>
      </x:c>
      <x:c r="F1280" s="22" t="n">
        <x:f>IF(COUNT($N$1277:$N$1281)=5,SUM($N$1277:$N$1281),"n.a.")</x:f>
        <x:v>0</x:v>
      </x:c>
      <x:c r="G1280" s="22" t="n">
        <x:f>IF(COUNT(E1280:F1280)=2,MAX(0,E1280-F1280),"n.a.")</x:f>
        <x:v>500</x:v>
      </x:c>
      <x:c r="H1280" s="26" t="str">
        <x:f>'Inputs'!C14</x:f>
        <x:v>Unused 4</x:v>
      </x:c>
      <x:c r="I1280" s="26" t="n">
        <x:f>S1275</x:f>
        <x:v>0</x:v>
      </x:c>
      <x:c r="J1280" s="29" t="n">
        <x:f>IF('Inputs'!$D$9="Ready",'Inputs'!E14,"n.a.")</x:f>
        <x:v>0</x:v>
      </x:c>
      <x:c r="K1280" s="26" t="n">
        <x:f>IF('Inputs'!$D$9="Ready",'Inputs'!F14,"n.a.")</x:f>
        <x:v>0</x:v>
      </x:c>
      <x:c r="L1280" s="29" t="n">
        <x:f>IF('Inputs'!$D$9="Ready",'Inputs'!G14,"n.a.")</x:f>
        <x:v>0</x:v>
      </x:c>
      <x:c r="M1280" s="22" t="n">
        <x:f>IF(COUNT(I1280:L1280)=4,ROUND(I1280*J1280/12,2),"n.a.")</x:f>
        <x:v>0</x:v>
      </x:c>
      <x:c r="N1280" s="22" t="n">
        <x:f>IF(COUNT(I1280:M1280)=5,MIN(I1280+M1280,ROUND(MAX(K1280,I1280*L1280+M1280),2)),"n.a.")</x:f>
        <x:v>0</x:v>
      </x:c>
      <x:c r="O1280" s="30" t="n">
        <x:f>IF(COUNT($I$1277:$I$1281)&lt;&gt;5,"n.a.",IF(I1280=0,6,IF('Inputs'!$D$5=1,COUNTIFS($I$1277:$I$1281,"&gt;0",$I$1277:$I$1281,"&lt;"&amp;I1280)+COUNTIFS($I$1277:I1280,I1280),COUNTIFS($I$1277:$I$1281,"&gt;0",$J$1277:$J$1281,"&gt;"&amp;J1280)+COUNTIFS($I$1277:I1280,"&gt;0",$J$1277:J1280,J1280))))</x:f>
        <x:v>6</x:v>
      </x:c>
      <x:c r="P1280" s="22" t="n">
        <x:f>IF(T1280="Ready",MIN(U1280,MAX(0,G1280-SUMIFS($U$1277:$U$1281,$O$1277:$O$1281,"&lt;"&amp;O1280))),"n.a.")</x:f>
        <x:v>0</x:v>
      </x:c>
      <x:c r="Q1280" s="22" t="n">
        <x:f>IF(T1280="Ready",ROUND(N1280+P1280,2),"n.a.")</x:f>
        <x:v>0</x:v>
      </x:c>
      <x:c r="R1280" s="22" t="n">
        <x:f>IF(T1280="Ready",ROUND(Q1280-M1280,2),"n.a.")</x:f>
        <x:v>0</x:v>
      </x:c>
      <x:c r="S1280" s="22" t="n">
        <x:f>IF(T1280="Ready",MAX(0,ROUND(I1280+M1280-Q1280,2)),"n.a.")</x:f>
        <x:v>0</x:v>
      </x:c>
      <x:c r="T1280" s="22" t="str">
        <x:f>IF(AND(COUNT($I$1277:$I$1281)=5,COUNT(E1280:F1280)=2),IF(E1280&gt;=F1280,"Ready","Budget below minima"),"Check inputs")</x:f>
        <x:v>Ready</x:v>
      </x:c>
      <x:c r="U1280" s="22" t="n">
        <x:f>IF(COUNT(I1280,M1280,N1280)=3,MAX(0,ROUND(I1280+M1280-N1280,2)),"n.a.")</x:f>
        <x:v>0</x:v>
      </x:c>
    </x:row>
    <x:row r="1281" ht="22" customHeight="1">
      <x:c r="A1281" s="2"/>
      <x:c r="B1281" s="2"/>
      <x:c r="C1281" s="27" t="n">
        <x:f>255</x:f>
        <x:v>255</x:v>
      </x:c>
      <x:c r="D1281" s="28" t="n">
        <x:f>IF(ISNUMBER('Inputs'!$D$7),EDATE('Inputs'!$D$7,254),"n.a.")</x:f>
        <x:v>54058</x:v>
      </x:c>
      <x:c r="E1281" s="26" t="n">
        <x:f>IF('Inputs'!$D$9&lt;&gt;"Ready","n.a.",IF(ISNUMBER('Inputs'!E273),IF('Inputs'!E273&gt;=0,'Inputs'!E273,"n.a."),IF('Inputs'!E273="",'Inputs'!$D$6,"n.a.")))</x:f>
        <x:v>500</x:v>
      </x:c>
      <x:c r="F1281" s="22" t="n">
        <x:f>IF(COUNT($N$1277:$N$1281)=5,SUM($N$1277:$N$1281),"n.a.")</x:f>
        <x:v>0</x:v>
      </x:c>
      <x:c r="G1281" s="22" t="n">
        <x:f>IF(COUNT(E1281:F1281)=2,MAX(0,E1281-F1281),"n.a.")</x:f>
        <x:v>500</x:v>
      </x:c>
      <x:c r="H1281" s="26" t="str">
        <x:f>'Inputs'!C15</x:f>
        <x:v>Unused 5</x:v>
      </x:c>
      <x:c r="I1281" s="26" t="n">
        <x:f>S1276</x:f>
        <x:v>0</x:v>
      </x:c>
      <x:c r="J1281" s="29" t="n">
        <x:f>IF('Inputs'!$D$9="Ready",'Inputs'!E15,"n.a.")</x:f>
        <x:v>0</x:v>
      </x:c>
      <x:c r="K1281" s="26" t="n">
        <x:f>IF('Inputs'!$D$9="Ready",'Inputs'!F15,"n.a.")</x:f>
        <x:v>0</x:v>
      </x:c>
      <x:c r="L1281" s="29" t="n">
        <x:f>IF('Inputs'!$D$9="Ready",'Inputs'!G15,"n.a.")</x:f>
        <x:v>0</x:v>
      </x:c>
      <x:c r="M1281" s="22" t="n">
        <x:f>IF(COUNT(I1281:L1281)=4,ROUND(I1281*J1281/12,2),"n.a.")</x:f>
        <x:v>0</x:v>
      </x:c>
      <x:c r="N1281" s="22" t="n">
        <x:f>IF(COUNT(I1281:M1281)=5,MIN(I1281+M1281,ROUND(MAX(K1281,I1281*L1281+M1281),2)),"n.a.")</x:f>
        <x:v>0</x:v>
      </x:c>
      <x:c r="O1281" s="30" t="n">
        <x:f>IF(COUNT($I$1277:$I$1281)&lt;&gt;5,"n.a.",IF(I1281=0,6,IF('Inputs'!$D$5=1,COUNTIFS($I$1277:$I$1281,"&gt;0",$I$1277:$I$1281,"&lt;"&amp;I1281)+COUNTIFS($I$1277:I1281,I1281),COUNTIFS($I$1277:$I$1281,"&gt;0",$J$1277:$J$1281,"&gt;"&amp;J1281)+COUNTIFS($I$1277:I1281,"&gt;0",$J$1277:J1281,J1281))))</x:f>
        <x:v>6</x:v>
      </x:c>
      <x:c r="P1281" s="22" t="n">
        <x:f>IF(T1281="Ready",MIN(U1281,MAX(0,G1281-SUMIFS($U$1277:$U$1281,$O$1277:$O$1281,"&lt;"&amp;O1281))),"n.a.")</x:f>
        <x:v>0</x:v>
      </x:c>
      <x:c r="Q1281" s="22" t="n">
        <x:f>IF(T1281="Ready",ROUND(N1281+P1281,2),"n.a.")</x:f>
        <x:v>0</x:v>
      </x:c>
      <x:c r="R1281" s="22" t="n">
        <x:f>IF(T1281="Ready",ROUND(Q1281-M1281,2),"n.a.")</x:f>
        <x:v>0</x:v>
      </x:c>
      <x:c r="S1281" s="22" t="n">
        <x:f>IF(T1281="Ready",MAX(0,ROUND(I1281+M1281-Q1281,2)),"n.a.")</x:f>
        <x:v>0</x:v>
      </x:c>
      <x:c r="T1281" s="22" t="str">
        <x:f>IF(AND(COUNT($I$1277:$I$1281)=5,COUNT(E1281:F1281)=2),IF(E1281&gt;=F1281,"Ready","Budget below minima"),"Check inputs")</x:f>
        <x:v>Ready</x:v>
      </x:c>
      <x:c r="U1281" s="22" t="n">
        <x:f>IF(COUNT(I1281,M1281,N1281)=3,MAX(0,ROUND(I1281+M1281-N1281,2)),"n.a.")</x:f>
        <x:v>0</x:v>
      </x:c>
    </x:row>
    <x:row r="1282" ht="22" customHeight="1">
      <x:c r="A1282" s="2"/>
      <x:c r="B1282" s="2"/>
      <x:c r="C1282" s="27" t="n">
        <x:f>256</x:f>
        <x:v>256</x:v>
      </x:c>
      <x:c r="D1282" s="28" t="n">
        <x:f>IF(ISNUMBER('Inputs'!$D$7),EDATE('Inputs'!$D$7,255),"n.a.")</x:f>
        <x:v>54089</x:v>
      </x:c>
      <x:c r="E1282" s="26" t="n">
        <x:f>IF('Inputs'!$D$9&lt;&gt;"Ready","n.a.",IF(ISNUMBER('Inputs'!E274),IF('Inputs'!E274&gt;=0,'Inputs'!E274,"n.a."),IF('Inputs'!E274="",'Inputs'!$D$6,"n.a.")))</x:f>
        <x:v>500</x:v>
      </x:c>
      <x:c r="F1282" s="22" t="n">
        <x:f>IF(COUNT($N$1282:$N$1286)=5,SUM($N$1282:$N$1286),"n.a.")</x:f>
        <x:v>0</x:v>
      </x:c>
      <x:c r="G1282" s="22" t="n">
        <x:f>IF(COUNT(E1282:F1282)=2,MAX(0,E1282-F1282),"n.a.")</x:f>
        <x:v>500</x:v>
      </x:c>
      <x:c r="H1282" s="26" t="str">
        <x:f>'Inputs'!C11</x:f>
        <x:v>Card A</x:v>
      </x:c>
      <x:c r="I1282" s="26" t="n">
        <x:f>S1277</x:f>
        <x:v>0</x:v>
      </x:c>
      <x:c r="J1282" s="29" t="n">
        <x:f>IF('Inputs'!$D$9="Ready",'Inputs'!E11,"n.a.")</x:f>
        <x:v>0.24</x:v>
      </x:c>
      <x:c r="K1282" s="26" t="n">
        <x:f>IF('Inputs'!$D$9="Ready",'Inputs'!F11,"n.a.")</x:f>
        <x:v>35</x:v>
      </x:c>
      <x:c r="L1282" s="29" t="n">
        <x:f>IF('Inputs'!$D$9="Ready",'Inputs'!G11,"n.a.")</x:f>
        <x:v>0.02</x:v>
      </x:c>
      <x:c r="M1282" s="22" t="n">
        <x:f>IF(COUNT(I1282:L1282)=4,ROUND(I1282*J1282/12,2),"n.a.")</x:f>
        <x:v>0</x:v>
      </x:c>
      <x:c r="N1282" s="22" t="n">
        <x:f>IF(COUNT(I1282:M1282)=5,MIN(I1282+M1282,ROUND(MAX(K1282,I1282*L1282+M1282),2)),"n.a.")</x:f>
        <x:v>0</x:v>
      </x:c>
      <x:c r="O1282" s="30" t="n">
        <x:f>IF(COUNT($I$1282:$I$1286)&lt;&gt;5,"n.a.",IF(I1282=0,6,IF('Inputs'!$D$5=1,COUNTIFS($I$1282:$I$1286,"&gt;0",$I$1282:$I$1286,"&lt;"&amp;I1282)+COUNTIFS($I$1282:I1282,I1282),COUNTIFS($I$1282:$I$1286,"&gt;0",$J$1282:$J$1286,"&gt;"&amp;J1282)+COUNTIFS($I$1282:I1282,"&gt;0",$J$1282:J1282,J1282))))</x:f>
        <x:v>6</x:v>
      </x:c>
      <x:c r="P1282" s="22" t="n">
        <x:f>IF(T1282="Ready",MIN(U1282,MAX(0,G1282-SUMIFS($U$1282:$U$1286,$O$1282:$O$1286,"&lt;"&amp;O1282))),"n.a.")</x:f>
        <x:v>0</x:v>
      </x:c>
      <x:c r="Q1282" s="22" t="n">
        <x:f>IF(T1282="Ready",ROUND(N1282+P1282,2),"n.a.")</x:f>
        <x:v>0</x:v>
      </x:c>
      <x:c r="R1282" s="22" t="n">
        <x:f>IF(T1282="Ready",ROUND(Q1282-M1282,2),"n.a.")</x:f>
        <x:v>0</x:v>
      </x:c>
      <x:c r="S1282" s="22" t="n">
        <x:f>IF(T1282="Ready",MAX(0,ROUND(I1282+M1282-Q1282,2)),"n.a.")</x:f>
        <x:v>0</x:v>
      </x:c>
      <x:c r="T1282" s="22" t="str">
        <x:f>IF(AND(COUNT($I$1282:$I$1286)=5,COUNT(E1282:F1282)=2),IF(E1282&gt;=F1282,"Ready","Budget below minima"),"Check inputs")</x:f>
        <x:v>Ready</x:v>
      </x:c>
      <x:c r="U1282" s="22" t="n">
        <x:f>IF(COUNT(I1282,M1282,N1282)=3,MAX(0,ROUND(I1282+M1282-N1282,2)),"n.a.")</x:f>
        <x:v>0</x:v>
      </x:c>
    </x:row>
    <x:row r="1283" ht="22" customHeight="1">
      <x:c r="A1283" s="2"/>
      <x:c r="B1283" s="2"/>
      <x:c r="C1283" s="27" t="n">
        <x:f>256</x:f>
        <x:v>256</x:v>
      </x:c>
      <x:c r="D1283" s="28" t="n">
        <x:f>IF(ISNUMBER('Inputs'!$D$7),EDATE('Inputs'!$D$7,255),"n.a.")</x:f>
        <x:v>54089</x:v>
      </x:c>
      <x:c r="E1283" s="26" t="n">
        <x:f>IF('Inputs'!$D$9&lt;&gt;"Ready","n.a.",IF(ISNUMBER('Inputs'!E274),IF('Inputs'!E274&gt;=0,'Inputs'!E274,"n.a."),IF('Inputs'!E274="",'Inputs'!$D$6,"n.a.")))</x:f>
        <x:v>500</x:v>
      </x:c>
      <x:c r="F1283" s="22" t="n">
        <x:f>IF(COUNT($N$1282:$N$1286)=5,SUM($N$1282:$N$1286),"n.a.")</x:f>
        <x:v>0</x:v>
      </x:c>
      <x:c r="G1283" s="22" t="n">
        <x:f>IF(COUNT(E1283:F1283)=2,MAX(0,E1283-F1283),"n.a.")</x:f>
        <x:v>500</x:v>
      </x:c>
      <x:c r="H1283" s="26" t="str">
        <x:f>'Inputs'!C12</x:f>
        <x:v>Card B</x:v>
      </x:c>
      <x:c r="I1283" s="26" t="n">
        <x:f>S1278</x:f>
        <x:v>0</x:v>
      </x:c>
      <x:c r="J1283" s="29" t="n">
        <x:f>IF('Inputs'!$D$9="Ready",'Inputs'!E12,"n.a.")</x:f>
        <x:v>0.18</x:v>
      </x:c>
      <x:c r="K1283" s="26" t="n">
        <x:f>IF('Inputs'!$D$9="Ready",'Inputs'!F12,"n.a.")</x:f>
        <x:v>60</x:v>
      </x:c>
      <x:c r="L1283" s="29" t="n">
        <x:f>IF('Inputs'!$D$9="Ready",'Inputs'!G12,"n.a.")</x:f>
        <x:v>0.02</x:v>
      </x:c>
      <x:c r="M1283" s="22" t="n">
        <x:f>IF(COUNT(I1283:L1283)=4,ROUND(I1283*J1283/12,2),"n.a.")</x:f>
        <x:v>0</x:v>
      </x:c>
      <x:c r="N1283" s="22" t="n">
        <x:f>IF(COUNT(I1283:M1283)=5,MIN(I1283+M1283,ROUND(MAX(K1283,I1283*L1283+M1283),2)),"n.a.")</x:f>
        <x:v>0</x:v>
      </x:c>
      <x:c r="O1283" s="30" t="n">
        <x:f>IF(COUNT($I$1282:$I$1286)&lt;&gt;5,"n.a.",IF(I1283=0,6,IF('Inputs'!$D$5=1,COUNTIFS($I$1282:$I$1286,"&gt;0",$I$1282:$I$1286,"&lt;"&amp;I1283)+COUNTIFS($I$1282:I1283,I1283),COUNTIFS($I$1282:$I$1286,"&gt;0",$J$1282:$J$1286,"&gt;"&amp;J1283)+COUNTIFS($I$1282:I1283,"&gt;0",$J$1282:J1283,J1283))))</x:f>
        <x:v>6</x:v>
      </x:c>
      <x:c r="P1283" s="22" t="n">
        <x:f>IF(T1283="Ready",MIN(U1283,MAX(0,G1283-SUMIFS($U$1282:$U$1286,$O$1282:$O$1286,"&lt;"&amp;O1283))),"n.a.")</x:f>
        <x:v>0</x:v>
      </x:c>
      <x:c r="Q1283" s="22" t="n">
        <x:f>IF(T1283="Ready",ROUND(N1283+P1283,2),"n.a.")</x:f>
        <x:v>0</x:v>
      </x:c>
      <x:c r="R1283" s="22" t="n">
        <x:f>IF(T1283="Ready",ROUND(Q1283-M1283,2),"n.a.")</x:f>
        <x:v>0</x:v>
      </x:c>
      <x:c r="S1283" s="22" t="n">
        <x:f>IF(T1283="Ready",MAX(0,ROUND(I1283+M1283-Q1283,2)),"n.a.")</x:f>
        <x:v>0</x:v>
      </x:c>
      <x:c r="T1283" s="22" t="str">
        <x:f>IF(AND(COUNT($I$1282:$I$1286)=5,COUNT(E1283:F1283)=2),IF(E1283&gt;=F1283,"Ready","Budget below minima"),"Check inputs")</x:f>
        <x:v>Ready</x:v>
      </x:c>
      <x:c r="U1283" s="22" t="n">
        <x:f>IF(COUNT(I1283,M1283,N1283)=3,MAX(0,ROUND(I1283+M1283-N1283,2)),"n.a.")</x:f>
        <x:v>0</x:v>
      </x:c>
    </x:row>
    <x:row r="1284" ht="22" customHeight="1">
      <x:c r="A1284" s="2"/>
      <x:c r="B1284" s="2"/>
      <x:c r="C1284" s="27" t="n">
        <x:f>256</x:f>
        <x:v>256</x:v>
      </x:c>
      <x:c r="D1284" s="28" t="n">
        <x:f>IF(ISNUMBER('Inputs'!$D$7),EDATE('Inputs'!$D$7,255),"n.a.")</x:f>
        <x:v>54089</x:v>
      </x:c>
      <x:c r="E1284" s="26" t="n">
        <x:f>IF('Inputs'!$D$9&lt;&gt;"Ready","n.a.",IF(ISNUMBER('Inputs'!E274),IF('Inputs'!E274&gt;=0,'Inputs'!E274,"n.a."),IF('Inputs'!E274="",'Inputs'!$D$6,"n.a.")))</x:f>
        <x:v>500</x:v>
      </x:c>
      <x:c r="F1284" s="22" t="n">
        <x:f>IF(COUNT($N$1282:$N$1286)=5,SUM($N$1282:$N$1286),"n.a.")</x:f>
        <x:v>0</x:v>
      </x:c>
      <x:c r="G1284" s="22" t="n">
        <x:f>IF(COUNT(E1284:F1284)=2,MAX(0,E1284-F1284),"n.a.")</x:f>
        <x:v>500</x:v>
      </x:c>
      <x:c r="H1284" s="26" t="str">
        <x:f>'Inputs'!C13</x:f>
        <x:v>Loan C</x:v>
      </x:c>
      <x:c r="I1284" s="26" t="n">
        <x:f>S1279</x:f>
        <x:v>0</x:v>
      </x:c>
      <x:c r="J1284" s="29" t="n">
        <x:f>IF('Inputs'!$D$9="Ready",'Inputs'!E13,"n.a.")</x:f>
        <x:v>0.08</x:v>
      </x:c>
      <x:c r="K1284" s="26" t="n">
        <x:f>IF('Inputs'!$D$9="Ready",'Inputs'!F13,"n.a.")</x:f>
        <x:v>150</x:v>
      </x:c>
      <x:c r="L1284" s="29" t="n">
        <x:f>IF('Inputs'!$D$9="Ready",'Inputs'!G13,"n.a.")</x:f>
        <x:v>0</x:v>
      </x:c>
      <x:c r="M1284" s="22" t="n">
        <x:f>IF(COUNT(I1284:L1284)=4,ROUND(I1284*J1284/12,2),"n.a.")</x:f>
        <x:v>0</x:v>
      </x:c>
      <x:c r="N1284" s="22" t="n">
        <x:f>IF(COUNT(I1284:M1284)=5,MIN(I1284+M1284,ROUND(MAX(K1284,I1284*L1284+M1284),2)),"n.a.")</x:f>
        <x:v>0</x:v>
      </x:c>
      <x:c r="O1284" s="30" t="n">
        <x:f>IF(COUNT($I$1282:$I$1286)&lt;&gt;5,"n.a.",IF(I1284=0,6,IF('Inputs'!$D$5=1,COUNTIFS($I$1282:$I$1286,"&gt;0",$I$1282:$I$1286,"&lt;"&amp;I1284)+COUNTIFS($I$1282:I1284,I1284),COUNTIFS($I$1282:$I$1286,"&gt;0",$J$1282:$J$1286,"&gt;"&amp;J1284)+COUNTIFS($I$1282:I1284,"&gt;0",$J$1282:J1284,J1284))))</x:f>
        <x:v>6</x:v>
      </x:c>
      <x:c r="P1284" s="22" t="n">
        <x:f>IF(T1284="Ready",MIN(U1284,MAX(0,G1284-SUMIFS($U$1282:$U$1286,$O$1282:$O$1286,"&lt;"&amp;O1284))),"n.a.")</x:f>
        <x:v>0</x:v>
      </x:c>
      <x:c r="Q1284" s="22" t="n">
        <x:f>IF(T1284="Ready",ROUND(N1284+P1284,2),"n.a.")</x:f>
        <x:v>0</x:v>
      </x:c>
      <x:c r="R1284" s="22" t="n">
        <x:f>IF(T1284="Ready",ROUND(Q1284-M1284,2),"n.a.")</x:f>
        <x:v>0</x:v>
      </x:c>
      <x:c r="S1284" s="22" t="n">
        <x:f>IF(T1284="Ready",MAX(0,ROUND(I1284+M1284-Q1284,2)),"n.a.")</x:f>
        <x:v>0</x:v>
      </x:c>
      <x:c r="T1284" s="22" t="str">
        <x:f>IF(AND(COUNT($I$1282:$I$1286)=5,COUNT(E1284:F1284)=2),IF(E1284&gt;=F1284,"Ready","Budget below minima"),"Check inputs")</x:f>
        <x:v>Ready</x:v>
      </x:c>
      <x:c r="U1284" s="22" t="n">
        <x:f>IF(COUNT(I1284,M1284,N1284)=3,MAX(0,ROUND(I1284+M1284-N1284,2)),"n.a.")</x:f>
        <x:v>0</x:v>
      </x:c>
    </x:row>
    <x:row r="1285" ht="22" customHeight="1">
      <x:c r="A1285" s="2"/>
      <x:c r="B1285" s="2"/>
      <x:c r="C1285" s="27" t="n">
        <x:f>256</x:f>
        <x:v>256</x:v>
      </x:c>
      <x:c r="D1285" s="28" t="n">
        <x:f>IF(ISNUMBER('Inputs'!$D$7),EDATE('Inputs'!$D$7,255),"n.a.")</x:f>
        <x:v>54089</x:v>
      </x:c>
      <x:c r="E1285" s="26" t="n">
        <x:f>IF('Inputs'!$D$9&lt;&gt;"Ready","n.a.",IF(ISNUMBER('Inputs'!E274),IF('Inputs'!E274&gt;=0,'Inputs'!E274,"n.a."),IF('Inputs'!E274="",'Inputs'!$D$6,"n.a.")))</x:f>
        <x:v>500</x:v>
      </x:c>
      <x:c r="F1285" s="22" t="n">
        <x:f>IF(COUNT($N$1282:$N$1286)=5,SUM($N$1282:$N$1286),"n.a.")</x:f>
        <x:v>0</x:v>
      </x:c>
      <x:c r="G1285" s="22" t="n">
        <x:f>IF(COUNT(E1285:F1285)=2,MAX(0,E1285-F1285),"n.a.")</x:f>
        <x:v>500</x:v>
      </x:c>
      <x:c r="H1285" s="26" t="str">
        <x:f>'Inputs'!C14</x:f>
        <x:v>Unused 4</x:v>
      </x:c>
      <x:c r="I1285" s="26" t="n">
        <x:f>S1280</x:f>
        <x:v>0</x:v>
      </x:c>
      <x:c r="J1285" s="29" t="n">
        <x:f>IF('Inputs'!$D$9="Ready",'Inputs'!E14,"n.a.")</x:f>
        <x:v>0</x:v>
      </x:c>
      <x:c r="K1285" s="26" t="n">
        <x:f>IF('Inputs'!$D$9="Ready",'Inputs'!F14,"n.a.")</x:f>
        <x:v>0</x:v>
      </x:c>
      <x:c r="L1285" s="29" t="n">
        <x:f>IF('Inputs'!$D$9="Ready",'Inputs'!G14,"n.a.")</x:f>
        <x:v>0</x:v>
      </x:c>
      <x:c r="M1285" s="22" t="n">
        <x:f>IF(COUNT(I1285:L1285)=4,ROUND(I1285*J1285/12,2),"n.a.")</x:f>
        <x:v>0</x:v>
      </x:c>
      <x:c r="N1285" s="22" t="n">
        <x:f>IF(COUNT(I1285:M1285)=5,MIN(I1285+M1285,ROUND(MAX(K1285,I1285*L1285+M1285),2)),"n.a.")</x:f>
        <x:v>0</x:v>
      </x:c>
      <x:c r="O1285" s="30" t="n">
        <x:f>IF(COUNT($I$1282:$I$1286)&lt;&gt;5,"n.a.",IF(I1285=0,6,IF('Inputs'!$D$5=1,COUNTIFS($I$1282:$I$1286,"&gt;0",$I$1282:$I$1286,"&lt;"&amp;I1285)+COUNTIFS($I$1282:I1285,I1285),COUNTIFS($I$1282:$I$1286,"&gt;0",$J$1282:$J$1286,"&gt;"&amp;J1285)+COUNTIFS($I$1282:I1285,"&gt;0",$J$1282:J1285,J1285))))</x:f>
        <x:v>6</x:v>
      </x:c>
      <x:c r="P1285" s="22" t="n">
        <x:f>IF(T1285="Ready",MIN(U1285,MAX(0,G1285-SUMIFS($U$1282:$U$1286,$O$1282:$O$1286,"&lt;"&amp;O1285))),"n.a.")</x:f>
        <x:v>0</x:v>
      </x:c>
      <x:c r="Q1285" s="22" t="n">
        <x:f>IF(T1285="Ready",ROUND(N1285+P1285,2),"n.a.")</x:f>
        <x:v>0</x:v>
      </x:c>
      <x:c r="R1285" s="22" t="n">
        <x:f>IF(T1285="Ready",ROUND(Q1285-M1285,2),"n.a.")</x:f>
        <x:v>0</x:v>
      </x:c>
      <x:c r="S1285" s="22" t="n">
        <x:f>IF(T1285="Ready",MAX(0,ROUND(I1285+M1285-Q1285,2)),"n.a.")</x:f>
        <x:v>0</x:v>
      </x:c>
      <x:c r="T1285" s="22" t="str">
        <x:f>IF(AND(COUNT($I$1282:$I$1286)=5,COUNT(E1285:F1285)=2),IF(E1285&gt;=F1285,"Ready","Budget below minima"),"Check inputs")</x:f>
        <x:v>Ready</x:v>
      </x:c>
      <x:c r="U1285" s="22" t="n">
        <x:f>IF(COUNT(I1285,M1285,N1285)=3,MAX(0,ROUND(I1285+M1285-N1285,2)),"n.a.")</x:f>
        <x:v>0</x:v>
      </x:c>
    </x:row>
    <x:row r="1286" ht="22" customHeight="1">
      <x:c r="A1286" s="2"/>
      <x:c r="B1286" s="2"/>
      <x:c r="C1286" s="27" t="n">
        <x:f>256</x:f>
        <x:v>256</x:v>
      </x:c>
      <x:c r="D1286" s="28" t="n">
        <x:f>IF(ISNUMBER('Inputs'!$D$7),EDATE('Inputs'!$D$7,255),"n.a.")</x:f>
        <x:v>54089</x:v>
      </x:c>
      <x:c r="E1286" s="26" t="n">
        <x:f>IF('Inputs'!$D$9&lt;&gt;"Ready","n.a.",IF(ISNUMBER('Inputs'!E274),IF('Inputs'!E274&gt;=0,'Inputs'!E274,"n.a."),IF('Inputs'!E274="",'Inputs'!$D$6,"n.a.")))</x:f>
        <x:v>500</x:v>
      </x:c>
      <x:c r="F1286" s="22" t="n">
        <x:f>IF(COUNT($N$1282:$N$1286)=5,SUM($N$1282:$N$1286),"n.a.")</x:f>
        <x:v>0</x:v>
      </x:c>
      <x:c r="G1286" s="22" t="n">
        <x:f>IF(COUNT(E1286:F1286)=2,MAX(0,E1286-F1286),"n.a.")</x:f>
        <x:v>500</x:v>
      </x:c>
      <x:c r="H1286" s="26" t="str">
        <x:f>'Inputs'!C15</x:f>
        <x:v>Unused 5</x:v>
      </x:c>
      <x:c r="I1286" s="26" t="n">
        <x:f>S1281</x:f>
        <x:v>0</x:v>
      </x:c>
      <x:c r="J1286" s="29" t="n">
        <x:f>IF('Inputs'!$D$9="Ready",'Inputs'!E15,"n.a.")</x:f>
        <x:v>0</x:v>
      </x:c>
      <x:c r="K1286" s="26" t="n">
        <x:f>IF('Inputs'!$D$9="Ready",'Inputs'!F15,"n.a.")</x:f>
        <x:v>0</x:v>
      </x:c>
      <x:c r="L1286" s="29" t="n">
        <x:f>IF('Inputs'!$D$9="Ready",'Inputs'!G15,"n.a.")</x:f>
        <x:v>0</x:v>
      </x:c>
      <x:c r="M1286" s="22" t="n">
        <x:f>IF(COUNT(I1286:L1286)=4,ROUND(I1286*J1286/12,2),"n.a.")</x:f>
        <x:v>0</x:v>
      </x:c>
      <x:c r="N1286" s="22" t="n">
        <x:f>IF(COUNT(I1286:M1286)=5,MIN(I1286+M1286,ROUND(MAX(K1286,I1286*L1286+M1286),2)),"n.a.")</x:f>
        <x:v>0</x:v>
      </x:c>
      <x:c r="O1286" s="30" t="n">
        <x:f>IF(COUNT($I$1282:$I$1286)&lt;&gt;5,"n.a.",IF(I1286=0,6,IF('Inputs'!$D$5=1,COUNTIFS($I$1282:$I$1286,"&gt;0",$I$1282:$I$1286,"&lt;"&amp;I1286)+COUNTIFS($I$1282:I1286,I1286),COUNTIFS($I$1282:$I$1286,"&gt;0",$J$1282:$J$1286,"&gt;"&amp;J1286)+COUNTIFS($I$1282:I1286,"&gt;0",$J$1282:J1286,J1286))))</x:f>
        <x:v>6</x:v>
      </x:c>
      <x:c r="P1286" s="22" t="n">
        <x:f>IF(T1286="Ready",MIN(U1286,MAX(0,G1286-SUMIFS($U$1282:$U$1286,$O$1282:$O$1286,"&lt;"&amp;O1286))),"n.a.")</x:f>
        <x:v>0</x:v>
      </x:c>
      <x:c r="Q1286" s="22" t="n">
        <x:f>IF(T1286="Ready",ROUND(N1286+P1286,2),"n.a.")</x:f>
        <x:v>0</x:v>
      </x:c>
      <x:c r="R1286" s="22" t="n">
        <x:f>IF(T1286="Ready",ROUND(Q1286-M1286,2),"n.a.")</x:f>
        <x:v>0</x:v>
      </x:c>
      <x:c r="S1286" s="22" t="n">
        <x:f>IF(T1286="Ready",MAX(0,ROUND(I1286+M1286-Q1286,2)),"n.a.")</x:f>
        <x:v>0</x:v>
      </x:c>
      <x:c r="T1286" s="22" t="str">
        <x:f>IF(AND(COUNT($I$1282:$I$1286)=5,COUNT(E1286:F1286)=2),IF(E1286&gt;=F1286,"Ready","Budget below minima"),"Check inputs")</x:f>
        <x:v>Ready</x:v>
      </x:c>
      <x:c r="U1286" s="22" t="n">
        <x:f>IF(COUNT(I1286,M1286,N1286)=3,MAX(0,ROUND(I1286+M1286-N1286,2)),"n.a.")</x:f>
        <x:v>0</x:v>
      </x:c>
    </x:row>
    <x:row r="1287" ht="22" customHeight="1">
      <x:c r="A1287" s="2"/>
      <x:c r="B1287" s="2"/>
      <x:c r="C1287" s="27" t="n">
        <x:f>257</x:f>
        <x:v>257</x:v>
      </x:c>
      <x:c r="D1287" s="28" t="n">
        <x:f>IF(ISNUMBER('Inputs'!$D$7),EDATE('Inputs'!$D$7,256),"n.a.")</x:f>
        <x:v>54118</x:v>
      </x:c>
      <x:c r="E1287" s="26" t="n">
        <x:f>IF('Inputs'!$D$9&lt;&gt;"Ready","n.a.",IF(ISNUMBER('Inputs'!E275),IF('Inputs'!E275&gt;=0,'Inputs'!E275,"n.a."),IF('Inputs'!E275="",'Inputs'!$D$6,"n.a.")))</x:f>
        <x:v>500</x:v>
      </x:c>
      <x:c r="F1287" s="22" t="n">
        <x:f>IF(COUNT($N$1287:$N$1291)=5,SUM($N$1287:$N$1291),"n.a.")</x:f>
        <x:v>0</x:v>
      </x:c>
      <x:c r="G1287" s="22" t="n">
        <x:f>IF(COUNT(E1287:F1287)=2,MAX(0,E1287-F1287),"n.a.")</x:f>
        <x:v>500</x:v>
      </x:c>
      <x:c r="H1287" s="26" t="str">
        <x:f>'Inputs'!C11</x:f>
        <x:v>Card A</x:v>
      </x:c>
      <x:c r="I1287" s="26" t="n">
        <x:f>S1282</x:f>
        <x:v>0</x:v>
      </x:c>
      <x:c r="J1287" s="29" t="n">
        <x:f>IF('Inputs'!$D$9="Ready",'Inputs'!E11,"n.a.")</x:f>
        <x:v>0.24</x:v>
      </x:c>
      <x:c r="K1287" s="26" t="n">
        <x:f>IF('Inputs'!$D$9="Ready",'Inputs'!F11,"n.a.")</x:f>
        <x:v>35</x:v>
      </x:c>
      <x:c r="L1287" s="29" t="n">
        <x:f>IF('Inputs'!$D$9="Ready",'Inputs'!G11,"n.a.")</x:f>
        <x:v>0.02</x:v>
      </x:c>
      <x:c r="M1287" s="22" t="n">
        <x:f>IF(COUNT(I1287:L1287)=4,ROUND(I1287*J1287/12,2),"n.a.")</x:f>
        <x:v>0</x:v>
      </x:c>
      <x:c r="N1287" s="22" t="n">
        <x:f>IF(COUNT(I1287:M1287)=5,MIN(I1287+M1287,ROUND(MAX(K1287,I1287*L1287+M1287),2)),"n.a.")</x:f>
        <x:v>0</x:v>
      </x:c>
      <x:c r="O1287" s="30" t="n">
        <x:f>IF(COUNT($I$1287:$I$1291)&lt;&gt;5,"n.a.",IF(I1287=0,6,IF('Inputs'!$D$5=1,COUNTIFS($I$1287:$I$1291,"&gt;0",$I$1287:$I$1291,"&lt;"&amp;I1287)+COUNTIFS($I$1287:I1287,I1287),COUNTIFS($I$1287:$I$1291,"&gt;0",$J$1287:$J$1291,"&gt;"&amp;J1287)+COUNTIFS($I$1287:I1287,"&gt;0",$J$1287:J1287,J1287))))</x:f>
        <x:v>6</x:v>
      </x:c>
      <x:c r="P1287" s="22" t="n">
        <x:f>IF(T1287="Ready",MIN(U1287,MAX(0,G1287-SUMIFS($U$1287:$U$1291,$O$1287:$O$1291,"&lt;"&amp;O1287))),"n.a.")</x:f>
        <x:v>0</x:v>
      </x:c>
      <x:c r="Q1287" s="22" t="n">
        <x:f>IF(T1287="Ready",ROUND(N1287+P1287,2),"n.a.")</x:f>
        <x:v>0</x:v>
      </x:c>
      <x:c r="R1287" s="22" t="n">
        <x:f>IF(T1287="Ready",ROUND(Q1287-M1287,2),"n.a.")</x:f>
        <x:v>0</x:v>
      </x:c>
      <x:c r="S1287" s="22" t="n">
        <x:f>IF(T1287="Ready",MAX(0,ROUND(I1287+M1287-Q1287,2)),"n.a.")</x:f>
        <x:v>0</x:v>
      </x:c>
      <x:c r="T1287" s="22" t="str">
        <x:f>IF(AND(COUNT($I$1287:$I$1291)=5,COUNT(E1287:F1287)=2),IF(E1287&gt;=F1287,"Ready","Budget below minima"),"Check inputs")</x:f>
        <x:v>Ready</x:v>
      </x:c>
      <x:c r="U1287" s="22" t="n">
        <x:f>IF(COUNT(I1287,M1287,N1287)=3,MAX(0,ROUND(I1287+M1287-N1287,2)),"n.a.")</x:f>
        <x:v>0</x:v>
      </x:c>
    </x:row>
    <x:row r="1288" ht="22" customHeight="1">
      <x:c r="A1288" s="2"/>
      <x:c r="B1288" s="2"/>
      <x:c r="C1288" s="27" t="n">
        <x:f>257</x:f>
        <x:v>257</x:v>
      </x:c>
      <x:c r="D1288" s="28" t="n">
        <x:f>IF(ISNUMBER('Inputs'!$D$7),EDATE('Inputs'!$D$7,256),"n.a.")</x:f>
        <x:v>54118</x:v>
      </x:c>
      <x:c r="E1288" s="26" t="n">
        <x:f>IF('Inputs'!$D$9&lt;&gt;"Ready","n.a.",IF(ISNUMBER('Inputs'!E275),IF('Inputs'!E275&gt;=0,'Inputs'!E275,"n.a."),IF('Inputs'!E275="",'Inputs'!$D$6,"n.a.")))</x:f>
        <x:v>500</x:v>
      </x:c>
      <x:c r="F1288" s="22" t="n">
        <x:f>IF(COUNT($N$1287:$N$1291)=5,SUM($N$1287:$N$1291),"n.a.")</x:f>
        <x:v>0</x:v>
      </x:c>
      <x:c r="G1288" s="22" t="n">
        <x:f>IF(COUNT(E1288:F1288)=2,MAX(0,E1288-F1288),"n.a.")</x:f>
        <x:v>500</x:v>
      </x:c>
      <x:c r="H1288" s="26" t="str">
        <x:f>'Inputs'!C12</x:f>
        <x:v>Card B</x:v>
      </x:c>
      <x:c r="I1288" s="26" t="n">
        <x:f>S1283</x:f>
        <x:v>0</x:v>
      </x:c>
      <x:c r="J1288" s="29" t="n">
        <x:f>IF('Inputs'!$D$9="Ready",'Inputs'!E12,"n.a.")</x:f>
        <x:v>0.18</x:v>
      </x:c>
      <x:c r="K1288" s="26" t="n">
        <x:f>IF('Inputs'!$D$9="Ready",'Inputs'!F12,"n.a.")</x:f>
        <x:v>60</x:v>
      </x:c>
      <x:c r="L1288" s="29" t="n">
        <x:f>IF('Inputs'!$D$9="Ready",'Inputs'!G12,"n.a.")</x:f>
        <x:v>0.02</x:v>
      </x:c>
      <x:c r="M1288" s="22" t="n">
        <x:f>IF(COUNT(I1288:L1288)=4,ROUND(I1288*J1288/12,2),"n.a.")</x:f>
        <x:v>0</x:v>
      </x:c>
      <x:c r="N1288" s="22" t="n">
        <x:f>IF(COUNT(I1288:M1288)=5,MIN(I1288+M1288,ROUND(MAX(K1288,I1288*L1288+M1288),2)),"n.a.")</x:f>
        <x:v>0</x:v>
      </x:c>
      <x:c r="O1288" s="30" t="n">
        <x:f>IF(COUNT($I$1287:$I$1291)&lt;&gt;5,"n.a.",IF(I1288=0,6,IF('Inputs'!$D$5=1,COUNTIFS($I$1287:$I$1291,"&gt;0",$I$1287:$I$1291,"&lt;"&amp;I1288)+COUNTIFS($I$1287:I1288,I1288),COUNTIFS($I$1287:$I$1291,"&gt;0",$J$1287:$J$1291,"&gt;"&amp;J1288)+COUNTIFS($I$1287:I1288,"&gt;0",$J$1287:J1288,J1288))))</x:f>
        <x:v>6</x:v>
      </x:c>
      <x:c r="P1288" s="22" t="n">
        <x:f>IF(T1288="Ready",MIN(U1288,MAX(0,G1288-SUMIFS($U$1287:$U$1291,$O$1287:$O$1291,"&lt;"&amp;O1288))),"n.a.")</x:f>
        <x:v>0</x:v>
      </x:c>
      <x:c r="Q1288" s="22" t="n">
        <x:f>IF(T1288="Ready",ROUND(N1288+P1288,2),"n.a.")</x:f>
        <x:v>0</x:v>
      </x:c>
      <x:c r="R1288" s="22" t="n">
        <x:f>IF(T1288="Ready",ROUND(Q1288-M1288,2),"n.a.")</x:f>
        <x:v>0</x:v>
      </x:c>
      <x:c r="S1288" s="22" t="n">
        <x:f>IF(T1288="Ready",MAX(0,ROUND(I1288+M1288-Q1288,2)),"n.a.")</x:f>
        <x:v>0</x:v>
      </x:c>
      <x:c r="T1288" s="22" t="str">
        <x:f>IF(AND(COUNT($I$1287:$I$1291)=5,COUNT(E1288:F1288)=2),IF(E1288&gt;=F1288,"Ready","Budget below minima"),"Check inputs")</x:f>
        <x:v>Ready</x:v>
      </x:c>
      <x:c r="U1288" s="22" t="n">
        <x:f>IF(COUNT(I1288,M1288,N1288)=3,MAX(0,ROUND(I1288+M1288-N1288,2)),"n.a.")</x:f>
        <x:v>0</x:v>
      </x:c>
    </x:row>
    <x:row r="1289" ht="22" customHeight="1">
      <x:c r="A1289" s="2"/>
      <x:c r="B1289" s="2"/>
      <x:c r="C1289" s="27" t="n">
        <x:f>257</x:f>
        <x:v>257</x:v>
      </x:c>
      <x:c r="D1289" s="28" t="n">
        <x:f>IF(ISNUMBER('Inputs'!$D$7),EDATE('Inputs'!$D$7,256),"n.a.")</x:f>
        <x:v>54118</x:v>
      </x:c>
      <x:c r="E1289" s="26" t="n">
        <x:f>IF('Inputs'!$D$9&lt;&gt;"Ready","n.a.",IF(ISNUMBER('Inputs'!E275),IF('Inputs'!E275&gt;=0,'Inputs'!E275,"n.a."),IF('Inputs'!E275="",'Inputs'!$D$6,"n.a.")))</x:f>
        <x:v>500</x:v>
      </x:c>
      <x:c r="F1289" s="22" t="n">
        <x:f>IF(COUNT($N$1287:$N$1291)=5,SUM($N$1287:$N$1291),"n.a.")</x:f>
        <x:v>0</x:v>
      </x:c>
      <x:c r="G1289" s="22" t="n">
        <x:f>IF(COUNT(E1289:F1289)=2,MAX(0,E1289-F1289),"n.a.")</x:f>
        <x:v>500</x:v>
      </x:c>
      <x:c r="H1289" s="26" t="str">
        <x:f>'Inputs'!C13</x:f>
        <x:v>Loan C</x:v>
      </x:c>
      <x:c r="I1289" s="26" t="n">
        <x:f>S1284</x:f>
        <x:v>0</x:v>
      </x:c>
      <x:c r="J1289" s="29" t="n">
        <x:f>IF('Inputs'!$D$9="Ready",'Inputs'!E13,"n.a.")</x:f>
        <x:v>0.08</x:v>
      </x:c>
      <x:c r="K1289" s="26" t="n">
        <x:f>IF('Inputs'!$D$9="Ready",'Inputs'!F13,"n.a.")</x:f>
        <x:v>150</x:v>
      </x:c>
      <x:c r="L1289" s="29" t="n">
        <x:f>IF('Inputs'!$D$9="Ready",'Inputs'!G13,"n.a.")</x:f>
        <x:v>0</x:v>
      </x:c>
      <x:c r="M1289" s="22" t="n">
        <x:f>IF(COUNT(I1289:L1289)=4,ROUND(I1289*J1289/12,2),"n.a.")</x:f>
        <x:v>0</x:v>
      </x:c>
      <x:c r="N1289" s="22" t="n">
        <x:f>IF(COUNT(I1289:M1289)=5,MIN(I1289+M1289,ROUND(MAX(K1289,I1289*L1289+M1289),2)),"n.a.")</x:f>
        <x:v>0</x:v>
      </x:c>
      <x:c r="O1289" s="30" t="n">
        <x:f>IF(COUNT($I$1287:$I$1291)&lt;&gt;5,"n.a.",IF(I1289=0,6,IF('Inputs'!$D$5=1,COUNTIFS($I$1287:$I$1291,"&gt;0",$I$1287:$I$1291,"&lt;"&amp;I1289)+COUNTIFS($I$1287:I1289,I1289),COUNTIFS($I$1287:$I$1291,"&gt;0",$J$1287:$J$1291,"&gt;"&amp;J1289)+COUNTIFS($I$1287:I1289,"&gt;0",$J$1287:J1289,J1289))))</x:f>
        <x:v>6</x:v>
      </x:c>
      <x:c r="P1289" s="22" t="n">
        <x:f>IF(T1289="Ready",MIN(U1289,MAX(0,G1289-SUMIFS($U$1287:$U$1291,$O$1287:$O$1291,"&lt;"&amp;O1289))),"n.a.")</x:f>
        <x:v>0</x:v>
      </x:c>
      <x:c r="Q1289" s="22" t="n">
        <x:f>IF(T1289="Ready",ROUND(N1289+P1289,2),"n.a.")</x:f>
        <x:v>0</x:v>
      </x:c>
      <x:c r="R1289" s="22" t="n">
        <x:f>IF(T1289="Ready",ROUND(Q1289-M1289,2),"n.a.")</x:f>
        <x:v>0</x:v>
      </x:c>
      <x:c r="S1289" s="22" t="n">
        <x:f>IF(T1289="Ready",MAX(0,ROUND(I1289+M1289-Q1289,2)),"n.a.")</x:f>
        <x:v>0</x:v>
      </x:c>
      <x:c r="T1289" s="22" t="str">
        <x:f>IF(AND(COUNT($I$1287:$I$1291)=5,COUNT(E1289:F1289)=2),IF(E1289&gt;=F1289,"Ready","Budget below minima"),"Check inputs")</x:f>
        <x:v>Ready</x:v>
      </x:c>
      <x:c r="U1289" s="22" t="n">
        <x:f>IF(COUNT(I1289,M1289,N1289)=3,MAX(0,ROUND(I1289+M1289-N1289,2)),"n.a.")</x:f>
        <x:v>0</x:v>
      </x:c>
    </x:row>
    <x:row r="1290" ht="22" customHeight="1">
      <x:c r="A1290" s="2"/>
      <x:c r="B1290" s="2"/>
      <x:c r="C1290" s="27" t="n">
        <x:f>257</x:f>
        <x:v>257</x:v>
      </x:c>
      <x:c r="D1290" s="28" t="n">
        <x:f>IF(ISNUMBER('Inputs'!$D$7),EDATE('Inputs'!$D$7,256),"n.a.")</x:f>
        <x:v>54118</x:v>
      </x:c>
      <x:c r="E1290" s="26" t="n">
        <x:f>IF('Inputs'!$D$9&lt;&gt;"Ready","n.a.",IF(ISNUMBER('Inputs'!E275),IF('Inputs'!E275&gt;=0,'Inputs'!E275,"n.a."),IF('Inputs'!E275="",'Inputs'!$D$6,"n.a.")))</x:f>
        <x:v>500</x:v>
      </x:c>
      <x:c r="F1290" s="22" t="n">
        <x:f>IF(COUNT($N$1287:$N$1291)=5,SUM($N$1287:$N$1291),"n.a.")</x:f>
        <x:v>0</x:v>
      </x:c>
      <x:c r="G1290" s="22" t="n">
        <x:f>IF(COUNT(E1290:F1290)=2,MAX(0,E1290-F1290),"n.a.")</x:f>
        <x:v>500</x:v>
      </x:c>
      <x:c r="H1290" s="26" t="str">
        <x:f>'Inputs'!C14</x:f>
        <x:v>Unused 4</x:v>
      </x:c>
      <x:c r="I1290" s="26" t="n">
        <x:f>S1285</x:f>
        <x:v>0</x:v>
      </x:c>
      <x:c r="J1290" s="29" t="n">
        <x:f>IF('Inputs'!$D$9="Ready",'Inputs'!E14,"n.a.")</x:f>
        <x:v>0</x:v>
      </x:c>
      <x:c r="K1290" s="26" t="n">
        <x:f>IF('Inputs'!$D$9="Ready",'Inputs'!F14,"n.a.")</x:f>
        <x:v>0</x:v>
      </x:c>
      <x:c r="L1290" s="29" t="n">
        <x:f>IF('Inputs'!$D$9="Ready",'Inputs'!G14,"n.a.")</x:f>
        <x:v>0</x:v>
      </x:c>
      <x:c r="M1290" s="22" t="n">
        <x:f>IF(COUNT(I1290:L1290)=4,ROUND(I1290*J1290/12,2),"n.a.")</x:f>
        <x:v>0</x:v>
      </x:c>
      <x:c r="N1290" s="22" t="n">
        <x:f>IF(COUNT(I1290:M1290)=5,MIN(I1290+M1290,ROUND(MAX(K1290,I1290*L1290+M1290),2)),"n.a.")</x:f>
        <x:v>0</x:v>
      </x:c>
      <x:c r="O1290" s="30" t="n">
        <x:f>IF(COUNT($I$1287:$I$1291)&lt;&gt;5,"n.a.",IF(I1290=0,6,IF('Inputs'!$D$5=1,COUNTIFS($I$1287:$I$1291,"&gt;0",$I$1287:$I$1291,"&lt;"&amp;I1290)+COUNTIFS($I$1287:I1290,I1290),COUNTIFS($I$1287:$I$1291,"&gt;0",$J$1287:$J$1291,"&gt;"&amp;J1290)+COUNTIFS($I$1287:I1290,"&gt;0",$J$1287:J1290,J1290))))</x:f>
        <x:v>6</x:v>
      </x:c>
      <x:c r="P1290" s="22" t="n">
        <x:f>IF(T1290="Ready",MIN(U1290,MAX(0,G1290-SUMIFS($U$1287:$U$1291,$O$1287:$O$1291,"&lt;"&amp;O1290))),"n.a.")</x:f>
        <x:v>0</x:v>
      </x:c>
      <x:c r="Q1290" s="22" t="n">
        <x:f>IF(T1290="Ready",ROUND(N1290+P1290,2),"n.a.")</x:f>
        <x:v>0</x:v>
      </x:c>
      <x:c r="R1290" s="22" t="n">
        <x:f>IF(T1290="Ready",ROUND(Q1290-M1290,2),"n.a.")</x:f>
        <x:v>0</x:v>
      </x:c>
      <x:c r="S1290" s="22" t="n">
        <x:f>IF(T1290="Ready",MAX(0,ROUND(I1290+M1290-Q1290,2)),"n.a.")</x:f>
        <x:v>0</x:v>
      </x:c>
      <x:c r="T1290" s="22" t="str">
        <x:f>IF(AND(COUNT($I$1287:$I$1291)=5,COUNT(E1290:F1290)=2),IF(E1290&gt;=F1290,"Ready","Budget below minima"),"Check inputs")</x:f>
        <x:v>Ready</x:v>
      </x:c>
      <x:c r="U1290" s="22" t="n">
        <x:f>IF(COUNT(I1290,M1290,N1290)=3,MAX(0,ROUND(I1290+M1290-N1290,2)),"n.a.")</x:f>
        <x:v>0</x:v>
      </x:c>
    </x:row>
    <x:row r="1291" ht="22" customHeight="1">
      <x:c r="A1291" s="2"/>
      <x:c r="B1291" s="2"/>
      <x:c r="C1291" s="27" t="n">
        <x:f>257</x:f>
        <x:v>257</x:v>
      </x:c>
      <x:c r="D1291" s="28" t="n">
        <x:f>IF(ISNUMBER('Inputs'!$D$7),EDATE('Inputs'!$D$7,256),"n.a.")</x:f>
        <x:v>54118</x:v>
      </x:c>
      <x:c r="E1291" s="26" t="n">
        <x:f>IF('Inputs'!$D$9&lt;&gt;"Ready","n.a.",IF(ISNUMBER('Inputs'!E275),IF('Inputs'!E275&gt;=0,'Inputs'!E275,"n.a."),IF('Inputs'!E275="",'Inputs'!$D$6,"n.a.")))</x:f>
        <x:v>500</x:v>
      </x:c>
      <x:c r="F1291" s="22" t="n">
        <x:f>IF(COUNT($N$1287:$N$1291)=5,SUM($N$1287:$N$1291),"n.a.")</x:f>
        <x:v>0</x:v>
      </x:c>
      <x:c r="G1291" s="22" t="n">
        <x:f>IF(COUNT(E1291:F1291)=2,MAX(0,E1291-F1291),"n.a.")</x:f>
        <x:v>500</x:v>
      </x:c>
      <x:c r="H1291" s="26" t="str">
        <x:f>'Inputs'!C15</x:f>
        <x:v>Unused 5</x:v>
      </x:c>
      <x:c r="I1291" s="26" t="n">
        <x:f>S1286</x:f>
        <x:v>0</x:v>
      </x:c>
      <x:c r="J1291" s="29" t="n">
        <x:f>IF('Inputs'!$D$9="Ready",'Inputs'!E15,"n.a.")</x:f>
        <x:v>0</x:v>
      </x:c>
      <x:c r="K1291" s="26" t="n">
        <x:f>IF('Inputs'!$D$9="Ready",'Inputs'!F15,"n.a.")</x:f>
        <x:v>0</x:v>
      </x:c>
      <x:c r="L1291" s="29" t="n">
        <x:f>IF('Inputs'!$D$9="Ready",'Inputs'!G15,"n.a.")</x:f>
        <x:v>0</x:v>
      </x:c>
      <x:c r="M1291" s="22" t="n">
        <x:f>IF(COUNT(I1291:L1291)=4,ROUND(I1291*J1291/12,2),"n.a.")</x:f>
        <x:v>0</x:v>
      </x:c>
      <x:c r="N1291" s="22" t="n">
        <x:f>IF(COUNT(I1291:M1291)=5,MIN(I1291+M1291,ROUND(MAX(K1291,I1291*L1291+M1291),2)),"n.a.")</x:f>
        <x:v>0</x:v>
      </x:c>
      <x:c r="O1291" s="30" t="n">
        <x:f>IF(COUNT($I$1287:$I$1291)&lt;&gt;5,"n.a.",IF(I1291=0,6,IF('Inputs'!$D$5=1,COUNTIFS($I$1287:$I$1291,"&gt;0",$I$1287:$I$1291,"&lt;"&amp;I1291)+COUNTIFS($I$1287:I1291,I1291),COUNTIFS($I$1287:$I$1291,"&gt;0",$J$1287:$J$1291,"&gt;"&amp;J1291)+COUNTIFS($I$1287:I1291,"&gt;0",$J$1287:J1291,J1291))))</x:f>
        <x:v>6</x:v>
      </x:c>
      <x:c r="P1291" s="22" t="n">
        <x:f>IF(T1291="Ready",MIN(U1291,MAX(0,G1291-SUMIFS($U$1287:$U$1291,$O$1287:$O$1291,"&lt;"&amp;O1291))),"n.a.")</x:f>
        <x:v>0</x:v>
      </x:c>
      <x:c r="Q1291" s="22" t="n">
        <x:f>IF(T1291="Ready",ROUND(N1291+P1291,2),"n.a.")</x:f>
        <x:v>0</x:v>
      </x:c>
      <x:c r="R1291" s="22" t="n">
        <x:f>IF(T1291="Ready",ROUND(Q1291-M1291,2),"n.a.")</x:f>
        <x:v>0</x:v>
      </x:c>
      <x:c r="S1291" s="22" t="n">
        <x:f>IF(T1291="Ready",MAX(0,ROUND(I1291+M1291-Q1291,2)),"n.a.")</x:f>
        <x:v>0</x:v>
      </x:c>
      <x:c r="T1291" s="22" t="str">
        <x:f>IF(AND(COUNT($I$1287:$I$1291)=5,COUNT(E1291:F1291)=2),IF(E1291&gt;=F1291,"Ready","Budget below minima"),"Check inputs")</x:f>
        <x:v>Ready</x:v>
      </x:c>
      <x:c r="U1291" s="22" t="n">
        <x:f>IF(COUNT(I1291,M1291,N1291)=3,MAX(0,ROUND(I1291+M1291-N1291,2)),"n.a.")</x:f>
        <x:v>0</x:v>
      </x:c>
    </x:row>
    <x:row r="1292" ht="22" customHeight="1">
      <x:c r="A1292" s="2"/>
      <x:c r="B1292" s="2"/>
      <x:c r="C1292" s="27" t="n">
        <x:f>258</x:f>
        <x:v>258</x:v>
      </x:c>
      <x:c r="D1292" s="28" t="n">
        <x:f>IF(ISNUMBER('Inputs'!$D$7),EDATE('Inputs'!$D$7,257),"n.a.")</x:f>
        <x:v>54149</x:v>
      </x:c>
      <x:c r="E1292" s="26" t="n">
        <x:f>IF('Inputs'!$D$9&lt;&gt;"Ready","n.a.",IF(ISNUMBER('Inputs'!E276),IF('Inputs'!E276&gt;=0,'Inputs'!E276,"n.a."),IF('Inputs'!E276="",'Inputs'!$D$6,"n.a.")))</x:f>
        <x:v>500</x:v>
      </x:c>
      <x:c r="F1292" s="22" t="n">
        <x:f>IF(COUNT($N$1292:$N$1296)=5,SUM($N$1292:$N$1296),"n.a.")</x:f>
        <x:v>0</x:v>
      </x:c>
      <x:c r="G1292" s="22" t="n">
        <x:f>IF(COUNT(E1292:F1292)=2,MAX(0,E1292-F1292),"n.a.")</x:f>
        <x:v>500</x:v>
      </x:c>
      <x:c r="H1292" s="26" t="str">
        <x:f>'Inputs'!C11</x:f>
        <x:v>Card A</x:v>
      </x:c>
      <x:c r="I1292" s="26" t="n">
        <x:f>S1287</x:f>
        <x:v>0</x:v>
      </x:c>
      <x:c r="J1292" s="29" t="n">
        <x:f>IF('Inputs'!$D$9="Ready",'Inputs'!E11,"n.a.")</x:f>
        <x:v>0.24</x:v>
      </x:c>
      <x:c r="K1292" s="26" t="n">
        <x:f>IF('Inputs'!$D$9="Ready",'Inputs'!F11,"n.a.")</x:f>
        <x:v>35</x:v>
      </x:c>
      <x:c r="L1292" s="29" t="n">
        <x:f>IF('Inputs'!$D$9="Ready",'Inputs'!G11,"n.a.")</x:f>
        <x:v>0.02</x:v>
      </x:c>
      <x:c r="M1292" s="22" t="n">
        <x:f>IF(COUNT(I1292:L1292)=4,ROUND(I1292*J1292/12,2),"n.a.")</x:f>
        <x:v>0</x:v>
      </x:c>
      <x:c r="N1292" s="22" t="n">
        <x:f>IF(COUNT(I1292:M1292)=5,MIN(I1292+M1292,ROUND(MAX(K1292,I1292*L1292+M1292),2)),"n.a.")</x:f>
        <x:v>0</x:v>
      </x:c>
      <x:c r="O1292" s="30" t="n">
        <x:f>IF(COUNT($I$1292:$I$1296)&lt;&gt;5,"n.a.",IF(I1292=0,6,IF('Inputs'!$D$5=1,COUNTIFS($I$1292:$I$1296,"&gt;0",$I$1292:$I$1296,"&lt;"&amp;I1292)+COUNTIFS($I$1292:I1292,I1292),COUNTIFS($I$1292:$I$1296,"&gt;0",$J$1292:$J$1296,"&gt;"&amp;J1292)+COUNTIFS($I$1292:I1292,"&gt;0",$J$1292:J1292,J1292))))</x:f>
        <x:v>6</x:v>
      </x:c>
      <x:c r="P1292" s="22" t="n">
        <x:f>IF(T1292="Ready",MIN(U1292,MAX(0,G1292-SUMIFS($U$1292:$U$1296,$O$1292:$O$1296,"&lt;"&amp;O1292))),"n.a.")</x:f>
        <x:v>0</x:v>
      </x:c>
      <x:c r="Q1292" s="22" t="n">
        <x:f>IF(T1292="Ready",ROUND(N1292+P1292,2),"n.a.")</x:f>
        <x:v>0</x:v>
      </x:c>
      <x:c r="R1292" s="22" t="n">
        <x:f>IF(T1292="Ready",ROUND(Q1292-M1292,2),"n.a.")</x:f>
        <x:v>0</x:v>
      </x:c>
      <x:c r="S1292" s="22" t="n">
        <x:f>IF(T1292="Ready",MAX(0,ROUND(I1292+M1292-Q1292,2)),"n.a.")</x:f>
        <x:v>0</x:v>
      </x:c>
      <x:c r="T1292" s="22" t="str">
        <x:f>IF(AND(COUNT($I$1292:$I$1296)=5,COUNT(E1292:F1292)=2),IF(E1292&gt;=F1292,"Ready","Budget below minima"),"Check inputs")</x:f>
        <x:v>Ready</x:v>
      </x:c>
      <x:c r="U1292" s="22" t="n">
        <x:f>IF(COUNT(I1292,M1292,N1292)=3,MAX(0,ROUND(I1292+M1292-N1292,2)),"n.a.")</x:f>
        <x:v>0</x:v>
      </x:c>
    </x:row>
    <x:row r="1293" ht="22" customHeight="1">
      <x:c r="A1293" s="2"/>
      <x:c r="B1293" s="2"/>
      <x:c r="C1293" s="27" t="n">
        <x:f>258</x:f>
        <x:v>258</x:v>
      </x:c>
      <x:c r="D1293" s="28" t="n">
        <x:f>IF(ISNUMBER('Inputs'!$D$7),EDATE('Inputs'!$D$7,257),"n.a.")</x:f>
        <x:v>54149</x:v>
      </x:c>
      <x:c r="E1293" s="26" t="n">
        <x:f>IF('Inputs'!$D$9&lt;&gt;"Ready","n.a.",IF(ISNUMBER('Inputs'!E276),IF('Inputs'!E276&gt;=0,'Inputs'!E276,"n.a."),IF('Inputs'!E276="",'Inputs'!$D$6,"n.a.")))</x:f>
        <x:v>500</x:v>
      </x:c>
      <x:c r="F1293" s="22" t="n">
        <x:f>IF(COUNT($N$1292:$N$1296)=5,SUM($N$1292:$N$1296),"n.a.")</x:f>
        <x:v>0</x:v>
      </x:c>
      <x:c r="G1293" s="22" t="n">
        <x:f>IF(COUNT(E1293:F1293)=2,MAX(0,E1293-F1293),"n.a.")</x:f>
        <x:v>500</x:v>
      </x:c>
      <x:c r="H1293" s="26" t="str">
        <x:f>'Inputs'!C12</x:f>
        <x:v>Card B</x:v>
      </x:c>
      <x:c r="I1293" s="26" t="n">
        <x:f>S1288</x:f>
        <x:v>0</x:v>
      </x:c>
      <x:c r="J1293" s="29" t="n">
        <x:f>IF('Inputs'!$D$9="Ready",'Inputs'!E12,"n.a.")</x:f>
        <x:v>0.18</x:v>
      </x:c>
      <x:c r="K1293" s="26" t="n">
        <x:f>IF('Inputs'!$D$9="Ready",'Inputs'!F12,"n.a.")</x:f>
        <x:v>60</x:v>
      </x:c>
      <x:c r="L1293" s="29" t="n">
        <x:f>IF('Inputs'!$D$9="Ready",'Inputs'!G12,"n.a.")</x:f>
        <x:v>0.02</x:v>
      </x:c>
      <x:c r="M1293" s="22" t="n">
        <x:f>IF(COUNT(I1293:L1293)=4,ROUND(I1293*J1293/12,2),"n.a.")</x:f>
        <x:v>0</x:v>
      </x:c>
      <x:c r="N1293" s="22" t="n">
        <x:f>IF(COUNT(I1293:M1293)=5,MIN(I1293+M1293,ROUND(MAX(K1293,I1293*L1293+M1293),2)),"n.a.")</x:f>
        <x:v>0</x:v>
      </x:c>
      <x:c r="O1293" s="30" t="n">
        <x:f>IF(COUNT($I$1292:$I$1296)&lt;&gt;5,"n.a.",IF(I1293=0,6,IF('Inputs'!$D$5=1,COUNTIFS($I$1292:$I$1296,"&gt;0",$I$1292:$I$1296,"&lt;"&amp;I1293)+COUNTIFS($I$1292:I1293,I1293),COUNTIFS($I$1292:$I$1296,"&gt;0",$J$1292:$J$1296,"&gt;"&amp;J1293)+COUNTIFS($I$1292:I1293,"&gt;0",$J$1292:J1293,J1293))))</x:f>
        <x:v>6</x:v>
      </x:c>
      <x:c r="P1293" s="22" t="n">
        <x:f>IF(T1293="Ready",MIN(U1293,MAX(0,G1293-SUMIFS($U$1292:$U$1296,$O$1292:$O$1296,"&lt;"&amp;O1293))),"n.a.")</x:f>
        <x:v>0</x:v>
      </x:c>
      <x:c r="Q1293" s="22" t="n">
        <x:f>IF(T1293="Ready",ROUND(N1293+P1293,2),"n.a.")</x:f>
        <x:v>0</x:v>
      </x:c>
      <x:c r="R1293" s="22" t="n">
        <x:f>IF(T1293="Ready",ROUND(Q1293-M1293,2),"n.a.")</x:f>
        <x:v>0</x:v>
      </x:c>
      <x:c r="S1293" s="22" t="n">
        <x:f>IF(T1293="Ready",MAX(0,ROUND(I1293+M1293-Q1293,2)),"n.a.")</x:f>
        <x:v>0</x:v>
      </x:c>
      <x:c r="T1293" s="22" t="str">
        <x:f>IF(AND(COUNT($I$1292:$I$1296)=5,COUNT(E1293:F1293)=2),IF(E1293&gt;=F1293,"Ready","Budget below minima"),"Check inputs")</x:f>
        <x:v>Ready</x:v>
      </x:c>
      <x:c r="U1293" s="22" t="n">
        <x:f>IF(COUNT(I1293,M1293,N1293)=3,MAX(0,ROUND(I1293+M1293-N1293,2)),"n.a.")</x:f>
        <x:v>0</x:v>
      </x:c>
    </x:row>
    <x:row r="1294" ht="22" customHeight="1">
      <x:c r="A1294" s="2"/>
      <x:c r="B1294" s="2"/>
      <x:c r="C1294" s="27" t="n">
        <x:f>258</x:f>
        <x:v>258</x:v>
      </x:c>
      <x:c r="D1294" s="28" t="n">
        <x:f>IF(ISNUMBER('Inputs'!$D$7),EDATE('Inputs'!$D$7,257),"n.a.")</x:f>
        <x:v>54149</x:v>
      </x:c>
      <x:c r="E1294" s="26" t="n">
        <x:f>IF('Inputs'!$D$9&lt;&gt;"Ready","n.a.",IF(ISNUMBER('Inputs'!E276),IF('Inputs'!E276&gt;=0,'Inputs'!E276,"n.a."),IF('Inputs'!E276="",'Inputs'!$D$6,"n.a.")))</x:f>
        <x:v>500</x:v>
      </x:c>
      <x:c r="F1294" s="22" t="n">
        <x:f>IF(COUNT($N$1292:$N$1296)=5,SUM($N$1292:$N$1296),"n.a.")</x:f>
        <x:v>0</x:v>
      </x:c>
      <x:c r="G1294" s="22" t="n">
        <x:f>IF(COUNT(E1294:F1294)=2,MAX(0,E1294-F1294),"n.a.")</x:f>
        <x:v>500</x:v>
      </x:c>
      <x:c r="H1294" s="26" t="str">
        <x:f>'Inputs'!C13</x:f>
        <x:v>Loan C</x:v>
      </x:c>
      <x:c r="I1294" s="26" t="n">
        <x:f>S1289</x:f>
        <x:v>0</x:v>
      </x:c>
      <x:c r="J1294" s="29" t="n">
        <x:f>IF('Inputs'!$D$9="Ready",'Inputs'!E13,"n.a.")</x:f>
        <x:v>0.08</x:v>
      </x:c>
      <x:c r="K1294" s="26" t="n">
        <x:f>IF('Inputs'!$D$9="Ready",'Inputs'!F13,"n.a.")</x:f>
        <x:v>150</x:v>
      </x:c>
      <x:c r="L1294" s="29" t="n">
        <x:f>IF('Inputs'!$D$9="Ready",'Inputs'!G13,"n.a.")</x:f>
        <x:v>0</x:v>
      </x:c>
      <x:c r="M1294" s="22" t="n">
        <x:f>IF(COUNT(I1294:L1294)=4,ROUND(I1294*J1294/12,2),"n.a.")</x:f>
        <x:v>0</x:v>
      </x:c>
      <x:c r="N1294" s="22" t="n">
        <x:f>IF(COUNT(I1294:M1294)=5,MIN(I1294+M1294,ROUND(MAX(K1294,I1294*L1294+M1294),2)),"n.a.")</x:f>
        <x:v>0</x:v>
      </x:c>
      <x:c r="O1294" s="30" t="n">
        <x:f>IF(COUNT($I$1292:$I$1296)&lt;&gt;5,"n.a.",IF(I1294=0,6,IF('Inputs'!$D$5=1,COUNTIFS($I$1292:$I$1296,"&gt;0",$I$1292:$I$1296,"&lt;"&amp;I1294)+COUNTIFS($I$1292:I1294,I1294),COUNTIFS($I$1292:$I$1296,"&gt;0",$J$1292:$J$1296,"&gt;"&amp;J1294)+COUNTIFS($I$1292:I1294,"&gt;0",$J$1292:J1294,J1294))))</x:f>
        <x:v>6</x:v>
      </x:c>
      <x:c r="P1294" s="22" t="n">
        <x:f>IF(T1294="Ready",MIN(U1294,MAX(0,G1294-SUMIFS($U$1292:$U$1296,$O$1292:$O$1296,"&lt;"&amp;O1294))),"n.a.")</x:f>
        <x:v>0</x:v>
      </x:c>
      <x:c r="Q1294" s="22" t="n">
        <x:f>IF(T1294="Ready",ROUND(N1294+P1294,2),"n.a.")</x:f>
        <x:v>0</x:v>
      </x:c>
      <x:c r="R1294" s="22" t="n">
        <x:f>IF(T1294="Ready",ROUND(Q1294-M1294,2),"n.a.")</x:f>
        <x:v>0</x:v>
      </x:c>
      <x:c r="S1294" s="22" t="n">
        <x:f>IF(T1294="Ready",MAX(0,ROUND(I1294+M1294-Q1294,2)),"n.a.")</x:f>
        <x:v>0</x:v>
      </x:c>
      <x:c r="T1294" s="22" t="str">
        <x:f>IF(AND(COUNT($I$1292:$I$1296)=5,COUNT(E1294:F1294)=2),IF(E1294&gt;=F1294,"Ready","Budget below minima"),"Check inputs")</x:f>
        <x:v>Ready</x:v>
      </x:c>
      <x:c r="U1294" s="22" t="n">
        <x:f>IF(COUNT(I1294,M1294,N1294)=3,MAX(0,ROUND(I1294+M1294-N1294,2)),"n.a.")</x:f>
        <x:v>0</x:v>
      </x:c>
    </x:row>
    <x:row r="1295" ht="22" customHeight="1">
      <x:c r="A1295" s="2"/>
      <x:c r="B1295" s="2"/>
      <x:c r="C1295" s="27" t="n">
        <x:f>258</x:f>
        <x:v>258</x:v>
      </x:c>
      <x:c r="D1295" s="28" t="n">
        <x:f>IF(ISNUMBER('Inputs'!$D$7),EDATE('Inputs'!$D$7,257),"n.a.")</x:f>
        <x:v>54149</x:v>
      </x:c>
      <x:c r="E1295" s="26" t="n">
        <x:f>IF('Inputs'!$D$9&lt;&gt;"Ready","n.a.",IF(ISNUMBER('Inputs'!E276),IF('Inputs'!E276&gt;=0,'Inputs'!E276,"n.a."),IF('Inputs'!E276="",'Inputs'!$D$6,"n.a.")))</x:f>
        <x:v>500</x:v>
      </x:c>
      <x:c r="F1295" s="22" t="n">
        <x:f>IF(COUNT($N$1292:$N$1296)=5,SUM($N$1292:$N$1296),"n.a.")</x:f>
        <x:v>0</x:v>
      </x:c>
      <x:c r="G1295" s="22" t="n">
        <x:f>IF(COUNT(E1295:F1295)=2,MAX(0,E1295-F1295),"n.a.")</x:f>
        <x:v>500</x:v>
      </x:c>
      <x:c r="H1295" s="26" t="str">
        <x:f>'Inputs'!C14</x:f>
        <x:v>Unused 4</x:v>
      </x:c>
      <x:c r="I1295" s="26" t="n">
        <x:f>S1290</x:f>
        <x:v>0</x:v>
      </x:c>
      <x:c r="J1295" s="29" t="n">
        <x:f>IF('Inputs'!$D$9="Ready",'Inputs'!E14,"n.a.")</x:f>
        <x:v>0</x:v>
      </x:c>
      <x:c r="K1295" s="26" t="n">
        <x:f>IF('Inputs'!$D$9="Ready",'Inputs'!F14,"n.a.")</x:f>
        <x:v>0</x:v>
      </x:c>
      <x:c r="L1295" s="29" t="n">
        <x:f>IF('Inputs'!$D$9="Ready",'Inputs'!G14,"n.a.")</x:f>
        <x:v>0</x:v>
      </x:c>
      <x:c r="M1295" s="22" t="n">
        <x:f>IF(COUNT(I1295:L1295)=4,ROUND(I1295*J1295/12,2),"n.a.")</x:f>
        <x:v>0</x:v>
      </x:c>
      <x:c r="N1295" s="22" t="n">
        <x:f>IF(COUNT(I1295:M1295)=5,MIN(I1295+M1295,ROUND(MAX(K1295,I1295*L1295+M1295),2)),"n.a.")</x:f>
        <x:v>0</x:v>
      </x:c>
      <x:c r="O1295" s="30" t="n">
        <x:f>IF(COUNT($I$1292:$I$1296)&lt;&gt;5,"n.a.",IF(I1295=0,6,IF('Inputs'!$D$5=1,COUNTIFS($I$1292:$I$1296,"&gt;0",$I$1292:$I$1296,"&lt;"&amp;I1295)+COUNTIFS($I$1292:I1295,I1295),COUNTIFS($I$1292:$I$1296,"&gt;0",$J$1292:$J$1296,"&gt;"&amp;J1295)+COUNTIFS($I$1292:I1295,"&gt;0",$J$1292:J1295,J1295))))</x:f>
        <x:v>6</x:v>
      </x:c>
      <x:c r="P1295" s="22" t="n">
        <x:f>IF(T1295="Ready",MIN(U1295,MAX(0,G1295-SUMIFS($U$1292:$U$1296,$O$1292:$O$1296,"&lt;"&amp;O1295))),"n.a.")</x:f>
        <x:v>0</x:v>
      </x:c>
      <x:c r="Q1295" s="22" t="n">
        <x:f>IF(T1295="Ready",ROUND(N1295+P1295,2),"n.a.")</x:f>
        <x:v>0</x:v>
      </x:c>
      <x:c r="R1295" s="22" t="n">
        <x:f>IF(T1295="Ready",ROUND(Q1295-M1295,2),"n.a.")</x:f>
        <x:v>0</x:v>
      </x:c>
      <x:c r="S1295" s="22" t="n">
        <x:f>IF(T1295="Ready",MAX(0,ROUND(I1295+M1295-Q1295,2)),"n.a.")</x:f>
        <x:v>0</x:v>
      </x:c>
      <x:c r="T1295" s="22" t="str">
        <x:f>IF(AND(COUNT($I$1292:$I$1296)=5,COUNT(E1295:F1295)=2),IF(E1295&gt;=F1295,"Ready","Budget below minima"),"Check inputs")</x:f>
        <x:v>Ready</x:v>
      </x:c>
      <x:c r="U1295" s="22" t="n">
        <x:f>IF(COUNT(I1295,M1295,N1295)=3,MAX(0,ROUND(I1295+M1295-N1295,2)),"n.a.")</x:f>
        <x:v>0</x:v>
      </x:c>
    </x:row>
    <x:row r="1296" ht="22" customHeight="1">
      <x:c r="A1296" s="2"/>
      <x:c r="B1296" s="2"/>
      <x:c r="C1296" s="27" t="n">
        <x:f>258</x:f>
        <x:v>258</x:v>
      </x:c>
      <x:c r="D1296" s="28" t="n">
        <x:f>IF(ISNUMBER('Inputs'!$D$7),EDATE('Inputs'!$D$7,257),"n.a.")</x:f>
        <x:v>54149</x:v>
      </x:c>
      <x:c r="E1296" s="26" t="n">
        <x:f>IF('Inputs'!$D$9&lt;&gt;"Ready","n.a.",IF(ISNUMBER('Inputs'!E276),IF('Inputs'!E276&gt;=0,'Inputs'!E276,"n.a."),IF('Inputs'!E276="",'Inputs'!$D$6,"n.a.")))</x:f>
        <x:v>500</x:v>
      </x:c>
      <x:c r="F1296" s="22" t="n">
        <x:f>IF(COUNT($N$1292:$N$1296)=5,SUM($N$1292:$N$1296),"n.a.")</x:f>
        <x:v>0</x:v>
      </x:c>
      <x:c r="G1296" s="22" t="n">
        <x:f>IF(COUNT(E1296:F1296)=2,MAX(0,E1296-F1296),"n.a.")</x:f>
        <x:v>500</x:v>
      </x:c>
      <x:c r="H1296" s="26" t="str">
        <x:f>'Inputs'!C15</x:f>
        <x:v>Unused 5</x:v>
      </x:c>
      <x:c r="I1296" s="26" t="n">
        <x:f>S1291</x:f>
        <x:v>0</x:v>
      </x:c>
      <x:c r="J1296" s="29" t="n">
        <x:f>IF('Inputs'!$D$9="Ready",'Inputs'!E15,"n.a.")</x:f>
        <x:v>0</x:v>
      </x:c>
      <x:c r="K1296" s="26" t="n">
        <x:f>IF('Inputs'!$D$9="Ready",'Inputs'!F15,"n.a.")</x:f>
        <x:v>0</x:v>
      </x:c>
      <x:c r="L1296" s="29" t="n">
        <x:f>IF('Inputs'!$D$9="Ready",'Inputs'!G15,"n.a.")</x:f>
        <x:v>0</x:v>
      </x:c>
      <x:c r="M1296" s="22" t="n">
        <x:f>IF(COUNT(I1296:L1296)=4,ROUND(I1296*J1296/12,2),"n.a.")</x:f>
        <x:v>0</x:v>
      </x:c>
      <x:c r="N1296" s="22" t="n">
        <x:f>IF(COUNT(I1296:M1296)=5,MIN(I1296+M1296,ROUND(MAX(K1296,I1296*L1296+M1296),2)),"n.a.")</x:f>
        <x:v>0</x:v>
      </x:c>
      <x:c r="O1296" s="30" t="n">
        <x:f>IF(COUNT($I$1292:$I$1296)&lt;&gt;5,"n.a.",IF(I1296=0,6,IF('Inputs'!$D$5=1,COUNTIFS($I$1292:$I$1296,"&gt;0",$I$1292:$I$1296,"&lt;"&amp;I1296)+COUNTIFS($I$1292:I1296,I1296),COUNTIFS($I$1292:$I$1296,"&gt;0",$J$1292:$J$1296,"&gt;"&amp;J1296)+COUNTIFS($I$1292:I1296,"&gt;0",$J$1292:J1296,J1296))))</x:f>
        <x:v>6</x:v>
      </x:c>
      <x:c r="P1296" s="22" t="n">
        <x:f>IF(T1296="Ready",MIN(U1296,MAX(0,G1296-SUMIFS($U$1292:$U$1296,$O$1292:$O$1296,"&lt;"&amp;O1296))),"n.a.")</x:f>
        <x:v>0</x:v>
      </x:c>
      <x:c r="Q1296" s="22" t="n">
        <x:f>IF(T1296="Ready",ROUND(N1296+P1296,2),"n.a.")</x:f>
        <x:v>0</x:v>
      </x:c>
      <x:c r="R1296" s="22" t="n">
        <x:f>IF(T1296="Ready",ROUND(Q1296-M1296,2),"n.a.")</x:f>
        <x:v>0</x:v>
      </x:c>
      <x:c r="S1296" s="22" t="n">
        <x:f>IF(T1296="Ready",MAX(0,ROUND(I1296+M1296-Q1296,2)),"n.a.")</x:f>
        <x:v>0</x:v>
      </x:c>
      <x:c r="T1296" s="22" t="str">
        <x:f>IF(AND(COUNT($I$1292:$I$1296)=5,COUNT(E1296:F1296)=2),IF(E1296&gt;=F1296,"Ready","Budget below minima"),"Check inputs")</x:f>
        <x:v>Ready</x:v>
      </x:c>
      <x:c r="U1296" s="22" t="n">
        <x:f>IF(COUNT(I1296,M1296,N1296)=3,MAX(0,ROUND(I1296+M1296-N1296,2)),"n.a.")</x:f>
        <x:v>0</x:v>
      </x:c>
    </x:row>
    <x:row r="1297" ht="22" customHeight="1">
      <x:c r="A1297" s="2"/>
      <x:c r="B1297" s="2"/>
      <x:c r="C1297" s="27" t="n">
        <x:f>259</x:f>
        <x:v>259</x:v>
      </x:c>
      <x:c r="D1297" s="28" t="n">
        <x:f>IF(ISNUMBER('Inputs'!$D$7),EDATE('Inputs'!$D$7,258),"n.a.")</x:f>
        <x:v>54179</x:v>
      </x:c>
      <x:c r="E1297" s="26" t="n">
        <x:f>IF('Inputs'!$D$9&lt;&gt;"Ready","n.a.",IF(ISNUMBER('Inputs'!E277),IF('Inputs'!E277&gt;=0,'Inputs'!E277,"n.a."),IF('Inputs'!E277="",'Inputs'!$D$6,"n.a.")))</x:f>
        <x:v>500</x:v>
      </x:c>
      <x:c r="F1297" s="22" t="n">
        <x:f>IF(COUNT($N$1297:$N$1301)=5,SUM($N$1297:$N$1301),"n.a.")</x:f>
        <x:v>0</x:v>
      </x:c>
      <x:c r="G1297" s="22" t="n">
        <x:f>IF(COUNT(E1297:F1297)=2,MAX(0,E1297-F1297),"n.a.")</x:f>
        <x:v>500</x:v>
      </x:c>
      <x:c r="H1297" s="26" t="str">
        <x:f>'Inputs'!C11</x:f>
        <x:v>Card A</x:v>
      </x:c>
      <x:c r="I1297" s="26" t="n">
        <x:f>S1292</x:f>
        <x:v>0</x:v>
      </x:c>
      <x:c r="J1297" s="29" t="n">
        <x:f>IF('Inputs'!$D$9="Ready",'Inputs'!E11,"n.a.")</x:f>
        <x:v>0.24</x:v>
      </x:c>
      <x:c r="K1297" s="26" t="n">
        <x:f>IF('Inputs'!$D$9="Ready",'Inputs'!F11,"n.a.")</x:f>
        <x:v>35</x:v>
      </x:c>
      <x:c r="L1297" s="29" t="n">
        <x:f>IF('Inputs'!$D$9="Ready",'Inputs'!G11,"n.a.")</x:f>
        <x:v>0.02</x:v>
      </x:c>
      <x:c r="M1297" s="22" t="n">
        <x:f>IF(COUNT(I1297:L1297)=4,ROUND(I1297*J1297/12,2),"n.a.")</x:f>
        <x:v>0</x:v>
      </x:c>
      <x:c r="N1297" s="22" t="n">
        <x:f>IF(COUNT(I1297:M1297)=5,MIN(I1297+M1297,ROUND(MAX(K1297,I1297*L1297+M1297),2)),"n.a.")</x:f>
        <x:v>0</x:v>
      </x:c>
      <x:c r="O1297" s="30" t="n">
        <x:f>IF(COUNT($I$1297:$I$1301)&lt;&gt;5,"n.a.",IF(I1297=0,6,IF('Inputs'!$D$5=1,COUNTIFS($I$1297:$I$1301,"&gt;0",$I$1297:$I$1301,"&lt;"&amp;I1297)+COUNTIFS($I$1297:I1297,I1297),COUNTIFS($I$1297:$I$1301,"&gt;0",$J$1297:$J$1301,"&gt;"&amp;J1297)+COUNTIFS($I$1297:I1297,"&gt;0",$J$1297:J1297,J1297))))</x:f>
        <x:v>6</x:v>
      </x:c>
      <x:c r="P1297" s="22" t="n">
        <x:f>IF(T1297="Ready",MIN(U1297,MAX(0,G1297-SUMIFS($U$1297:$U$1301,$O$1297:$O$1301,"&lt;"&amp;O1297))),"n.a.")</x:f>
        <x:v>0</x:v>
      </x:c>
      <x:c r="Q1297" s="22" t="n">
        <x:f>IF(T1297="Ready",ROUND(N1297+P1297,2),"n.a.")</x:f>
        <x:v>0</x:v>
      </x:c>
      <x:c r="R1297" s="22" t="n">
        <x:f>IF(T1297="Ready",ROUND(Q1297-M1297,2),"n.a.")</x:f>
        <x:v>0</x:v>
      </x:c>
      <x:c r="S1297" s="22" t="n">
        <x:f>IF(T1297="Ready",MAX(0,ROUND(I1297+M1297-Q1297,2)),"n.a.")</x:f>
        <x:v>0</x:v>
      </x:c>
      <x:c r="T1297" s="22" t="str">
        <x:f>IF(AND(COUNT($I$1297:$I$1301)=5,COUNT(E1297:F1297)=2),IF(E1297&gt;=F1297,"Ready","Budget below minima"),"Check inputs")</x:f>
        <x:v>Ready</x:v>
      </x:c>
      <x:c r="U1297" s="22" t="n">
        <x:f>IF(COUNT(I1297,M1297,N1297)=3,MAX(0,ROUND(I1297+M1297-N1297,2)),"n.a.")</x:f>
        <x:v>0</x:v>
      </x:c>
    </x:row>
    <x:row r="1298" ht="22" customHeight="1">
      <x:c r="A1298" s="2"/>
      <x:c r="B1298" s="2"/>
      <x:c r="C1298" s="27" t="n">
        <x:f>259</x:f>
        <x:v>259</x:v>
      </x:c>
      <x:c r="D1298" s="28" t="n">
        <x:f>IF(ISNUMBER('Inputs'!$D$7),EDATE('Inputs'!$D$7,258),"n.a.")</x:f>
        <x:v>54179</x:v>
      </x:c>
      <x:c r="E1298" s="26" t="n">
        <x:f>IF('Inputs'!$D$9&lt;&gt;"Ready","n.a.",IF(ISNUMBER('Inputs'!E277),IF('Inputs'!E277&gt;=0,'Inputs'!E277,"n.a."),IF('Inputs'!E277="",'Inputs'!$D$6,"n.a.")))</x:f>
        <x:v>500</x:v>
      </x:c>
      <x:c r="F1298" s="22" t="n">
        <x:f>IF(COUNT($N$1297:$N$1301)=5,SUM($N$1297:$N$1301),"n.a.")</x:f>
        <x:v>0</x:v>
      </x:c>
      <x:c r="G1298" s="22" t="n">
        <x:f>IF(COUNT(E1298:F1298)=2,MAX(0,E1298-F1298),"n.a.")</x:f>
        <x:v>500</x:v>
      </x:c>
      <x:c r="H1298" s="26" t="str">
        <x:f>'Inputs'!C12</x:f>
        <x:v>Card B</x:v>
      </x:c>
      <x:c r="I1298" s="26" t="n">
        <x:f>S1293</x:f>
        <x:v>0</x:v>
      </x:c>
      <x:c r="J1298" s="29" t="n">
        <x:f>IF('Inputs'!$D$9="Ready",'Inputs'!E12,"n.a.")</x:f>
        <x:v>0.18</x:v>
      </x:c>
      <x:c r="K1298" s="26" t="n">
        <x:f>IF('Inputs'!$D$9="Ready",'Inputs'!F12,"n.a.")</x:f>
        <x:v>60</x:v>
      </x:c>
      <x:c r="L1298" s="29" t="n">
        <x:f>IF('Inputs'!$D$9="Ready",'Inputs'!G12,"n.a.")</x:f>
        <x:v>0.02</x:v>
      </x:c>
      <x:c r="M1298" s="22" t="n">
        <x:f>IF(COUNT(I1298:L1298)=4,ROUND(I1298*J1298/12,2),"n.a.")</x:f>
        <x:v>0</x:v>
      </x:c>
      <x:c r="N1298" s="22" t="n">
        <x:f>IF(COUNT(I1298:M1298)=5,MIN(I1298+M1298,ROUND(MAX(K1298,I1298*L1298+M1298),2)),"n.a.")</x:f>
        <x:v>0</x:v>
      </x:c>
      <x:c r="O1298" s="30" t="n">
        <x:f>IF(COUNT($I$1297:$I$1301)&lt;&gt;5,"n.a.",IF(I1298=0,6,IF('Inputs'!$D$5=1,COUNTIFS($I$1297:$I$1301,"&gt;0",$I$1297:$I$1301,"&lt;"&amp;I1298)+COUNTIFS($I$1297:I1298,I1298),COUNTIFS($I$1297:$I$1301,"&gt;0",$J$1297:$J$1301,"&gt;"&amp;J1298)+COUNTIFS($I$1297:I1298,"&gt;0",$J$1297:J1298,J1298))))</x:f>
        <x:v>6</x:v>
      </x:c>
      <x:c r="P1298" s="22" t="n">
        <x:f>IF(T1298="Ready",MIN(U1298,MAX(0,G1298-SUMIFS($U$1297:$U$1301,$O$1297:$O$1301,"&lt;"&amp;O1298))),"n.a.")</x:f>
        <x:v>0</x:v>
      </x:c>
      <x:c r="Q1298" s="22" t="n">
        <x:f>IF(T1298="Ready",ROUND(N1298+P1298,2),"n.a.")</x:f>
        <x:v>0</x:v>
      </x:c>
      <x:c r="R1298" s="22" t="n">
        <x:f>IF(T1298="Ready",ROUND(Q1298-M1298,2),"n.a.")</x:f>
        <x:v>0</x:v>
      </x:c>
      <x:c r="S1298" s="22" t="n">
        <x:f>IF(T1298="Ready",MAX(0,ROUND(I1298+M1298-Q1298,2)),"n.a.")</x:f>
        <x:v>0</x:v>
      </x:c>
      <x:c r="T1298" s="22" t="str">
        <x:f>IF(AND(COUNT($I$1297:$I$1301)=5,COUNT(E1298:F1298)=2),IF(E1298&gt;=F1298,"Ready","Budget below minima"),"Check inputs")</x:f>
        <x:v>Ready</x:v>
      </x:c>
      <x:c r="U1298" s="22" t="n">
        <x:f>IF(COUNT(I1298,M1298,N1298)=3,MAX(0,ROUND(I1298+M1298-N1298,2)),"n.a.")</x:f>
        <x:v>0</x:v>
      </x:c>
    </x:row>
    <x:row r="1299" ht="22" customHeight="1">
      <x:c r="A1299" s="2"/>
      <x:c r="B1299" s="2"/>
      <x:c r="C1299" s="27" t="n">
        <x:f>259</x:f>
        <x:v>259</x:v>
      </x:c>
      <x:c r="D1299" s="28" t="n">
        <x:f>IF(ISNUMBER('Inputs'!$D$7),EDATE('Inputs'!$D$7,258),"n.a.")</x:f>
        <x:v>54179</x:v>
      </x:c>
      <x:c r="E1299" s="26" t="n">
        <x:f>IF('Inputs'!$D$9&lt;&gt;"Ready","n.a.",IF(ISNUMBER('Inputs'!E277),IF('Inputs'!E277&gt;=0,'Inputs'!E277,"n.a."),IF('Inputs'!E277="",'Inputs'!$D$6,"n.a.")))</x:f>
        <x:v>500</x:v>
      </x:c>
      <x:c r="F1299" s="22" t="n">
        <x:f>IF(COUNT($N$1297:$N$1301)=5,SUM($N$1297:$N$1301),"n.a.")</x:f>
        <x:v>0</x:v>
      </x:c>
      <x:c r="G1299" s="22" t="n">
        <x:f>IF(COUNT(E1299:F1299)=2,MAX(0,E1299-F1299),"n.a.")</x:f>
        <x:v>500</x:v>
      </x:c>
      <x:c r="H1299" s="26" t="str">
        <x:f>'Inputs'!C13</x:f>
        <x:v>Loan C</x:v>
      </x:c>
      <x:c r="I1299" s="26" t="n">
        <x:f>S1294</x:f>
        <x:v>0</x:v>
      </x:c>
      <x:c r="J1299" s="29" t="n">
        <x:f>IF('Inputs'!$D$9="Ready",'Inputs'!E13,"n.a.")</x:f>
        <x:v>0.08</x:v>
      </x:c>
      <x:c r="K1299" s="26" t="n">
        <x:f>IF('Inputs'!$D$9="Ready",'Inputs'!F13,"n.a.")</x:f>
        <x:v>150</x:v>
      </x:c>
      <x:c r="L1299" s="29" t="n">
        <x:f>IF('Inputs'!$D$9="Ready",'Inputs'!G13,"n.a.")</x:f>
        <x:v>0</x:v>
      </x:c>
      <x:c r="M1299" s="22" t="n">
        <x:f>IF(COUNT(I1299:L1299)=4,ROUND(I1299*J1299/12,2),"n.a.")</x:f>
        <x:v>0</x:v>
      </x:c>
      <x:c r="N1299" s="22" t="n">
        <x:f>IF(COUNT(I1299:M1299)=5,MIN(I1299+M1299,ROUND(MAX(K1299,I1299*L1299+M1299),2)),"n.a.")</x:f>
        <x:v>0</x:v>
      </x:c>
      <x:c r="O1299" s="30" t="n">
        <x:f>IF(COUNT($I$1297:$I$1301)&lt;&gt;5,"n.a.",IF(I1299=0,6,IF('Inputs'!$D$5=1,COUNTIFS($I$1297:$I$1301,"&gt;0",$I$1297:$I$1301,"&lt;"&amp;I1299)+COUNTIFS($I$1297:I1299,I1299),COUNTIFS($I$1297:$I$1301,"&gt;0",$J$1297:$J$1301,"&gt;"&amp;J1299)+COUNTIFS($I$1297:I1299,"&gt;0",$J$1297:J1299,J1299))))</x:f>
        <x:v>6</x:v>
      </x:c>
      <x:c r="P1299" s="22" t="n">
        <x:f>IF(T1299="Ready",MIN(U1299,MAX(0,G1299-SUMIFS($U$1297:$U$1301,$O$1297:$O$1301,"&lt;"&amp;O1299))),"n.a.")</x:f>
        <x:v>0</x:v>
      </x:c>
      <x:c r="Q1299" s="22" t="n">
        <x:f>IF(T1299="Ready",ROUND(N1299+P1299,2),"n.a.")</x:f>
        <x:v>0</x:v>
      </x:c>
      <x:c r="R1299" s="22" t="n">
        <x:f>IF(T1299="Ready",ROUND(Q1299-M1299,2),"n.a.")</x:f>
        <x:v>0</x:v>
      </x:c>
      <x:c r="S1299" s="22" t="n">
        <x:f>IF(T1299="Ready",MAX(0,ROUND(I1299+M1299-Q1299,2)),"n.a.")</x:f>
        <x:v>0</x:v>
      </x:c>
      <x:c r="T1299" s="22" t="str">
        <x:f>IF(AND(COUNT($I$1297:$I$1301)=5,COUNT(E1299:F1299)=2),IF(E1299&gt;=F1299,"Ready","Budget below minima"),"Check inputs")</x:f>
        <x:v>Ready</x:v>
      </x:c>
      <x:c r="U1299" s="22" t="n">
        <x:f>IF(COUNT(I1299,M1299,N1299)=3,MAX(0,ROUND(I1299+M1299-N1299,2)),"n.a.")</x:f>
        <x:v>0</x:v>
      </x:c>
    </x:row>
    <x:row r="1300" ht="22" customHeight="1">
      <x:c r="A1300" s="2"/>
      <x:c r="B1300" s="2"/>
      <x:c r="C1300" s="27" t="n">
        <x:f>259</x:f>
        <x:v>259</x:v>
      </x:c>
      <x:c r="D1300" s="28" t="n">
        <x:f>IF(ISNUMBER('Inputs'!$D$7),EDATE('Inputs'!$D$7,258),"n.a.")</x:f>
        <x:v>54179</x:v>
      </x:c>
      <x:c r="E1300" s="26" t="n">
        <x:f>IF('Inputs'!$D$9&lt;&gt;"Ready","n.a.",IF(ISNUMBER('Inputs'!E277),IF('Inputs'!E277&gt;=0,'Inputs'!E277,"n.a."),IF('Inputs'!E277="",'Inputs'!$D$6,"n.a.")))</x:f>
        <x:v>500</x:v>
      </x:c>
      <x:c r="F1300" s="22" t="n">
        <x:f>IF(COUNT($N$1297:$N$1301)=5,SUM($N$1297:$N$1301),"n.a.")</x:f>
        <x:v>0</x:v>
      </x:c>
      <x:c r="G1300" s="22" t="n">
        <x:f>IF(COUNT(E1300:F1300)=2,MAX(0,E1300-F1300),"n.a.")</x:f>
        <x:v>500</x:v>
      </x:c>
      <x:c r="H1300" s="26" t="str">
        <x:f>'Inputs'!C14</x:f>
        <x:v>Unused 4</x:v>
      </x:c>
      <x:c r="I1300" s="26" t="n">
        <x:f>S1295</x:f>
        <x:v>0</x:v>
      </x:c>
      <x:c r="J1300" s="29" t="n">
        <x:f>IF('Inputs'!$D$9="Ready",'Inputs'!E14,"n.a.")</x:f>
        <x:v>0</x:v>
      </x:c>
      <x:c r="K1300" s="26" t="n">
        <x:f>IF('Inputs'!$D$9="Ready",'Inputs'!F14,"n.a.")</x:f>
        <x:v>0</x:v>
      </x:c>
      <x:c r="L1300" s="29" t="n">
        <x:f>IF('Inputs'!$D$9="Ready",'Inputs'!G14,"n.a.")</x:f>
        <x:v>0</x:v>
      </x:c>
      <x:c r="M1300" s="22" t="n">
        <x:f>IF(COUNT(I1300:L1300)=4,ROUND(I1300*J1300/12,2),"n.a.")</x:f>
        <x:v>0</x:v>
      </x:c>
      <x:c r="N1300" s="22" t="n">
        <x:f>IF(COUNT(I1300:M1300)=5,MIN(I1300+M1300,ROUND(MAX(K1300,I1300*L1300+M1300),2)),"n.a.")</x:f>
        <x:v>0</x:v>
      </x:c>
      <x:c r="O1300" s="30" t="n">
        <x:f>IF(COUNT($I$1297:$I$1301)&lt;&gt;5,"n.a.",IF(I1300=0,6,IF('Inputs'!$D$5=1,COUNTIFS($I$1297:$I$1301,"&gt;0",$I$1297:$I$1301,"&lt;"&amp;I1300)+COUNTIFS($I$1297:I1300,I1300),COUNTIFS($I$1297:$I$1301,"&gt;0",$J$1297:$J$1301,"&gt;"&amp;J1300)+COUNTIFS($I$1297:I1300,"&gt;0",$J$1297:J1300,J1300))))</x:f>
        <x:v>6</x:v>
      </x:c>
      <x:c r="P1300" s="22" t="n">
        <x:f>IF(T1300="Ready",MIN(U1300,MAX(0,G1300-SUMIFS($U$1297:$U$1301,$O$1297:$O$1301,"&lt;"&amp;O1300))),"n.a.")</x:f>
        <x:v>0</x:v>
      </x:c>
      <x:c r="Q1300" s="22" t="n">
        <x:f>IF(T1300="Ready",ROUND(N1300+P1300,2),"n.a.")</x:f>
        <x:v>0</x:v>
      </x:c>
      <x:c r="R1300" s="22" t="n">
        <x:f>IF(T1300="Ready",ROUND(Q1300-M1300,2),"n.a.")</x:f>
        <x:v>0</x:v>
      </x:c>
      <x:c r="S1300" s="22" t="n">
        <x:f>IF(T1300="Ready",MAX(0,ROUND(I1300+M1300-Q1300,2)),"n.a.")</x:f>
        <x:v>0</x:v>
      </x:c>
      <x:c r="T1300" s="22" t="str">
        <x:f>IF(AND(COUNT($I$1297:$I$1301)=5,COUNT(E1300:F1300)=2),IF(E1300&gt;=F1300,"Ready","Budget below minima"),"Check inputs")</x:f>
        <x:v>Ready</x:v>
      </x:c>
      <x:c r="U1300" s="22" t="n">
        <x:f>IF(COUNT(I1300,M1300,N1300)=3,MAX(0,ROUND(I1300+M1300-N1300,2)),"n.a.")</x:f>
        <x:v>0</x:v>
      </x:c>
    </x:row>
    <x:row r="1301" ht="22" customHeight="1">
      <x:c r="A1301" s="2"/>
      <x:c r="B1301" s="2"/>
      <x:c r="C1301" s="27" t="n">
        <x:f>259</x:f>
        <x:v>259</x:v>
      </x:c>
      <x:c r="D1301" s="28" t="n">
        <x:f>IF(ISNUMBER('Inputs'!$D$7),EDATE('Inputs'!$D$7,258),"n.a.")</x:f>
        <x:v>54179</x:v>
      </x:c>
      <x:c r="E1301" s="26" t="n">
        <x:f>IF('Inputs'!$D$9&lt;&gt;"Ready","n.a.",IF(ISNUMBER('Inputs'!E277),IF('Inputs'!E277&gt;=0,'Inputs'!E277,"n.a."),IF('Inputs'!E277="",'Inputs'!$D$6,"n.a.")))</x:f>
        <x:v>500</x:v>
      </x:c>
      <x:c r="F1301" s="22" t="n">
        <x:f>IF(COUNT($N$1297:$N$1301)=5,SUM($N$1297:$N$1301),"n.a.")</x:f>
        <x:v>0</x:v>
      </x:c>
      <x:c r="G1301" s="22" t="n">
        <x:f>IF(COUNT(E1301:F1301)=2,MAX(0,E1301-F1301),"n.a.")</x:f>
        <x:v>500</x:v>
      </x:c>
      <x:c r="H1301" s="26" t="str">
        <x:f>'Inputs'!C15</x:f>
        <x:v>Unused 5</x:v>
      </x:c>
      <x:c r="I1301" s="26" t="n">
        <x:f>S1296</x:f>
        <x:v>0</x:v>
      </x:c>
      <x:c r="J1301" s="29" t="n">
        <x:f>IF('Inputs'!$D$9="Ready",'Inputs'!E15,"n.a.")</x:f>
        <x:v>0</x:v>
      </x:c>
      <x:c r="K1301" s="26" t="n">
        <x:f>IF('Inputs'!$D$9="Ready",'Inputs'!F15,"n.a.")</x:f>
        <x:v>0</x:v>
      </x:c>
      <x:c r="L1301" s="29" t="n">
        <x:f>IF('Inputs'!$D$9="Ready",'Inputs'!G15,"n.a.")</x:f>
        <x:v>0</x:v>
      </x:c>
      <x:c r="M1301" s="22" t="n">
        <x:f>IF(COUNT(I1301:L1301)=4,ROUND(I1301*J1301/12,2),"n.a.")</x:f>
        <x:v>0</x:v>
      </x:c>
      <x:c r="N1301" s="22" t="n">
        <x:f>IF(COUNT(I1301:M1301)=5,MIN(I1301+M1301,ROUND(MAX(K1301,I1301*L1301+M1301),2)),"n.a.")</x:f>
        <x:v>0</x:v>
      </x:c>
      <x:c r="O1301" s="30" t="n">
        <x:f>IF(COUNT($I$1297:$I$1301)&lt;&gt;5,"n.a.",IF(I1301=0,6,IF('Inputs'!$D$5=1,COUNTIFS($I$1297:$I$1301,"&gt;0",$I$1297:$I$1301,"&lt;"&amp;I1301)+COUNTIFS($I$1297:I1301,I1301),COUNTIFS($I$1297:$I$1301,"&gt;0",$J$1297:$J$1301,"&gt;"&amp;J1301)+COUNTIFS($I$1297:I1301,"&gt;0",$J$1297:J1301,J1301))))</x:f>
        <x:v>6</x:v>
      </x:c>
      <x:c r="P1301" s="22" t="n">
        <x:f>IF(T1301="Ready",MIN(U1301,MAX(0,G1301-SUMIFS($U$1297:$U$1301,$O$1297:$O$1301,"&lt;"&amp;O1301))),"n.a.")</x:f>
        <x:v>0</x:v>
      </x:c>
      <x:c r="Q1301" s="22" t="n">
        <x:f>IF(T1301="Ready",ROUND(N1301+P1301,2),"n.a.")</x:f>
        <x:v>0</x:v>
      </x:c>
      <x:c r="R1301" s="22" t="n">
        <x:f>IF(T1301="Ready",ROUND(Q1301-M1301,2),"n.a.")</x:f>
        <x:v>0</x:v>
      </x:c>
      <x:c r="S1301" s="22" t="n">
        <x:f>IF(T1301="Ready",MAX(0,ROUND(I1301+M1301-Q1301,2)),"n.a.")</x:f>
        <x:v>0</x:v>
      </x:c>
      <x:c r="T1301" s="22" t="str">
        <x:f>IF(AND(COUNT($I$1297:$I$1301)=5,COUNT(E1301:F1301)=2),IF(E1301&gt;=F1301,"Ready","Budget below minima"),"Check inputs")</x:f>
        <x:v>Ready</x:v>
      </x:c>
      <x:c r="U1301" s="22" t="n">
        <x:f>IF(COUNT(I1301,M1301,N1301)=3,MAX(0,ROUND(I1301+M1301-N1301,2)),"n.a.")</x:f>
        <x:v>0</x:v>
      </x:c>
    </x:row>
    <x:row r="1302" ht="22" customHeight="1">
      <x:c r="A1302" s="2"/>
      <x:c r="B1302" s="2"/>
      <x:c r="C1302" s="27" t="n">
        <x:f>260</x:f>
        <x:v>260</x:v>
      </x:c>
      <x:c r="D1302" s="28" t="n">
        <x:f>IF(ISNUMBER('Inputs'!$D$7),EDATE('Inputs'!$D$7,259),"n.a.")</x:f>
        <x:v>54210</x:v>
      </x:c>
      <x:c r="E1302" s="26" t="n">
        <x:f>IF('Inputs'!$D$9&lt;&gt;"Ready","n.a.",IF(ISNUMBER('Inputs'!E278),IF('Inputs'!E278&gt;=0,'Inputs'!E278,"n.a."),IF('Inputs'!E278="",'Inputs'!$D$6,"n.a.")))</x:f>
        <x:v>500</x:v>
      </x:c>
      <x:c r="F1302" s="22" t="n">
        <x:f>IF(COUNT($N$1302:$N$1306)=5,SUM($N$1302:$N$1306),"n.a.")</x:f>
        <x:v>0</x:v>
      </x:c>
      <x:c r="G1302" s="22" t="n">
        <x:f>IF(COUNT(E1302:F1302)=2,MAX(0,E1302-F1302),"n.a.")</x:f>
        <x:v>500</x:v>
      </x:c>
      <x:c r="H1302" s="26" t="str">
        <x:f>'Inputs'!C11</x:f>
        <x:v>Card A</x:v>
      </x:c>
      <x:c r="I1302" s="26" t="n">
        <x:f>S1297</x:f>
        <x:v>0</x:v>
      </x:c>
      <x:c r="J1302" s="29" t="n">
        <x:f>IF('Inputs'!$D$9="Ready",'Inputs'!E11,"n.a.")</x:f>
        <x:v>0.24</x:v>
      </x:c>
      <x:c r="K1302" s="26" t="n">
        <x:f>IF('Inputs'!$D$9="Ready",'Inputs'!F11,"n.a.")</x:f>
        <x:v>35</x:v>
      </x:c>
      <x:c r="L1302" s="29" t="n">
        <x:f>IF('Inputs'!$D$9="Ready",'Inputs'!G11,"n.a.")</x:f>
        <x:v>0.02</x:v>
      </x:c>
      <x:c r="M1302" s="22" t="n">
        <x:f>IF(COUNT(I1302:L1302)=4,ROUND(I1302*J1302/12,2),"n.a.")</x:f>
        <x:v>0</x:v>
      </x:c>
      <x:c r="N1302" s="22" t="n">
        <x:f>IF(COUNT(I1302:M1302)=5,MIN(I1302+M1302,ROUND(MAX(K1302,I1302*L1302+M1302),2)),"n.a.")</x:f>
        <x:v>0</x:v>
      </x:c>
      <x:c r="O1302" s="30" t="n">
        <x:f>IF(COUNT($I$1302:$I$1306)&lt;&gt;5,"n.a.",IF(I1302=0,6,IF('Inputs'!$D$5=1,COUNTIFS($I$1302:$I$1306,"&gt;0",$I$1302:$I$1306,"&lt;"&amp;I1302)+COUNTIFS($I$1302:I1302,I1302),COUNTIFS($I$1302:$I$1306,"&gt;0",$J$1302:$J$1306,"&gt;"&amp;J1302)+COUNTIFS($I$1302:I1302,"&gt;0",$J$1302:J1302,J1302))))</x:f>
        <x:v>6</x:v>
      </x:c>
      <x:c r="P1302" s="22" t="n">
        <x:f>IF(T1302="Ready",MIN(U1302,MAX(0,G1302-SUMIFS($U$1302:$U$1306,$O$1302:$O$1306,"&lt;"&amp;O1302))),"n.a.")</x:f>
        <x:v>0</x:v>
      </x:c>
      <x:c r="Q1302" s="22" t="n">
        <x:f>IF(T1302="Ready",ROUND(N1302+P1302,2),"n.a.")</x:f>
        <x:v>0</x:v>
      </x:c>
      <x:c r="R1302" s="22" t="n">
        <x:f>IF(T1302="Ready",ROUND(Q1302-M1302,2),"n.a.")</x:f>
        <x:v>0</x:v>
      </x:c>
      <x:c r="S1302" s="22" t="n">
        <x:f>IF(T1302="Ready",MAX(0,ROUND(I1302+M1302-Q1302,2)),"n.a.")</x:f>
        <x:v>0</x:v>
      </x:c>
      <x:c r="T1302" s="22" t="str">
        <x:f>IF(AND(COUNT($I$1302:$I$1306)=5,COUNT(E1302:F1302)=2),IF(E1302&gt;=F1302,"Ready","Budget below minima"),"Check inputs")</x:f>
        <x:v>Ready</x:v>
      </x:c>
      <x:c r="U1302" s="22" t="n">
        <x:f>IF(COUNT(I1302,M1302,N1302)=3,MAX(0,ROUND(I1302+M1302-N1302,2)),"n.a.")</x:f>
        <x:v>0</x:v>
      </x:c>
    </x:row>
    <x:row r="1303" ht="22" customHeight="1">
      <x:c r="A1303" s="2"/>
      <x:c r="B1303" s="2"/>
      <x:c r="C1303" s="27" t="n">
        <x:f>260</x:f>
        <x:v>260</x:v>
      </x:c>
      <x:c r="D1303" s="28" t="n">
        <x:f>IF(ISNUMBER('Inputs'!$D$7),EDATE('Inputs'!$D$7,259),"n.a.")</x:f>
        <x:v>54210</x:v>
      </x:c>
      <x:c r="E1303" s="26" t="n">
        <x:f>IF('Inputs'!$D$9&lt;&gt;"Ready","n.a.",IF(ISNUMBER('Inputs'!E278),IF('Inputs'!E278&gt;=0,'Inputs'!E278,"n.a."),IF('Inputs'!E278="",'Inputs'!$D$6,"n.a.")))</x:f>
        <x:v>500</x:v>
      </x:c>
      <x:c r="F1303" s="22" t="n">
        <x:f>IF(COUNT($N$1302:$N$1306)=5,SUM($N$1302:$N$1306),"n.a.")</x:f>
        <x:v>0</x:v>
      </x:c>
      <x:c r="G1303" s="22" t="n">
        <x:f>IF(COUNT(E1303:F1303)=2,MAX(0,E1303-F1303),"n.a.")</x:f>
        <x:v>500</x:v>
      </x:c>
      <x:c r="H1303" s="26" t="str">
        <x:f>'Inputs'!C12</x:f>
        <x:v>Card B</x:v>
      </x:c>
      <x:c r="I1303" s="26" t="n">
        <x:f>S1298</x:f>
        <x:v>0</x:v>
      </x:c>
      <x:c r="J1303" s="29" t="n">
        <x:f>IF('Inputs'!$D$9="Ready",'Inputs'!E12,"n.a.")</x:f>
        <x:v>0.18</x:v>
      </x:c>
      <x:c r="K1303" s="26" t="n">
        <x:f>IF('Inputs'!$D$9="Ready",'Inputs'!F12,"n.a.")</x:f>
        <x:v>60</x:v>
      </x:c>
      <x:c r="L1303" s="29" t="n">
        <x:f>IF('Inputs'!$D$9="Ready",'Inputs'!G12,"n.a.")</x:f>
        <x:v>0.02</x:v>
      </x:c>
      <x:c r="M1303" s="22" t="n">
        <x:f>IF(COUNT(I1303:L1303)=4,ROUND(I1303*J1303/12,2),"n.a.")</x:f>
        <x:v>0</x:v>
      </x:c>
      <x:c r="N1303" s="22" t="n">
        <x:f>IF(COUNT(I1303:M1303)=5,MIN(I1303+M1303,ROUND(MAX(K1303,I1303*L1303+M1303),2)),"n.a.")</x:f>
        <x:v>0</x:v>
      </x:c>
      <x:c r="O1303" s="30" t="n">
        <x:f>IF(COUNT($I$1302:$I$1306)&lt;&gt;5,"n.a.",IF(I1303=0,6,IF('Inputs'!$D$5=1,COUNTIFS($I$1302:$I$1306,"&gt;0",$I$1302:$I$1306,"&lt;"&amp;I1303)+COUNTIFS($I$1302:I1303,I1303),COUNTIFS($I$1302:$I$1306,"&gt;0",$J$1302:$J$1306,"&gt;"&amp;J1303)+COUNTIFS($I$1302:I1303,"&gt;0",$J$1302:J1303,J1303))))</x:f>
        <x:v>6</x:v>
      </x:c>
      <x:c r="P1303" s="22" t="n">
        <x:f>IF(T1303="Ready",MIN(U1303,MAX(0,G1303-SUMIFS($U$1302:$U$1306,$O$1302:$O$1306,"&lt;"&amp;O1303))),"n.a.")</x:f>
        <x:v>0</x:v>
      </x:c>
      <x:c r="Q1303" s="22" t="n">
        <x:f>IF(T1303="Ready",ROUND(N1303+P1303,2),"n.a.")</x:f>
        <x:v>0</x:v>
      </x:c>
      <x:c r="R1303" s="22" t="n">
        <x:f>IF(T1303="Ready",ROUND(Q1303-M1303,2),"n.a.")</x:f>
        <x:v>0</x:v>
      </x:c>
      <x:c r="S1303" s="22" t="n">
        <x:f>IF(T1303="Ready",MAX(0,ROUND(I1303+M1303-Q1303,2)),"n.a.")</x:f>
        <x:v>0</x:v>
      </x:c>
      <x:c r="T1303" s="22" t="str">
        <x:f>IF(AND(COUNT($I$1302:$I$1306)=5,COUNT(E1303:F1303)=2),IF(E1303&gt;=F1303,"Ready","Budget below minima"),"Check inputs")</x:f>
        <x:v>Ready</x:v>
      </x:c>
      <x:c r="U1303" s="22" t="n">
        <x:f>IF(COUNT(I1303,M1303,N1303)=3,MAX(0,ROUND(I1303+M1303-N1303,2)),"n.a.")</x:f>
        <x:v>0</x:v>
      </x:c>
    </x:row>
    <x:row r="1304" ht="22" customHeight="1">
      <x:c r="A1304" s="2"/>
      <x:c r="B1304" s="2"/>
      <x:c r="C1304" s="27" t="n">
        <x:f>260</x:f>
        <x:v>260</x:v>
      </x:c>
      <x:c r="D1304" s="28" t="n">
        <x:f>IF(ISNUMBER('Inputs'!$D$7),EDATE('Inputs'!$D$7,259),"n.a.")</x:f>
        <x:v>54210</x:v>
      </x:c>
      <x:c r="E1304" s="26" t="n">
        <x:f>IF('Inputs'!$D$9&lt;&gt;"Ready","n.a.",IF(ISNUMBER('Inputs'!E278),IF('Inputs'!E278&gt;=0,'Inputs'!E278,"n.a."),IF('Inputs'!E278="",'Inputs'!$D$6,"n.a.")))</x:f>
        <x:v>500</x:v>
      </x:c>
      <x:c r="F1304" s="22" t="n">
        <x:f>IF(COUNT($N$1302:$N$1306)=5,SUM($N$1302:$N$1306),"n.a.")</x:f>
        <x:v>0</x:v>
      </x:c>
      <x:c r="G1304" s="22" t="n">
        <x:f>IF(COUNT(E1304:F1304)=2,MAX(0,E1304-F1304),"n.a.")</x:f>
        <x:v>500</x:v>
      </x:c>
      <x:c r="H1304" s="26" t="str">
        <x:f>'Inputs'!C13</x:f>
        <x:v>Loan C</x:v>
      </x:c>
      <x:c r="I1304" s="26" t="n">
        <x:f>S1299</x:f>
        <x:v>0</x:v>
      </x:c>
      <x:c r="J1304" s="29" t="n">
        <x:f>IF('Inputs'!$D$9="Ready",'Inputs'!E13,"n.a.")</x:f>
        <x:v>0.08</x:v>
      </x:c>
      <x:c r="K1304" s="26" t="n">
        <x:f>IF('Inputs'!$D$9="Ready",'Inputs'!F13,"n.a.")</x:f>
        <x:v>150</x:v>
      </x:c>
      <x:c r="L1304" s="29" t="n">
        <x:f>IF('Inputs'!$D$9="Ready",'Inputs'!G13,"n.a.")</x:f>
        <x:v>0</x:v>
      </x:c>
      <x:c r="M1304" s="22" t="n">
        <x:f>IF(COUNT(I1304:L1304)=4,ROUND(I1304*J1304/12,2),"n.a.")</x:f>
        <x:v>0</x:v>
      </x:c>
      <x:c r="N1304" s="22" t="n">
        <x:f>IF(COUNT(I1304:M1304)=5,MIN(I1304+M1304,ROUND(MAX(K1304,I1304*L1304+M1304),2)),"n.a.")</x:f>
        <x:v>0</x:v>
      </x:c>
      <x:c r="O1304" s="30" t="n">
        <x:f>IF(COUNT($I$1302:$I$1306)&lt;&gt;5,"n.a.",IF(I1304=0,6,IF('Inputs'!$D$5=1,COUNTIFS($I$1302:$I$1306,"&gt;0",$I$1302:$I$1306,"&lt;"&amp;I1304)+COUNTIFS($I$1302:I1304,I1304),COUNTIFS($I$1302:$I$1306,"&gt;0",$J$1302:$J$1306,"&gt;"&amp;J1304)+COUNTIFS($I$1302:I1304,"&gt;0",$J$1302:J1304,J1304))))</x:f>
        <x:v>6</x:v>
      </x:c>
      <x:c r="P1304" s="22" t="n">
        <x:f>IF(T1304="Ready",MIN(U1304,MAX(0,G1304-SUMIFS($U$1302:$U$1306,$O$1302:$O$1306,"&lt;"&amp;O1304))),"n.a.")</x:f>
        <x:v>0</x:v>
      </x:c>
      <x:c r="Q1304" s="22" t="n">
        <x:f>IF(T1304="Ready",ROUND(N1304+P1304,2),"n.a.")</x:f>
        <x:v>0</x:v>
      </x:c>
      <x:c r="R1304" s="22" t="n">
        <x:f>IF(T1304="Ready",ROUND(Q1304-M1304,2),"n.a.")</x:f>
        <x:v>0</x:v>
      </x:c>
      <x:c r="S1304" s="22" t="n">
        <x:f>IF(T1304="Ready",MAX(0,ROUND(I1304+M1304-Q1304,2)),"n.a.")</x:f>
        <x:v>0</x:v>
      </x:c>
      <x:c r="T1304" s="22" t="str">
        <x:f>IF(AND(COUNT($I$1302:$I$1306)=5,COUNT(E1304:F1304)=2),IF(E1304&gt;=F1304,"Ready","Budget below minima"),"Check inputs")</x:f>
        <x:v>Ready</x:v>
      </x:c>
      <x:c r="U1304" s="22" t="n">
        <x:f>IF(COUNT(I1304,M1304,N1304)=3,MAX(0,ROUND(I1304+M1304-N1304,2)),"n.a.")</x:f>
        <x:v>0</x:v>
      </x:c>
    </x:row>
    <x:row r="1305" ht="22" customHeight="1">
      <x:c r="A1305" s="2"/>
      <x:c r="B1305" s="2"/>
      <x:c r="C1305" s="27" t="n">
        <x:f>260</x:f>
        <x:v>260</x:v>
      </x:c>
      <x:c r="D1305" s="28" t="n">
        <x:f>IF(ISNUMBER('Inputs'!$D$7),EDATE('Inputs'!$D$7,259),"n.a.")</x:f>
        <x:v>54210</x:v>
      </x:c>
      <x:c r="E1305" s="26" t="n">
        <x:f>IF('Inputs'!$D$9&lt;&gt;"Ready","n.a.",IF(ISNUMBER('Inputs'!E278),IF('Inputs'!E278&gt;=0,'Inputs'!E278,"n.a."),IF('Inputs'!E278="",'Inputs'!$D$6,"n.a.")))</x:f>
        <x:v>500</x:v>
      </x:c>
      <x:c r="F1305" s="22" t="n">
        <x:f>IF(COUNT($N$1302:$N$1306)=5,SUM($N$1302:$N$1306),"n.a.")</x:f>
        <x:v>0</x:v>
      </x:c>
      <x:c r="G1305" s="22" t="n">
        <x:f>IF(COUNT(E1305:F1305)=2,MAX(0,E1305-F1305),"n.a.")</x:f>
        <x:v>500</x:v>
      </x:c>
      <x:c r="H1305" s="26" t="str">
        <x:f>'Inputs'!C14</x:f>
        <x:v>Unused 4</x:v>
      </x:c>
      <x:c r="I1305" s="26" t="n">
        <x:f>S1300</x:f>
        <x:v>0</x:v>
      </x:c>
      <x:c r="J1305" s="29" t="n">
        <x:f>IF('Inputs'!$D$9="Ready",'Inputs'!E14,"n.a.")</x:f>
        <x:v>0</x:v>
      </x:c>
      <x:c r="K1305" s="26" t="n">
        <x:f>IF('Inputs'!$D$9="Ready",'Inputs'!F14,"n.a.")</x:f>
        <x:v>0</x:v>
      </x:c>
      <x:c r="L1305" s="29" t="n">
        <x:f>IF('Inputs'!$D$9="Ready",'Inputs'!G14,"n.a.")</x:f>
        <x:v>0</x:v>
      </x:c>
      <x:c r="M1305" s="22" t="n">
        <x:f>IF(COUNT(I1305:L1305)=4,ROUND(I1305*J1305/12,2),"n.a.")</x:f>
        <x:v>0</x:v>
      </x:c>
      <x:c r="N1305" s="22" t="n">
        <x:f>IF(COUNT(I1305:M1305)=5,MIN(I1305+M1305,ROUND(MAX(K1305,I1305*L1305+M1305),2)),"n.a.")</x:f>
        <x:v>0</x:v>
      </x:c>
      <x:c r="O1305" s="30" t="n">
        <x:f>IF(COUNT($I$1302:$I$1306)&lt;&gt;5,"n.a.",IF(I1305=0,6,IF('Inputs'!$D$5=1,COUNTIFS($I$1302:$I$1306,"&gt;0",$I$1302:$I$1306,"&lt;"&amp;I1305)+COUNTIFS($I$1302:I1305,I1305),COUNTIFS($I$1302:$I$1306,"&gt;0",$J$1302:$J$1306,"&gt;"&amp;J1305)+COUNTIFS($I$1302:I1305,"&gt;0",$J$1302:J1305,J1305))))</x:f>
        <x:v>6</x:v>
      </x:c>
      <x:c r="P1305" s="22" t="n">
        <x:f>IF(T1305="Ready",MIN(U1305,MAX(0,G1305-SUMIFS($U$1302:$U$1306,$O$1302:$O$1306,"&lt;"&amp;O1305))),"n.a.")</x:f>
        <x:v>0</x:v>
      </x:c>
      <x:c r="Q1305" s="22" t="n">
        <x:f>IF(T1305="Ready",ROUND(N1305+P1305,2),"n.a.")</x:f>
        <x:v>0</x:v>
      </x:c>
      <x:c r="R1305" s="22" t="n">
        <x:f>IF(T1305="Ready",ROUND(Q1305-M1305,2),"n.a.")</x:f>
        <x:v>0</x:v>
      </x:c>
      <x:c r="S1305" s="22" t="n">
        <x:f>IF(T1305="Ready",MAX(0,ROUND(I1305+M1305-Q1305,2)),"n.a.")</x:f>
        <x:v>0</x:v>
      </x:c>
      <x:c r="T1305" s="22" t="str">
        <x:f>IF(AND(COUNT($I$1302:$I$1306)=5,COUNT(E1305:F1305)=2),IF(E1305&gt;=F1305,"Ready","Budget below minima"),"Check inputs")</x:f>
        <x:v>Ready</x:v>
      </x:c>
      <x:c r="U1305" s="22" t="n">
        <x:f>IF(COUNT(I1305,M1305,N1305)=3,MAX(0,ROUND(I1305+M1305-N1305,2)),"n.a.")</x:f>
        <x:v>0</x:v>
      </x:c>
    </x:row>
    <x:row r="1306" ht="22" customHeight="1">
      <x:c r="A1306" s="2"/>
      <x:c r="B1306" s="2"/>
      <x:c r="C1306" s="27" t="n">
        <x:f>260</x:f>
        <x:v>260</x:v>
      </x:c>
      <x:c r="D1306" s="28" t="n">
        <x:f>IF(ISNUMBER('Inputs'!$D$7),EDATE('Inputs'!$D$7,259),"n.a.")</x:f>
        <x:v>54210</x:v>
      </x:c>
      <x:c r="E1306" s="26" t="n">
        <x:f>IF('Inputs'!$D$9&lt;&gt;"Ready","n.a.",IF(ISNUMBER('Inputs'!E278),IF('Inputs'!E278&gt;=0,'Inputs'!E278,"n.a."),IF('Inputs'!E278="",'Inputs'!$D$6,"n.a.")))</x:f>
        <x:v>500</x:v>
      </x:c>
      <x:c r="F1306" s="22" t="n">
        <x:f>IF(COUNT($N$1302:$N$1306)=5,SUM($N$1302:$N$1306),"n.a.")</x:f>
        <x:v>0</x:v>
      </x:c>
      <x:c r="G1306" s="22" t="n">
        <x:f>IF(COUNT(E1306:F1306)=2,MAX(0,E1306-F1306),"n.a.")</x:f>
        <x:v>500</x:v>
      </x:c>
      <x:c r="H1306" s="26" t="str">
        <x:f>'Inputs'!C15</x:f>
        <x:v>Unused 5</x:v>
      </x:c>
      <x:c r="I1306" s="26" t="n">
        <x:f>S1301</x:f>
        <x:v>0</x:v>
      </x:c>
      <x:c r="J1306" s="29" t="n">
        <x:f>IF('Inputs'!$D$9="Ready",'Inputs'!E15,"n.a.")</x:f>
        <x:v>0</x:v>
      </x:c>
      <x:c r="K1306" s="26" t="n">
        <x:f>IF('Inputs'!$D$9="Ready",'Inputs'!F15,"n.a.")</x:f>
        <x:v>0</x:v>
      </x:c>
      <x:c r="L1306" s="29" t="n">
        <x:f>IF('Inputs'!$D$9="Ready",'Inputs'!G15,"n.a.")</x:f>
        <x:v>0</x:v>
      </x:c>
      <x:c r="M1306" s="22" t="n">
        <x:f>IF(COUNT(I1306:L1306)=4,ROUND(I1306*J1306/12,2),"n.a.")</x:f>
        <x:v>0</x:v>
      </x:c>
      <x:c r="N1306" s="22" t="n">
        <x:f>IF(COUNT(I1306:M1306)=5,MIN(I1306+M1306,ROUND(MAX(K1306,I1306*L1306+M1306),2)),"n.a.")</x:f>
        <x:v>0</x:v>
      </x:c>
      <x:c r="O1306" s="30" t="n">
        <x:f>IF(COUNT($I$1302:$I$1306)&lt;&gt;5,"n.a.",IF(I1306=0,6,IF('Inputs'!$D$5=1,COUNTIFS($I$1302:$I$1306,"&gt;0",$I$1302:$I$1306,"&lt;"&amp;I1306)+COUNTIFS($I$1302:I1306,I1306),COUNTIFS($I$1302:$I$1306,"&gt;0",$J$1302:$J$1306,"&gt;"&amp;J1306)+COUNTIFS($I$1302:I1306,"&gt;0",$J$1302:J1306,J1306))))</x:f>
        <x:v>6</x:v>
      </x:c>
      <x:c r="P1306" s="22" t="n">
        <x:f>IF(T1306="Ready",MIN(U1306,MAX(0,G1306-SUMIFS($U$1302:$U$1306,$O$1302:$O$1306,"&lt;"&amp;O1306))),"n.a.")</x:f>
        <x:v>0</x:v>
      </x:c>
      <x:c r="Q1306" s="22" t="n">
        <x:f>IF(T1306="Ready",ROUND(N1306+P1306,2),"n.a.")</x:f>
        <x:v>0</x:v>
      </x:c>
      <x:c r="R1306" s="22" t="n">
        <x:f>IF(T1306="Ready",ROUND(Q1306-M1306,2),"n.a.")</x:f>
        <x:v>0</x:v>
      </x:c>
      <x:c r="S1306" s="22" t="n">
        <x:f>IF(T1306="Ready",MAX(0,ROUND(I1306+M1306-Q1306,2)),"n.a.")</x:f>
        <x:v>0</x:v>
      </x:c>
      <x:c r="T1306" s="22" t="str">
        <x:f>IF(AND(COUNT($I$1302:$I$1306)=5,COUNT(E1306:F1306)=2),IF(E1306&gt;=F1306,"Ready","Budget below minima"),"Check inputs")</x:f>
        <x:v>Ready</x:v>
      </x:c>
      <x:c r="U1306" s="22" t="n">
        <x:f>IF(COUNT(I1306,M1306,N1306)=3,MAX(0,ROUND(I1306+M1306-N1306,2)),"n.a.")</x:f>
        <x:v>0</x:v>
      </x:c>
    </x:row>
    <x:row r="1307" ht="22" customHeight="1">
      <x:c r="A1307" s="2"/>
      <x:c r="B1307" s="2"/>
      <x:c r="C1307" s="27" t="n">
        <x:f>261</x:f>
        <x:v>261</x:v>
      </x:c>
      <x:c r="D1307" s="28" t="n">
        <x:f>IF(ISNUMBER('Inputs'!$D$7),EDATE('Inputs'!$D$7,260),"n.a.")</x:f>
        <x:v>54240</x:v>
      </x:c>
      <x:c r="E1307" s="26" t="n">
        <x:f>IF('Inputs'!$D$9&lt;&gt;"Ready","n.a.",IF(ISNUMBER('Inputs'!E279),IF('Inputs'!E279&gt;=0,'Inputs'!E279,"n.a."),IF('Inputs'!E279="",'Inputs'!$D$6,"n.a.")))</x:f>
        <x:v>500</x:v>
      </x:c>
      <x:c r="F1307" s="22" t="n">
        <x:f>IF(COUNT($N$1307:$N$1311)=5,SUM($N$1307:$N$1311),"n.a.")</x:f>
        <x:v>0</x:v>
      </x:c>
      <x:c r="G1307" s="22" t="n">
        <x:f>IF(COUNT(E1307:F1307)=2,MAX(0,E1307-F1307),"n.a.")</x:f>
        <x:v>500</x:v>
      </x:c>
      <x:c r="H1307" s="26" t="str">
        <x:f>'Inputs'!C11</x:f>
        <x:v>Card A</x:v>
      </x:c>
      <x:c r="I1307" s="26" t="n">
        <x:f>S1302</x:f>
        <x:v>0</x:v>
      </x:c>
      <x:c r="J1307" s="29" t="n">
        <x:f>IF('Inputs'!$D$9="Ready",'Inputs'!E11,"n.a.")</x:f>
        <x:v>0.24</x:v>
      </x:c>
      <x:c r="K1307" s="26" t="n">
        <x:f>IF('Inputs'!$D$9="Ready",'Inputs'!F11,"n.a.")</x:f>
        <x:v>35</x:v>
      </x:c>
      <x:c r="L1307" s="29" t="n">
        <x:f>IF('Inputs'!$D$9="Ready",'Inputs'!G11,"n.a.")</x:f>
        <x:v>0.02</x:v>
      </x:c>
      <x:c r="M1307" s="22" t="n">
        <x:f>IF(COUNT(I1307:L1307)=4,ROUND(I1307*J1307/12,2),"n.a.")</x:f>
        <x:v>0</x:v>
      </x:c>
      <x:c r="N1307" s="22" t="n">
        <x:f>IF(COUNT(I1307:M1307)=5,MIN(I1307+M1307,ROUND(MAX(K1307,I1307*L1307+M1307),2)),"n.a.")</x:f>
        <x:v>0</x:v>
      </x:c>
      <x:c r="O1307" s="30" t="n">
        <x:f>IF(COUNT($I$1307:$I$1311)&lt;&gt;5,"n.a.",IF(I1307=0,6,IF('Inputs'!$D$5=1,COUNTIFS($I$1307:$I$1311,"&gt;0",$I$1307:$I$1311,"&lt;"&amp;I1307)+COUNTIFS($I$1307:I1307,I1307),COUNTIFS($I$1307:$I$1311,"&gt;0",$J$1307:$J$1311,"&gt;"&amp;J1307)+COUNTIFS($I$1307:I1307,"&gt;0",$J$1307:J1307,J1307))))</x:f>
        <x:v>6</x:v>
      </x:c>
      <x:c r="P1307" s="22" t="n">
        <x:f>IF(T1307="Ready",MIN(U1307,MAX(0,G1307-SUMIFS($U$1307:$U$1311,$O$1307:$O$1311,"&lt;"&amp;O1307))),"n.a.")</x:f>
        <x:v>0</x:v>
      </x:c>
      <x:c r="Q1307" s="22" t="n">
        <x:f>IF(T1307="Ready",ROUND(N1307+P1307,2),"n.a.")</x:f>
        <x:v>0</x:v>
      </x:c>
      <x:c r="R1307" s="22" t="n">
        <x:f>IF(T1307="Ready",ROUND(Q1307-M1307,2),"n.a.")</x:f>
        <x:v>0</x:v>
      </x:c>
      <x:c r="S1307" s="22" t="n">
        <x:f>IF(T1307="Ready",MAX(0,ROUND(I1307+M1307-Q1307,2)),"n.a.")</x:f>
        <x:v>0</x:v>
      </x:c>
      <x:c r="T1307" s="22" t="str">
        <x:f>IF(AND(COUNT($I$1307:$I$1311)=5,COUNT(E1307:F1307)=2),IF(E1307&gt;=F1307,"Ready","Budget below minima"),"Check inputs")</x:f>
        <x:v>Ready</x:v>
      </x:c>
      <x:c r="U1307" s="22" t="n">
        <x:f>IF(COUNT(I1307,M1307,N1307)=3,MAX(0,ROUND(I1307+M1307-N1307,2)),"n.a.")</x:f>
        <x:v>0</x:v>
      </x:c>
    </x:row>
    <x:row r="1308" ht="22" customHeight="1">
      <x:c r="A1308" s="2"/>
      <x:c r="B1308" s="2"/>
      <x:c r="C1308" s="27" t="n">
        <x:f>261</x:f>
        <x:v>261</x:v>
      </x:c>
      <x:c r="D1308" s="28" t="n">
        <x:f>IF(ISNUMBER('Inputs'!$D$7),EDATE('Inputs'!$D$7,260),"n.a.")</x:f>
        <x:v>54240</x:v>
      </x:c>
      <x:c r="E1308" s="26" t="n">
        <x:f>IF('Inputs'!$D$9&lt;&gt;"Ready","n.a.",IF(ISNUMBER('Inputs'!E279),IF('Inputs'!E279&gt;=0,'Inputs'!E279,"n.a."),IF('Inputs'!E279="",'Inputs'!$D$6,"n.a.")))</x:f>
        <x:v>500</x:v>
      </x:c>
      <x:c r="F1308" s="22" t="n">
        <x:f>IF(COUNT($N$1307:$N$1311)=5,SUM($N$1307:$N$1311),"n.a.")</x:f>
        <x:v>0</x:v>
      </x:c>
      <x:c r="G1308" s="22" t="n">
        <x:f>IF(COUNT(E1308:F1308)=2,MAX(0,E1308-F1308),"n.a.")</x:f>
        <x:v>500</x:v>
      </x:c>
      <x:c r="H1308" s="26" t="str">
        <x:f>'Inputs'!C12</x:f>
        <x:v>Card B</x:v>
      </x:c>
      <x:c r="I1308" s="26" t="n">
        <x:f>S1303</x:f>
        <x:v>0</x:v>
      </x:c>
      <x:c r="J1308" s="29" t="n">
        <x:f>IF('Inputs'!$D$9="Ready",'Inputs'!E12,"n.a.")</x:f>
        <x:v>0.18</x:v>
      </x:c>
      <x:c r="K1308" s="26" t="n">
        <x:f>IF('Inputs'!$D$9="Ready",'Inputs'!F12,"n.a.")</x:f>
        <x:v>60</x:v>
      </x:c>
      <x:c r="L1308" s="29" t="n">
        <x:f>IF('Inputs'!$D$9="Ready",'Inputs'!G12,"n.a.")</x:f>
        <x:v>0.02</x:v>
      </x:c>
      <x:c r="M1308" s="22" t="n">
        <x:f>IF(COUNT(I1308:L1308)=4,ROUND(I1308*J1308/12,2),"n.a.")</x:f>
        <x:v>0</x:v>
      </x:c>
      <x:c r="N1308" s="22" t="n">
        <x:f>IF(COUNT(I1308:M1308)=5,MIN(I1308+M1308,ROUND(MAX(K1308,I1308*L1308+M1308),2)),"n.a.")</x:f>
        <x:v>0</x:v>
      </x:c>
      <x:c r="O1308" s="30" t="n">
        <x:f>IF(COUNT($I$1307:$I$1311)&lt;&gt;5,"n.a.",IF(I1308=0,6,IF('Inputs'!$D$5=1,COUNTIFS($I$1307:$I$1311,"&gt;0",$I$1307:$I$1311,"&lt;"&amp;I1308)+COUNTIFS($I$1307:I1308,I1308),COUNTIFS($I$1307:$I$1311,"&gt;0",$J$1307:$J$1311,"&gt;"&amp;J1308)+COUNTIFS($I$1307:I1308,"&gt;0",$J$1307:J1308,J1308))))</x:f>
        <x:v>6</x:v>
      </x:c>
      <x:c r="P1308" s="22" t="n">
        <x:f>IF(T1308="Ready",MIN(U1308,MAX(0,G1308-SUMIFS($U$1307:$U$1311,$O$1307:$O$1311,"&lt;"&amp;O1308))),"n.a.")</x:f>
        <x:v>0</x:v>
      </x:c>
      <x:c r="Q1308" s="22" t="n">
        <x:f>IF(T1308="Ready",ROUND(N1308+P1308,2),"n.a.")</x:f>
        <x:v>0</x:v>
      </x:c>
      <x:c r="R1308" s="22" t="n">
        <x:f>IF(T1308="Ready",ROUND(Q1308-M1308,2),"n.a.")</x:f>
        <x:v>0</x:v>
      </x:c>
      <x:c r="S1308" s="22" t="n">
        <x:f>IF(T1308="Ready",MAX(0,ROUND(I1308+M1308-Q1308,2)),"n.a.")</x:f>
        <x:v>0</x:v>
      </x:c>
      <x:c r="T1308" s="22" t="str">
        <x:f>IF(AND(COUNT($I$1307:$I$1311)=5,COUNT(E1308:F1308)=2),IF(E1308&gt;=F1308,"Ready","Budget below minima"),"Check inputs")</x:f>
        <x:v>Ready</x:v>
      </x:c>
      <x:c r="U1308" s="22" t="n">
        <x:f>IF(COUNT(I1308,M1308,N1308)=3,MAX(0,ROUND(I1308+M1308-N1308,2)),"n.a.")</x:f>
        <x:v>0</x:v>
      </x:c>
    </x:row>
    <x:row r="1309" ht="22" customHeight="1">
      <x:c r="A1309" s="2"/>
      <x:c r="B1309" s="2"/>
      <x:c r="C1309" s="27" t="n">
        <x:f>261</x:f>
        <x:v>261</x:v>
      </x:c>
      <x:c r="D1309" s="28" t="n">
        <x:f>IF(ISNUMBER('Inputs'!$D$7),EDATE('Inputs'!$D$7,260),"n.a.")</x:f>
        <x:v>54240</x:v>
      </x:c>
      <x:c r="E1309" s="26" t="n">
        <x:f>IF('Inputs'!$D$9&lt;&gt;"Ready","n.a.",IF(ISNUMBER('Inputs'!E279),IF('Inputs'!E279&gt;=0,'Inputs'!E279,"n.a."),IF('Inputs'!E279="",'Inputs'!$D$6,"n.a.")))</x:f>
        <x:v>500</x:v>
      </x:c>
      <x:c r="F1309" s="22" t="n">
        <x:f>IF(COUNT($N$1307:$N$1311)=5,SUM($N$1307:$N$1311),"n.a.")</x:f>
        <x:v>0</x:v>
      </x:c>
      <x:c r="G1309" s="22" t="n">
        <x:f>IF(COUNT(E1309:F1309)=2,MAX(0,E1309-F1309),"n.a.")</x:f>
        <x:v>500</x:v>
      </x:c>
      <x:c r="H1309" s="26" t="str">
        <x:f>'Inputs'!C13</x:f>
        <x:v>Loan C</x:v>
      </x:c>
      <x:c r="I1309" s="26" t="n">
        <x:f>S1304</x:f>
        <x:v>0</x:v>
      </x:c>
      <x:c r="J1309" s="29" t="n">
        <x:f>IF('Inputs'!$D$9="Ready",'Inputs'!E13,"n.a.")</x:f>
        <x:v>0.08</x:v>
      </x:c>
      <x:c r="K1309" s="26" t="n">
        <x:f>IF('Inputs'!$D$9="Ready",'Inputs'!F13,"n.a.")</x:f>
        <x:v>150</x:v>
      </x:c>
      <x:c r="L1309" s="29" t="n">
        <x:f>IF('Inputs'!$D$9="Ready",'Inputs'!G13,"n.a.")</x:f>
        <x:v>0</x:v>
      </x:c>
      <x:c r="M1309" s="22" t="n">
        <x:f>IF(COUNT(I1309:L1309)=4,ROUND(I1309*J1309/12,2),"n.a.")</x:f>
        <x:v>0</x:v>
      </x:c>
      <x:c r="N1309" s="22" t="n">
        <x:f>IF(COUNT(I1309:M1309)=5,MIN(I1309+M1309,ROUND(MAX(K1309,I1309*L1309+M1309),2)),"n.a.")</x:f>
        <x:v>0</x:v>
      </x:c>
      <x:c r="O1309" s="30" t="n">
        <x:f>IF(COUNT($I$1307:$I$1311)&lt;&gt;5,"n.a.",IF(I1309=0,6,IF('Inputs'!$D$5=1,COUNTIFS($I$1307:$I$1311,"&gt;0",$I$1307:$I$1311,"&lt;"&amp;I1309)+COUNTIFS($I$1307:I1309,I1309),COUNTIFS($I$1307:$I$1311,"&gt;0",$J$1307:$J$1311,"&gt;"&amp;J1309)+COUNTIFS($I$1307:I1309,"&gt;0",$J$1307:J1309,J1309))))</x:f>
        <x:v>6</x:v>
      </x:c>
      <x:c r="P1309" s="22" t="n">
        <x:f>IF(T1309="Ready",MIN(U1309,MAX(0,G1309-SUMIFS($U$1307:$U$1311,$O$1307:$O$1311,"&lt;"&amp;O1309))),"n.a.")</x:f>
        <x:v>0</x:v>
      </x:c>
      <x:c r="Q1309" s="22" t="n">
        <x:f>IF(T1309="Ready",ROUND(N1309+P1309,2),"n.a.")</x:f>
        <x:v>0</x:v>
      </x:c>
      <x:c r="R1309" s="22" t="n">
        <x:f>IF(T1309="Ready",ROUND(Q1309-M1309,2),"n.a.")</x:f>
        <x:v>0</x:v>
      </x:c>
      <x:c r="S1309" s="22" t="n">
        <x:f>IF(T1309="Ready",MAX(0,ROUND(I1309+M1309-Q1309,2)),"n.a.")</x:f>
        <x:v>0</x:v>
      </x:c>
      <x:c r="T1309" s="22" t="str">
        <x:f>IF(AND(COUNT($I$1307:$I$1311)=5,COUNT(E1309:F1309)=2),IF(E1309&gt;=F1309,"Ready","Budget below minima"),"Check inputs")</x:f>
        <x:v>Ready</x:v>
      </x:c>
      <x:c r="U1309" s="22" t="n">
        <x:f>IF(COUNT(I1309,M1309,N1309)=3,MAX(0,ROUND(I1309+M1309-N1309,2)),"n.a.")</x:f>
        <x:v>0</x:v>
      </x:c>
    </x:row>
    <x:row r="1310" ht="22" customHeight="1">
      <x:c r="A1310" s="2"/>
      <x:c r="B1310" s="2"/>
      <x:c r="C1310" s="27" t="n">
        <x:f>261</x:f>
        <x:v>261</x:v>
      </x:c>
      <x:c r="D1310" s="28" t="n">
        <x:f>IF(ISNUMBER('Inputs'!$D$7),EDATE('Inputs'!$D$7,260),"n.a.")</x:f>
        <x:v>54240</x:v>
      </x:c>
      <x:c r="E1310" s="26" t="n">
        <x:f>IF('Inputs'!$D$9&lt;&gt;"Ready","n.a.",IF(ISNUMBER('Inputs'!E279),IF('Inputs'!E279&gt;=0,'Inputs'!E279,"n.a."),IF('Inputs'!E279="",'Inputs'!$D$6,"n.a.")))</x:f>
        <x:v>500</x:v>
      </x:c>
      <x:c r="F1310" s="22" t="n">
        <x:f>IF(COUNT($N$1307:$N$1311)=5,SUM($N$1307:$N$1311),"n.a.")</x:f>
        <x:v>0</x:v>
      </x:c>
      <x:c r="G1310" s="22" t="n">
        <x:f>IF(COUNT(E1310:F1310)=2,MAX(0,E1310-F1310),"n.a.")</x:f>
        <x:v>500</x:v>
      </x:c>
      <x:c r="H1310" s="26" t="str">
        <x:f>'Inputs'!C14</x:f>
        <x:v>Unused 4</x:v>
      </x:c>
      <x:c r="I1310" s="26" t="n">
        <x:f>S1305</x:f>
        <x:v>0</x:v>
      </x:c>
      <x:c r="J1310" s="29" t="n">
        <x:f>IF('Inputs'!$D$9="Ready",'Inputs'!E14,"n.a.")</x:f>
        <x:v>0</x:v>
      </x:c>
      <x:c r="K1310" s="26" t="n">
        <x:f>IF('Inputs'!$D$9="Ready",'Inputs'!F14,"n.a.")</x:f>
        <x:v>0</x:v>
      </x:c>
      <x:c r="L1310" s="29" t="n">
        <x:f>IF('Inputs'!$D$9="Ready",'Inputs'!G14,"n.a.")</x:f>
        <x:v>0</x:v>
      </x:c>
      <x:c r="M1310" s="22" t="n">
        <x:f>IF(COUNT(I1310:L1310)=4,ROUND(I1310*J1310/12,2),"n.a.")</x:f>
        <x:v>0</x:v>
      </x:c>
      <x:c r="N1310" s="22" t="n">
        <x:f>IF(COUNT(I1310:M1310)=5,MIN(I1310+M1310,ROUND(MAX(K1310,I1310*L1310+M1310),2)),"n.a.")</x:f>
        <x:v>0</x:v>
      </x:c>
      <x:c r="O1310" s="30" t="n">
        <x:f>IF(COUNT($I$1307:$I$1311)&lt;&gt;5,"n.a.",IF(I1310=0,6,IF('Inputs'!$D$5=1,COUNTIFS($I$1307:$I$1311,"&gt;0",$I$1307:$I$1311,"&lt;"&amp;I1310)+COUNTIFS($I$1307:I1310,I1310),COUNTIFS($I$1307:$I$1311,"&gt;0",$J$1307:$J$1311,"&gt;"&amp;J1310)+COUNTIFS($I$1307:I1310,"&gt;0",$J$1307:J1310,J1310))))</x:f>
        <x:v>6</x:v>
      </x:c>
      <x:c r="P1310" s="22" t="n">
        <x:f>IF(T1310="Ready",MIN(U1310,MAX(0,G1310-SUMIFS($U$1307:$U$1311,$O$1307:$O$1311,"&lt;"&amp;O1310))),"n.a.")</x:f>
        <x:v>0</x:v>
      </x:c>
      <x:c r="Q1310" s="22" t="n">
        <x:f>IF(T1310="Ready",ROUND(N1310+P1310,2),"n.a.")</x:f>
        <x:v>0</x:v>
      </x:c>
      <x:c r="R1310" s="22" t="n">
        <x:f>IF(T1310="Ready",ROUND(Q1310-M1310,2),"n.a.")</x:f>
        <x:v>0</x:v>
      </x:c>
      <x:c r="S1310" s="22" t="n">
        <x:f>IF(T1310="Ready",MAX(0,ROUND(I1310+M1310-Q1310,2)),"n.a.")</x:f>
        <x:v>0</x:v>
      </x:c>
      <x:c r="T1310" s="22" t="str">
        <x:f>IF(AND(COUNT($I$1307:$I$1311)=5,COUNT(E1310:F1310)=2),IF(E1310&gt;=F1310,"Ready","Budget below minima"),"Check inputs")</x:f>
        <x:v>Ready</x:v>
      </x:c>
      <x:c r="U1310" s="22" t="n">
        <x:f>IF(COUNT(I1310,M1310,N1310)=3,MAX(0,ROUND(I1310+M1310-N1310,2)),"n.a.")</x:f>
        <x:v>0</x:v>
      </x:c>
    </x:row>
    <x:row r="1311" ht="22" customHeight="1">
      <x:c r="A1311" s="2"/>
      <x:c r="B1311" s="2"/>
      <x:c r="C1311" s="27" t="n">
        <x:f>261</x:f>
        <x:v>261</x:v>
      </x:c>
      <x:c r="D1311" s="28" t="n">
        <x:f>IF(ISNUMBER('Inputs'!$D$7),EDATE('Inputs'!$D$7,260),"n.a.")</x:f>
        <x:v>54240</x:v>
      </x:c>
      <x:c r="E1311" s="26" t="n">
        <x:f>IF('Inputs'!$D$9&lt;&gt;"Ready","n.a.",IF(ISNUMBER('Inputs'!E279),IF('Inputs'!E279&gt;=0,'Inputs'!E279,"n.a."),IF('Inputs'!E279="",'Inputs'!$D$6,"n.a.")))</x:f>
        <x:v>500</x:v>
      </x:c>
      <x:c r="F1311" s="22" t="n">
        <x:f>IF(COUNT($N$1307:$N$1311)=5,SUM($N$1307:$N$1311),"n.a.")</x:f>
        <x:v>0</x:v>
      </x:c>
      <x:c r="G1311" s="22" t="n">
        <x:f>IF(COUNT(E1311:F1311)=2,MAX(0,E1311-F1311),"n.a.")</x:f>
        <x:v>500</x:v>
      </x:c>
      <x:c r="H1311" s="26" t="str">
        <x:f>'Inputs'!C15</x:f>
        <x:v>Unused 5</x:v>
      </x:c>
      <x:c r="I1311" s="26" t="n">
        <x:f>S1306</x:f>
        <x:v>0</x:v>
      </x:c>
      <x:c r="J1311" s="29" t="n">
        <x:f>IF('Inputs'!$D$9="Ready",'Inputs'!E15,"n.a.")</x:f>
        <x:v>0</x:v>
      </x:c>
      <x:c r="K1311" s="26" t="n">
        <x:f>IF('Inputs'!$D$9="Ready",'Inputs'!F15,"n.a.")</x:f>
        <x:v>0</x:v>
      </x:c>
      <x:c r="L1311" s="29" t="n">
        <x:f>IF('Inputs'!$D$9="Ready",'Inputs'!G15,"n.a.")</x:f>
        <x:v>0</x:v>
      </x:c>
      <x:c r="M1311" s="22" t="n">
        <x:f>IF(COUNT(I1311:L1311)=4,ROUND(I1311*J1311/12,2),"n.a.")</x:f>
        <x:v>0</x:v>
      </x:c>
      <x:c r="N1311" s="22" t="n">
        <x:f>IF(COUNT(I1311:M1311)=5,MIN(I1311+M1311,ROUND(MAX(K1311,I1311*L1311+M1311),2)),"n.a.")</x:f>
        <x:v>0</x:v>
      </x:c>
      <x:c r="O1311" s="30" t="n">
        <x:f>IF(COUNT($I$1307:$I$1311)&lt;&gt;5,"n.a.",IF(I1311=0,6,IF('Inputs'!$D$5=1,COUNTIFS($I$1307:$I$1311,"&gt;0",$I$1307:$I$1311,"&lt;"&amp;I1311)+COUNTIFS($I$1307:I1311,I1311),COUNTIFS($I$1307:$I$1311,"&gt;0",$J$1307:$J$1311,"&gt;"&amp;J1311)+COUNTIFS($I$1307:I1311,"&gt;0",$J$1307:J1311,J1311))))</x:f>
        <x:v>6</x:v>
      </x:c>
      <x:c r="P1311" s="22" t="n">
        <x:f>IF(T1311="Ready",MIN(U1311,MAX(0,G1311-SUMIFS($U$1307:$U$1311,$O$1307:$O$1311,"&lt;"&amp;O1311))),"n.a.")</x:f>
        <x:v>0</x:v>
      </x:c>
      <x:c r="Q1311" s="22" t="n">
        <x:f>IF(T1311="Ready",ROUND(N1311+P1311,2),"n.a.")</x:f>
        <x:v>0</x:v>
      </x:c>
      <x:c r="R1311" s="22" t="n">
        <x:f>IF(T1311="Ready",ROUND(Q1311-M1311,2),"n.a.")</x:f>
        <x:v>0</x:v>
      </x:c>
      <x:c r="S1311" s="22" t="n">
        <x:f>IF(T1311="Ready",MAX(0,ROUND(I1311+M1311-Q1311,2)),"n.a.")</x:f>
        <x:v>0</x:v>
      </x:c>
      <x:c r="T1311" s="22" t="str">
        <x:f>IF(AND(COUNT($I$1307:$I$1311)=5,COUNT(E1311:F1311)=2),IF(E1311&gt;=F1311,"Ready","Budget below minima"),"Check inputs")</x:f>
        <x:v>Ready</x:v>
      </x:c>
      <x:c r="U1311" s="22" t="n">
        <x:f>IF(COUNT(I1311,M1311,N1311)=3,MAX(0,ROUND(I1311+M1311-N1311,2)),"n.a.")</x:f>
        <x:v>0</x:v>
      </x:c>
    </x:row>
    <x:row r="1312" ht="22" customHeight="1">
      <x:c r="A1312" s="2"/>
      <x:c r="B1312" s="2"/>
      <x:c r="C1312" s="27" t="n">
        <x:f>262</x:f>
        <x:v>262</x:v>
      </x:c>
      <x:c r="D1312" s="28" t="n">
        <x:f>IF(ISNUMBER('Inputs'!$D$7),EDATE('Inputs'!$D$7,261),"n.a.")</x:f>
        <x:v>54271</x:v>
      </x:c>
      <x:c r="E1312" s="26" t="n">
        <x:f>IF('Inputs'!$D$9&lt;&gt;"Ready","n.a.",IF(ISNUMBER('Inputs'!E280),IF('Inputs'!E280&gt;=0,'Inputs'!E280,"n.a."),IF('Inputs'!E280="",'Inputs'!$D$6,"n.a.")))</x:f>
        <x:v>500</x:v>
      </x:c>
      <x:c r="F1312" s="22" t="n">
        <x:f>IF(COUNT($N$1312:$N$1316)=5,SUM($N$1312:$N$1316),"n.a.")</x:f>
        <x:v>0</x:v>
      </x:c>
      <x:c r="G1312" s="22" t="n">
        <x:f>IF(COUNT(E1312:F1312)=2,MAX(0,E1312-F1312),"n.a.")</x:f>
        <x:v>500</x:v>
      </x:c>
      <x:c r="H1312" s="26" t="str">
        <x:f>'Inputs'!C11</x:f>
        <x:v>Card A</x:v>
      </x:c>
      <x:c r="I1312" s="26" t="n">
        <x:f>S1307</x:f>
        <x:v>0</x:v>
      </x:c>
      <x:c r="J1312" s="29" t="n">
        <x:f>IF('Inputs'!$D$9="Ready",'Inputs'!E11,"n.a.")</x:f>
        <x:v>0.24</x:v>
      </x:c>
      <x:c r="K1312" s="26" t="n">
        <x:f>IF('Inputs'!$D$9="Ready",'Inputs'!F11,"n.a.")</x:f>
        <x:v>35</x:v>
      </x:c>
      <x:c r="L1312" s="29" t="n">
        <x:f>IF('Inputs'!$D$9="Ready",'Inputs'!G11,"n.a.")</x:f>
        <x:v>0.02</x:v>
      </x:c>
      <x:c r="M1312" s="22" t="n">
        <x:f>IF(COUNT(I1312:L1312)=4,ROUND(I1312*J1312/12,2),"n.a.")</x:f>
        <x:v>0</x:v>
      </x:c>
      <x:c r="N1312" s="22" t="n">
        <x:f>IF(COUNT(I1312:M1312)=5,MIN(I1312+M1312,ROUND(MAX(K1312,I1312*L1312+M1312),2)),"n.a.")</x:f>
        <x:v>0</x:v>
      </x:c>
      <x:c r="O1312" s="30" t="n">
        <x:f>IF(COUNT($I$1312:$I$1316)&lt;&gt;5,"n.a.",IF(I1312=0,6,IF('Inputs'!$D$5=1,COUNTIFS($I$1312:$I$1316,"&gt;0",$I$1312:$I$1316,"&lt;"&amp;I1312)+COUNTIFS($I$1312:I1312,I1312),COUNTIFS($I$1312:$I$1316,"&gt;0",$J$1312:$J$1316,"&gt;"&amp;J1312)+COUNTIFS($I$1312:I1312,"&gt;0",$J$1312:J1312,J1312))))</x:f>
        <x:v>6</x:v>
      </x:c>
      <x:c r="P1312" s="22" t="n">
        <x:f>IF(T1312="Ready",MIN(U1312,MAX(0,G1312-SUMIFS($U$1312:$U$1316,$O$1312:$O$1316,"&lt;"&amp;O1312))),"n.a.")</x:f>
        <x:v>0</x:v>
      </x:c>
      <x:c r="Q1312" s="22" t="n">
        <x:f>IF(T1312="Ready",ROUND(N1312+P1312,2),"n.a.")</x:f>
        <x:v>0</x:v>
      </x:c>
      <x:c r="R1312" s="22" t="n">
        <x:f>IF(T1312="Ready",ROUND(Q1312-M1312,2),"n.a.")</x:f>
        <x:v>0</x:v>
      </x:c>
      <x:c r="S1312" s="22" t="n">
        <x:f>IF(T1312="Ready",MAX(0,ROUND(I1312+M1312-Q1312,2)),"n.a.")</x:f>
        <x:v>0</x:v>
      </x:c>
      <x:c r="T1312" s="22" t="str">
        <x:f>IF(AND(COUNT($I$1312:$I$1316)=5,COUNT(E1312:F1312)=2),IF(E1312&gt;=F1312,"Ready","Budget below minima"),"Check inputs")</x:f>
        <x:v>Ready</x:v>
      </x:c>
      <x:c r="U1312" s="22" t="n">
        <x:f>IF(COUNT(I1312,M1312,N1312)=3,MAX(0,ROUND(I1312+M1312-N1312,2)),"n.a.")</x:f>
        <x:v>0</x:v>
      </x:c>
    </x:row>
    <x:row r="1313" ht="22" customHeight="1">
      <x:c r="A1313" s="2"/>
      <x:c r="B1313" s="2"/>
      <x:c r="C1313" s="27" t="n">
        <x:f>262</x:f>
        <x:v>262</x:v>
      </x:c>
      <x:c r="D1313" s="28" t="n">
        <x:f>IF(ISNUMBER('Inputs'!$D$7),EDATE('Inputs'!$D$7,261),"n.a.")</x:f>
        <x:v>54271</x:v>
      </x:c>
      <x:c r="E1313" s="26" t="n">
        <x:f>IF('Inputs'!$D$9&lt;&gt;"Ready","n.a.",IF(ISNUMBER('Inputs'!E280),IF('Inputs'!E280&gt;=0,'Inputs'!E280,"n.a."),IF('Inputs'!E280="",'Inputs'!$D$6,"n.a.")))</x:f>
        <x:v>500</x:v>
      </x:c>
      <x:c r="F1313" s="22" t="n">
        <x:f>IF(COUNT($N$1312:$N$1316)=5,SUM($N$1312:$N$1316),"n.a.")</x:f>
        <x:v>0</x:v>
      </x:c>
      <x:c r="G1313" s="22" t="n">
        <x:f>IF(COUNT(E1313:F1313)=2,MAX(0,E1313-F1313),"n.a.")</x:f>
        <x:v>500</x:v>
      </x:c>
      <x:c r="H1313" s="26" t="str">
        <x:f>'Inputs'!C12</x:f>
        <x:v>Card B</x:v>
      </x:c>
      <x:c r="I1313" s="26" t="n">
        <x:f>S1308</x:f>
        <x:v>0</x:v>
      </x:c>
      <x:c r="J1313" s="29" t="n">
        <x:f>IF('Inputs'!$D$9="Ready",'Inputs'!E12,"n.a.")</x:f>
        <x:v>0.18</x:v>
      </x:c>
      <x:c r="K1313" s="26" t="n">
        <x:f>IF('Inputs'!$D$9="Ready",'Inputs'!F12,"n.a.")</x:f>
        <x:v>60</x:v>
      </x:c>
      <x:c r="L1313" s="29" t="n">
        <x:f>IF('Inputs'!$D$9="Ready",'Inputs'!G12,"n.a.")</x:f>
        <x:v>0.02</x:v>
      </x:c>
      <x:c r="M1313" s="22" t="n">
        <x:f>IF(COUNT(I1313:L1313)=4,ROUND(I1313*J1313/12,2),"n.a.")</x:f>
        <x:v>0</x:v>
      </x:c>
      <x:c r="N1313" s="22" t="n">
        <x:f>IF(COUNT(I1313:M1313)=5,MIN(I1313+M1313,ROUND(MAX(K1313,I1313*L1313+M1313),2)),"n.a.")</x:f>
        <x:v>0</x:v>
      </x:c>
      <x:c r="O1313" s="30" t="n">
        <x:f>IF(COUNT($I$1312:$I$1316)&lt;&gt;5,"n.a.",IF(I1313=0,6,IF('Inputs'!$D$5=1,COUNTIFS($I$1312:$I$1316,"&gt;0",$I$1312:$I$1316,"&lt;"&amp;I1313)+COUNTIFS($I$1312:I1313,I1313),COUNTIFS($I$1312:$I$1316,"&gt;0",$J$1312:$J$1316,"&gt;"&amp;J1313)+COUNTIFS($I$1312:I1313,"&gt;0",$J$1312:J1313,J1313))))</x:f>
        <x:v>6</x:v>
      </x:c>
      <x:c r="P1313" s="22" t="n">
        <x:f>IF(T1313="Ready",MIN(U1313,MAX(0,G1313-SUMIFS($U$1312:$U$1316,$O$1312:$O$1316,"&lt;"&amp;O1313))),"n.a.")</x:f>
        <x:v>0</x:v>
      </x:c>
      <x:c r="Q1313" s="22" t="n">
        <x:f>IF(T1313="Ready",ROUND(N1313+P1313,2),"n.a.")</x:f>
        <x:v>0</x:v>
      </x:c>
      <x:c r="R1313" s="22" t="n">
        <x:f>IF(T1313="Ready",ROUND(Q1313-M1313,2),"n.a.")</x:f>
        <x:v>0</x:v>
      </x:c>
      <x:c r="S1313" s="22" t="n">
        <x:f>IF(T1313="Ready",MAX(0,ROUND(I1313+M1313-Q1313,2)),"n.a.")</x:f>
        <x:v>0</x:v>
      </x:c>
      <x:c r="T1313" s="22" t="str">
        <x:f>IF(AND(COUNT($I$1312:$I$1316)=5,COUNT(E1313:F1313)=2),IF(E1313&gt;=F1313,"Ready","Budget below minima"),"Check inputs")</x:f>
        <x:v>Ready</x:v>
      </x:c>
      <x:c r="U1313" s="22" t="n">
        <x:f>IF(COUNT(I1313,M1313,N1313)=3,MAX(0,ROUND(I1313+M1313-N1313,2)),"n.a.")</x:f>
        <x:v>0</x:v>
      </x:c>
    </x:row>
    <x:row r="1314" ht="22" customHeight="1">
      <x:c r="A1314" s="2"/>
      <x:c r="B1314" s="2"/>
      <x:c r="C1314" s="27" t="n">
        <x:f>262</x:f>
        <x:v>262</x:v>
      </x:c>
      <x:c r="D1314" s="28" t="n">
        <x:f>IF(ISNUMBER('Inputs'!$D$7),EDATE('Inputs'!$D$7,261),"n.a.")</x:f>
        <x:v>54271</x:v>
      </x:c>
      <x:c r="E1314" s="26" t="n">
        <x:f>IF('Inputs'!$D$9&lt;&gt;"Ready","n.a.",IF(ISNUMBER('Inputs'!E280),IF('Inputs'!E280&gt;=0,'Inputs'!E280,"n.a."),IF('Inputs'!E280="",'Inputs'!$D$6,"n.a.")))</x:f>
        <x:v>500</x:v>
      </x:c>
      <x:c r="F1314" s="22" t="n">
        <x:f>IF(COUNT($N$1312:$N$1316)=5,SUM($N$1312:$N$1316),"n.a.")</x:f>
        <x:v>0</x:v>
      </x:c>
      <x:c r="G1314" s="22" t="n">
        <x:f>IF(COUNT(E1314:F1314)=2,MAX(0,E1314-F1314),"n.a.")</x:f>
        <x:v>500</x:v>
      </x:c>
      <x:c r="H1314" s="26" t="str">
        <x:f>'Inputs'!C13</x:f>
        <x:v>Loan C</x:v>
      </x:c>
      <x:c r="I1314" s="26" t="n">
        <x:f>S1309</x:f>
        <x:v>0</x:v>
      </x:c>
      <x:c r="J1314" s="29" t="n">
        <x:f>IF('Inputs'!$D$9="Ready",'Inputs'!E13,"n.a.")</x:f>
        <x:v>0.08</x:v>
      </x:c>
      <x:c r="K1314" s="26" t="n">
        <x:f>IF('Inputs'!$D$9="Ready",'Inputs'!F13,"n.a.")</x:f>
        <x:v>150</x:v>
      </x:c>
      <x:c r="L1314" s="29" t="n">
        <x:f>IF('Inputs'!$D$9="Ready",'Inputs'!G13,"n.a.")</x:f>
        <x:v>0</x:v>
      </x:c>
      <x:c r="M1314" s="22" t="n">
        <x:f>IF(COUNT(I1314:L1314)=4,ROUND(I1314*J1314/12,2),"n.a.")</x:f>
        <x:v>0</x:v>
      </x:c>
      <x:c r="N1314" s="22" t="n">
        <x:f>IF(COUNT(I1314:M1314)=5,MIN(I1314+M1314,ROUND(MAX(K1314,I1314*L1314+M1314),2)),"n.a.")</x:f>
        <x:v>0</x:v>
      </x:c>
      <x:c r="O1314" s="30" t="n">
        <x:f>IF(COUNT($I$1312:$I$1316)&lt;&gt;5,"n.a.",IF(I1314=0,6,IF('Inputs'!$D$5=1,COUNTIFS($I$1312:$I$1316,"&gt;0",$I$1312:$I$1316,"&lt;"&amp;I1314)+COUNTIFS($I$1312:I1314,I1314),COUNTIFS($I$1312:$I$1316,"&gt;0",$J$1312:$J$1316,"&gt;"&amp;J1314)+COUNTIFS($I$1312:I1314,"&gt;0",$J$1312:J1314,J1314))))</x:f>
        <x:v>6</x:v>
      </x:c>
      <x:c r="P1314" s="22" t="n">
        <x:f>IF(T1314="Ready",MIN(U1314,MAX(0,G1314-SUMIFS($U$1312:$U$1316,$O$1312:$O$1316,"&lt;"&amp;O1314))),"n.a.")</x:f>
        <x:v>0</x:v>
      </x:c>
      <x:c r="Q1314" s="22" t="n">
        <x:f>IF(T1314="Ready",ROUND(N1314+P1314,2),"n.a.")</x:f>
        <x:v>0</x:v>
      </x:c>
      <x:c r="R1314" s="22" t="n">
        <x:f>IF(T1314="Ready",ROUND(Q1314-M1314,2),"n.a.")</x:f>
        <x:v>0</x:v>
      </x:c>
      <x:c r="S1314" s="22" t="n">
        <x:f>IF(T1314="Ready",MAX(0,ROUND(I1314+M1314-Q1314,2)),"n.a.")</x:f>
        <x:v>0</x:v>
      </x:c>
      <x:c r="T1314" s="22" t="str">
        <x:f>IF(AND(COUNT($I$1312:$I$1316)=5,COUNT(E1314:F1314)=2),IF(E1314&gt;=F1314,"Ready","Budget below minima"),"Check inputs")</x:f>
        <x:v>Ready</x:v>
      </x:c>
      <x:c r="U1314" s="22" t="n">
        <x:f>IF(COUNT(I1314,M1314,N1314)=3,MAX(0,ROUND(I1314+M1314-N1314,2)),"n.a.")</x:f>
        <x:v>0</x:v>
      </x:c>
    </x:row>
    <x:row r="1315" ht="22" customHeight="1">
      <x:c r="A1315" s="2"/>
      <x:c r="B1315" s="2"/>
      <x:c r="C1315" s="27" t="n">
        <x:f>262</x:f>
        <x:v>262</x:v>
      </x:c>
      <x:c r="D1315" s="28" t="n">
        <x:f>IF(ISNUMBER('Inputs'!$D$7),EDATE('Inputs'!$D$7,261),"n.a.")</x:f>
        <x:v>54271</x:v>
      </x:c>
      <x:c r="E1315" s="26" t="n">
        <x:f>IF('Inputs'!$D$9&lt;&gt;"Ready","n.a.",IF(ISNUMBER('Inputs'!E280),IF('Inputs'!E280&gt;=0,'Inputs'!E280,"n.a."),IF('Inputs'!E280="",'Inputs'!$D$6,"n.a.")))</x:f>
        <x:v>500</x:v>
      </x:c>
      <x:c r="F1315" s="22" t="n">
        <x:f>IF(COUNT($N$1312:$N$1316)=5,SUM($N$1312:$N$1316),"n.a.")</x:f>
        <x:v>0</x:v>
      </x:c>
      <x:c r="G1315" s="22" t="n">
        <x:f>IF(COUNT(E1315:F1315)=2,MAX(0,E1315-F1315),"n.a.")</x:f>
        <x:v>500</x:v>
      </x:c>
      <x:c r="H1315" s="26" t="str">
        <x:f>'Inputs'!C14</x:f>
        <x:v>Unused 4</x:v>
      </x:c>
      <x:c r="I1315" s="26" t="n">
        <x:f>S1310</x:f>
        <x:v>0</x:v>
      </x:c>
      <x:c r="J1315" s="29" t="n">
        <x:f>IF('Inputs'!$D$9="Ready",'Inputs'!E14,"n.a.")</x:f>
        <x:v>0</x:v>
      </x:c>
      <x:c r="K1315" s="26" t="n">
        <x:f>IF('Inputs'!$D$9="Ready",'Inputs'!F14,"n.a.")</x:f>
        <x:v>0</x:v>
      </x:c>
      <x:c r="L1315" s="29" t="n">
        <x:f>IF('Inputs'!$D$9="Ready",'Inputs'!G14,"n.a.")</x:f>
        <x:v>0</x:v>
      </x:c>
      <x:c r="M1315" s="22" t="n">
        <x:f>IF(COUNT(I1315:L1315)=4,ROUND(I1315*J1315/12,2),"n.a.")</x:f>
        <x:v>0</x:v>
      </x:c>
      <x:c r="N1315" s="22" t="n">
        <x:f>IF(COUNT(I1315:M1315)=5,MIN(I1315+M1315,ROUND(MAX(K1315,I1315*L1315+M1315),2)),"n.a.")</x:f>
        <x:v>0</x:v>
      </x:c>
      <x:c r="O1315" s="30" t="n">
        <x:f>IF(COUNT($I$1312:$I$1316)&lt;&gt;5,"n.a.",IF(I1315=0,6,IF('Inputs'!$D$5=1,COUNTIFS($I$1312:$I$1316,"&gt;0",$I$1312:$I$1316,"&lt;"&amp;I1315)+COUNTIFS($I$1312:I1315,I1315),COUNTIFS($I$1312:$I$1316,"&gt;0",$J$1312:$J$1316,"&gt;"&amp;J1315)+COUNTIFS($I$1312:I1315,"&gt;0",$J$1312:J1315,J1315))))</x:f>
        <x:v>6</x:v>
      </x:c>
      <x:c r="P1315" s="22" t="n">
        <x:f>IF(T1315="Ready",MIN(U1315,MAX(0,G1315-SUMIFS($U$1312:$U$1316,$O$1312:$O$1316,"&lt;"&amp;O1315))),"n.a.")</x:f>
        <x:v>0</x:v>
      </x:c>
      <x:c r="Q1315" s="22" t="n">
        <x:f>IF(T1315="Ready",ROUND(N1315+P1315,2),"n.a.")</x:f>
        <x:v>0</x:v>
      </x:c>
      <x:c r="R1315" s="22" t="n">
        <x:f>IF(T1315="Ready",ROUND(Q1315-M1315,2),"n.a.")</x:f>
        <x:v>0</x:v>
      </x:c>
      <x:c r="S1315" s="22" t="n">
        <x:f>IF(T1315="Ready",MAX(0,ROUND(I1315+M1315-Q1315,2)),"n.a.")</x:f>
        <x:v>0</x:v>
      </x:c>
      <x:c r="T1315" s="22" t="str">
        <x:f>IF(AND(COUNT($I$1312:$I$1316)=5,COUNT(E1315:F1315)=2),IF(E1315&gt;=F1315,"Ready","Budget below minima"),"Check inputs")</x:f>
        <x:v>Ready</x:v>
      </x:c>
      <x:c r="U1315" s="22" t="n">
        <x:f>IF(COUNT(I1315,M1315,N1315)=3,MAX(0,ROUND(I1315+M1315-N1315,2)),"n.a.")</x:f>
        <x:v>0</x:v>
      </x:c>
    </x:row>
    <x:row r="1316" ht="22" customHeight="1">
      <x:c r="A1316" s="2"/>
      <x:c r="B1316" s="2"/>
      <x:c r="C1316" s="27" t="n">
        <x:f>262</x:f>
        <x:v>262</x:v>
      </x:c>
      <x:c r="D1316" s="28" t="n">
        <x:f>IF(ISNUMBER('Inputs'!$D$7),EDATE('Inputs'!$D$7,261),"n.a.")</x:f>
        <x:v>54271</x:v>
      </x:c>
      <x:c r="E1316" s="26" t="n">
        <x:f>IF('Inputs'!$D$9&lt;&gt;"Ready","n.a.",IF(ISNUMBER('Inputs'!E280),IF('Inputs'!E280&gt;=0,'Inputs'!E280,"n.a."),IF('Inputs'!E280="",'Inputs'!$D$6,"n.a.")))</x:f>
        <x:v>500</x:v>
      </x:c>
      <x:c r="F1316" s="22" t="n">
        <x:f>IF(COUNT($N$1312:$N$1316)=5,SUM($N$1312:$N$1316),"n.a.")</x:f>
        <x:v>0</x:v>
      </x:c>
      <x:c r="G1316" s="22" t="n">
        <x:f>IF(COUNT(E1316:F1316)=2,MAX(0,E1316-F1316),"n.a.")</x:f>
        <x:v>500</x:v>
      </x:c>
      <x:c r="H1316" s="26" t="str">
        <x:f>'Inputs'!C15</x:f>
        <x:v>Unused 5</x:v>
      </x:c>
      <x:c r="I1316" s="26" t="n">
        <x:f>S1311</x:f>
        <x:v>0</x:v>
      </x:c>
      <x:c r="J1316" s="29" t="n">
        <x:f>IF('Inputs'!$D$9="Ready",'Inputs'!E15,"n.a.")</x:f>
        <x:v>0</x:v>
      </x:c>
      <x:c r="K1316" s="26" t="n">
        <x:f>IF('Inputs'!$D$9="Ready",'Inputs'!F15,"n.a.")</x:f>
        <x:v>0</x:v>
      </x:c>
      <x:c r="L1316" s="29" t="n">
        <x:f>IF('Inputs'!$D$9="Ready",'Inputs'!G15,"n.a.")</x:f>
        <x:v>0</x:v>
      </x:c>
      <x:c r="M1316" s="22" t="n">
        <x:f>IF(COUNT(I1316:L1316)=4,ROUND(I1316*J1316/12,2),"n.a.")</x:f>
        <x:v>0</x:v>
      </x:c>
      <x:c r="N1316" s="22" t="n">
        <x:f>IF(COUNT(I1316:M1316)=5,MIN(I1316+M1316,ROUND(MAX(K1316,I1316*L1316+M1316),2)),"n.a.")</x:f>
        <x:v>0</x:v>
      </x:c>
      <x:c r="O1316" s="30" t="n">
        <x:f>IF(COUNT($I$1312:$I$1316)&lt;&gt;5,"n.a.",IF(I1316=0,6,IF('Inputs'!$D$5=1,COUNTIFS($I$1312:$I$1316,"&gt;0",$I$1312:$I$1316,"&lt;"&amp;I1316)+COUNTIFS($I$1312:I1316,I1316),COUNTIFS($I$1312:$I$1316,"&gt;0",$J$1312:$J$1316,"&gt;"&amp;J1316)+COUNTIFS($I$1312:I1316,"&gt;0",$J$1312:J1316,J1316))))</x:f>
        <x:v>6</x:v>
      </x:c>
      <x:c r="P1316" s="22" t="n">
        <x:f>IF(T1316="Ready",MIN(U1316,MAX(0,G1316-SUMIFS($U$1312:$U$1316,$O$1312:$O$1316,"&lt;"&amp;O1316))),"n.a.")</x:f>
        <x:v>0</x:v>
      </x:c>
      <x:c r="Q1316" s="22" t="n">
        <x:f>IF(T1316="Ready",ROUND(N1316+P1316,2),"n.a.")</x:f>
        <x:v>0</x:v>
      </x:c>
      <x:c r="R1316" s="22" t="n">
        <x:f>IF(T1316="Ready",ROUND(Q1316-M1316,2),"n.a.")</x:f>
        <x:v>0</x:v>
      </x:c>
      <x:c r="S1316" s="22" t="n">
        <x:f>IF(T1316="Ready",MAX(0,ROUND(I1316+M1316-Q1316,2)),"n.a.")</x:f>
        <x:v>0</x:v>
      </x:c>
      <x:c r="T1316" s="22" t="str">
        <x:f>IF(AND(COUNT($I$1312:$I$1316)=5,COUNT(E1316:F1316)=2),IF(E1316&gt;=F1316,"Ready","Budget below minima"),"Check inputs")</x:f>
        <x:v>Ready</x:v>
      </x:c>
      <x:c r="U1316" s="22" t="n">
        <x:f>IF(COUNT(I1316,M1316,N1316)=3,MAX(0,ROUND(I1316+M1316-N1316,2)),"n.a.")</x:f>
        <x:v>0</x:v>
      </x:c>
    </x:row>
    <x:row r="1317" ht="22" customHeight="1">
      <x:c r="A1317" s="2"/>
      <x:c r="B1317" s="2"/>
      <x:c r="C1317" s="27" t="n">
        <x:f>263</x:f>
        <x:v>263</x:v>
      </x:c>
      <x:c r="D1317" s="28" t="n">
        <x:f>IF(ISNUMBER('Inputs'!$D$7),EDATE('Inputs'!$D$7,262),"n.a.")</x:f>
        <x:v>54302</x:v>
      </x:c>
      <x:c r="E1317" s="26" t="n">
        <x:f>IF('Inputs'!$D$9&lt;&gt;"Ready","n.a.",IF(ISNUMBER('Inputs'!E281),IF('Inputs'!E281&gt;=0,'Inputs'!E281,"n.a."),IF('Inputs'!E281="",'Inputs'!$D$6,"n.a.")))</x:f>
        <x:v>500</x:v>
      </x:c>
      <x:c r="F1317" s="22" t="n">
        <x:f>IF(COUNT($N$1317:$N$1321)=5,SUM($N$1317:$N$1321),"n.a.")</x:f>
        <x:v>0</x:v>
      </x:c>
      <x:c r="G1317" s="22" t="n">
        <x:f>IF(COUNT(E1317:F1317)=2,MAX(0,E1317-F1317),"n.a.")</x:f>
        <x:v>500</x:v>
      </x:c>
      <x:c r="H1317" s="26" t="str">
        <x:f>'Inputs'!C11</x:f>
        <x:v>Card A</x:v>
      </x:c>
      <x:c r="I1317" s="26" t="n">
        <x:f>S1312</x:f>
        <x:v>0</x:v>
      </x:c>
      <x:c r="J1317" s="29" t="n">
        <x:f>IF('Inputs'!$D$9="Ready",'Inputs'!E11,"n.a.")</x:f>
        <x:v>0.24</x:v>
      </x:c>
      <x:c r="K1317" s="26" t="n">
        <x:f>IF('Inputs'!$D$9="Ready",'Inputs'!F11,"n.a.")</x:f>
        <x:v>35</x:v>
      </x:c>
      <x:c r="L1317" s="29" t="n">
        <x:f>IF('Inputs'!$D$9="Ready",'Inputs'!G11,"n.a.")</x:f>
        <x:v>0.02</x:v>
      </x:c>
      <x:c r="M1317" s="22" t="n">
        <x:f>IF(COUNT(I1317:L1317)=4,ROUND(I1317*J1317/12,2),"n.a.")</x:f>
        <x:v>0</x:v>
      </x:c>
      <x:c r="N1317" s="22" t="n">
        <x:f>IF(COUNT(I1317:M1317)=5,MIN(I1317+M1317,ROUND(MAX(K1317,I1317*L1317+M1317),2)),"n.a.")</x:f>
        <x:v>0</x:v>
      </x:c>
      <x:c r="O1317" s="30" t="n">
        <x:f>IF(COUNT($I$1317:$I$1321)&lt;&gt;5,"n.a.",IF(I1317=0,6,IF('Inputs'!$D$5=1,COUNTIFS($I$1317:$I$1321,"&gt;0",$I$1317:$I$1321,"&lt;"&amp;I1317)+COUNTIFS($I$1317:I1317,I1317),COUNTIFS($I$1317:$I$1321,"&gt;0",$J$1317:$J$1321,"&gt;"&amp;J1317)+COUNTIFS($I$1317:I1317,"&gt;0",$J$1317:J1317,J1317))))</x:f>
        <x:v>6</x:v>
      </x:c>
      <x:c r="P1317" s="22" t="n">
        <x:f>IF(T1317="Ready",MIN(U1317,MAX(0,G1317-SUMIFS($U$1317:$U$1321,$O$1317:$O$1321,"&lt;"&amp;O1317))),"n.a.")</x:f>
        <x:v>0</x:v>
      </x:c>
      <x:c r="Q1317" s="22" t="n">
        <x:f>IF(T1317="Ready",ROUND(N1317+P1317,2),"n.a.")</x:f>
        <x:v>0</x:v>
      </x:c>
      <x:c r="R1317" s="22" t="n">
        <x:f>IF(T1317="Ready",ROUND(Q1317-M1317,2),"n.a.")</x:f>
        <x:v>0</x:v>
      </x:c>
      <x:c r="S1317" s="22" t="n">
        <x:f>IF(T1317="Ready",MAX(0,ROUND(I1317+M1317-Q1317,2)),"n.a.")</x:f>
        <x:v>0</x:v>
      </x:c>
      <x:c r="T1317" s="22" t="str">
        <x:f>IF(AND(COUNT($I$1317:$I$1321)=5,COUNT(E1317:F1317)=2),IF(E1317&gt;=F1317,"Ready","Budget below minima"),"Check inputs")</x:f>
        <x:v>Ready</x:v>
      </x:c>
      <x:c r="U1317" s="22" t="n">
        <x:f>IF(COUNT(I1317,M1317,N1317)=3,MAX(0,ROUND(I1317+M1317-N1317,2)),"n.a.")</x:f>
        <x:v>0</x:v>
      </x:c>
    </x:row>
    <x:row r="1318" ht="22" customHeight="1">
      <x:c r="A1318" s="2"/>
      <x:c r="B1318" s="2"/>
      <x:c r="C1318" s="27" t="n">
        <x:f>263</x:f>
        <x:v>263</x:v>
      </x:c>
      <x:c r="D1318" s="28" t="n">
        <x:f>IF(ISNUMBER('Inputs'!$D$7),EDATE('Inputs'!$D$7,262),"n.a.")</x:f>
        <x:v>54302</x:v>
      </x:c>
      <x:c r="E1318" s="26" t="n">
        <x:f>IF('Inputs'!$D$9&lt;&gt;"Ready","n.a.",IF(ISNUMBER('Inputs'!E281),IF('Inputs'!E281&gt;=0,'Inputs'!E281,"n.a."),IF('Inputs'!E281="",'Inputs'!$D$6,"n.a.")))</x:f>
        <x:v>500</x:v>
      </x:c>
      <x:c r="F1318" s="22" t="n">
        <x:f>IF(COUNT($N$1317:$N$1321)=5,SUM($N$1317:$N$1321),"n.a.")</x:f>
        <x:v>0</x:v>
      </x:c>
      <x:c r="G1318" s="22" t="n">
        <x:f>IF(COUNT(E1318:F1318)=2,MAX(0,E1318-F1318),"n.a.")</x:f>
        <x:v>500</x:v>
      </x:c>
      <x:c r="H1318" s="26" t="str">
        <x:f>'Inputs'!C12</x:f>
        <x:v>Card B</x:v>
      </x:c>
      <x:c r="I1318" s="26" t="n">
        <x:f>S1313</x:f>
        <x:v>0</x:v>
      </x:c>
      <x:c r="J1318" s="29" t="n">
        <x:f>IF('Inputs'!$D$9="Ready",'Inputs'!E12,"n.a.")</x:f>
        <x:v>0.18</x:v>
      </x:c>
      <x:c r="K1318" s="26" t="n">
        <x:f>IF('Inputs'!$D$9="Ready",'Inputs'!F12,"n.a.")</x:f>
        <x:v>60</x:v>
      </x:c>
      <x:c r="L1318" s="29" t="n">
        <x:f>IF('Inputs'!$D$9="Ready",'Inputs'!G12,"n.a.")</x:f>
        <x:v>0.02</x:v>
      </x:c>
      <x:c r="M1318" s="22" t="n">
        <x:f>IF(COUNT(I1318:L1318)=4,ROUND(I1318*J1318/12,2),"n.a.")</x:f>
        <x:v>0</x:v>
      </x:c>
      <x:c r="N1318" s="22" t="n">
        <x:f>IF(COUNT(I1318:M1318)=5,MIN(I1318+M1318,ROUND(MAX(K1318,I1318*L1318+M1318),2)),"n.a.")</x:f>
        <x:v>0</x:v>
      </x:c>
      <x:c r="O1318" s="30" t="n">
        <x:f>IF(COUNT($I$1317:$I$1321)&lt;&gt;5,"n.a.",IF(I1318=0,6,IF('Inputs'!$D$5=1,COUNTIFS($I$1317:$I$1321,"&gt;0",$I$1317:$I$1321,"&lt;"&amp;I1318)+COUNTIFS($I$1317:I1318,I1318),COUNTIFS($I$1317:$I$1321,"&gt;0",$J$1317:$J$1321,"&gt;"&amp;J1318)+COUNTIFS($I$1317:I1318,"&gt;0",$J$1317:J1318,J1318))))</x:f>
        <x:v>6</x:v>
      </x:c>
      <x:c r="P1318" s="22" t="n">
        <x:f>IF(T1318="Ready",MIN(U1318,MAX(0,G1318-SUMIFS($U$1317:$U$1321,$O$1317:$O$1321,"&lt;"&amp;O1318))),"n.a.")</x:f>
        <x:v>0</x:v>
      </x:c>
      <x:c r="Q1318" s="22" t="n">
        <x:f>IF(T1318="Ready",ROUND(N1318+P1318,2),"n.a.")</x:f>
        <x:v>0</x:v>
      </x:c>
      <x:c r="R1318" s="22" t="n">
        <x:f>IF(T1318="Ready",ROUND(Q1318-M1318,2),"n.a.")</x:f>
        <x:v>0</x:v>
      </x:c>
      <x:c r="S1318" s="22" t="n">
        <x:f>IF(T1318="Ready",MAX(0,ROUND(I1318+M1318-Q1318,2)),"n.a.")</x:f>
        <x:v>0</x:v>
      </x:c>
      <x:c r="T1318" s="22" t="str">
        <x:f>IF(AND(COUNT($I$1317:$I$1321)=5,COUNT(E1318:F1318)=2),IF(E1318&gt;=F1318,"Ready","Budget below minima"),"Check inputs")</x:f>
        <x:v>Ready</x:v>
      </x:c>
      <x:c r="U1318" s="22" t="n">
        <x:f>IF(COUNT(I1318,M1318,N1318)=3,MAX(0,ROUND(I1318+M1318-N1318,2)),"n.a.")</x:f>
        <x:v>0</x:v>
      </x:c>
    </x:row>
    <x:row r="1319" ht="22" customHeight="1">
      <x:c r="A1319" s="2"/>
      <x:c r="B1319" s="2"/>
      <x:c r="C1319" s="27" t="n">
        <x:f>263</x:f>
        <x:v>263</x:v>
      </x:c>
      <x:c r="D1319" s="28" t="n">
        <x:f>IF(ISNUMBER('Inputs'!$D$7),EDATE('Inputs'!$D$7,262),"n.a.")</x:f>
        <x:v>54302</x:v>
      </x:c>
      <x:c r="E1319" s="26" t="n">
        <x:f>IF('Inputs'!$D$9&lt;&gt;"Ready","n.a.",IF(ISNUMBER('Inputs'!E281),IF('Inputs'!E281&gt;=0,'Inputs'!E281,"n.a."),IF('Inputs'!E281="",'Inputs'!$D$6,"n.a.")))</x:f>
        <x:v>500</x:v>
      </x:c>
      <x:c r="F1319" s="22" t="n">
        <x:f>IF(COUNT($N$1317:$N$1321)=5,SUM($N$1317:$N$1321),"n.a.")</x:f>
        <x:v>0</x:v>
      </x:c>
      <x:c r="G1319" s="22" t="n">
        <x:f>IF(COUNT(E1319:F1319)=2,MAX(0,E1319-F1319),"n.a.")</x:f>
        <x:v>500</x:v>
      </x:c>
      <x:c r="H1319" s="26" t="str">
        <x:f>'Inputs'!C13</x:f>
        <x:v>Loan C</x:v>
      </x:c>
      <x:c r="I1319" s="26" t="n">
        <x:f>S1314</x:f>
        <x:v>0</x:v>
      </x:c>
      <x:c r="J1319" s="29" t="n">
        <x:f>IF('Inputs'!$D$9="Ready",'Inputs'!E13,"n.a.")</x:f>
        <x:v>0.08</x:v>
      </x:c>
      <x:c r="K1319" s="26" t="n">
        <x:f>IF('Inputs'!$D$9="Ready",'Inputs'!F13,"n.a.")</x:f>
        <x:v>150</x:v>
      </x:c>
      <x:c r="L1319" s="29" t="n">
        <x:f>IF('Inputs'!$D$9="Ready",'Inputs'!G13,"n.a.")</x:f>
        <x:v>0</x:v>
      </x:c>
      <x:c r="M1319" s="22" t="n">
        <x:f>IF(COUNT(I1319:L1319)=4,ROUND(I1319*J1319/12,2),"n.a.")</x:f>
        <x:v>0</x:v>
      </x:c>
      <x:c r="N1319" s="22" t="n">
        <x:f>IF(COUNT(I1319:M1319)=5,MIN(I1319+M1319,ROUND(MAX(K1319,I1319*L1319+M1319),2)),"n.a.")</x:f>
        <x:v>0</x:v>
      </x:c>
      <x:c r="O1319" s="30" t="n">
        <x:f>IF(COUNT($I$1317:$I$1321)&lt;&gt;5,"n.a.",IF(I1319=0,6,IF('Inputs'!$D$5=1,COUNTIFS($I$1317:$I$1321,"&gt;0",$I$1317:$I$1321,"&lt;"&amp;I1319)+COUNTIFS($I$1317:I1319,I1319),COUNTIFS($I$1317:$I$1321,"&gt;0",$J$1317:$J$1321,"&gt;"&amp;J1319)+COUNTIFS($I$1317:I1319,"&gt;0",$J$1317:J1319,J1319))))</x:f>
        <x:v>6</x:v>
      </x:c>
      <x:c r="P1319" s="22" t="n">
        <x:f>IF(T1319="Ready",MIN(U1319,MAX(0,G1319-SUMIFS($U$1317:$U$1321,$O$1317:$O$1321,"&lt;"&amp;O1319))),"n.a.")</x:f>
        <x:v>0</x:v>
      </x:c>
      <x:c r="Q1319" s="22" t="n">
        <x:f>IF(T1319="Ready",ROUND(N1319+P1319,2),"n.a.")</x:f>
        <x:v>0</x:v>
      </x:c>
      <x:c r="R1319" s="22" t="n">
        <x:f>IF(T1319="Ready",ROUND(Q1319-M1319,2),"n.a.")</x:f>
        <x:v>0</x:v>
      </x:c>
      <x:c r="S1319" s="22" t="n">
        <x:f>IF(T1319="Ready",MAX(0,ROUND(I1319+M1319-Q1319,2)),"n.a.")</x:f>
        <x:v>0</x:v>
      </x:c>
      <x:c r="T1319" s="22" t="str">
        <x:f>IF(AND(COUNT($I$1317:$I$1321)=5,COUNT(E1319:F1319)=2),IF(E1319&gt;=F1319,"Ready","Budget below minima"),"Check inputs")</x:f>
        <x:v>Ready</x:v>
      </x:c>
      <x:c r="U1319" s="22" t="n">
        <x:f>IF(COUNT(I1319,M1319,N1319)=3,MAX(0,ROUND(I1319+M1319-N1319,2)),"n.a.")</x:f>
        <x:v>0</x:v>
      </x:c>
    </x:row>
    <x:row r="1320" ht="22" customHeight="1">
      <x:c r="A1320" s="2"/>
      <x:c r="B1320" s="2"/>
      <x:c r="C1320" s="27" t="n">
        <x:f>263</x:f>
        <x:v>263</x:v>
      </x:c>
      <x:c r="D1320" s="28" t="n">
        <x:f>IF(ISNUMBER('Inputs'!$D$7),EDATE('Inputs'!$D$7,262),"n.a.")</x:f>
        <x:v>54302</x:v>
      </x:c>
      <x:c r="E1320" s="26" t="n">
        <x:f>IF('Inputs'!$D$9&lt;&gt;"Ready","n.a.",IF(ISNUMBER('Inputs'!E281),IF('Inputs'!E281&gt;=0,'Inputs'!E281,"n.a."),IF('Inputs'!E281="",'Inputs'!$D$6,"n.a.")))</x:f>
        <x:v>500</x:v>
      </x:c>
      <x:c r="F1320" s="22" t="n">
        <x:f>IF(COUNT($N$1317:$N$1321)=5,SUM($N$1317:$N$1321),"n.a.")</x:f>
        <x:v>0</x:v>
      </x:c>
      <x:c r="G1320" s="22" t="n">
        <x:f>IF(COUNT(E1320:F1320)=2,MAX(0,E1320-F1320),"n.a.")</x:f>
        <x:v>500</x:v>
      </x:c>
      <x:c r="H1320" s="26" t="str">
        <x:f>'Inputs'!C14</x:f>
        <x:v>Unused 4</x:v>
      </x:c>
      <x:c r="I1320" s="26" t="n">
        <x:f>S1315</x:f>
        <x:v>0</x:v>
      </x:c>
      <x:c r="J1320" s="29" t="n">
        <x:f>IF('Inputs'!$D$9="Ready",'Inputs'!E14,"n.a.")</x:f>
        <x:v>0</x:v>
      </x:c>
      <x:c r="K1320" s="26" t="n">
        <x:f>IF('Inputs'!$D$9="Ready",'Inputs'!F14,"n.a.")</x:f>
        <x:v>0</x:v>
      </x:c>
      <x:c r="L1320" s="29" t="n">
        <x:f>IF('Inputs'!$D$9="Ready",'Inputs'!G14,"n.a.")</x:f>
        <x:v>0</x:v>
      </x:c>
      <x:c r="M1320" s="22" t="n">
        <x:f>IF(COUNT(I1320:L1320)=4,ROUND(I1320*J1320/12,2),"n.a.")</x:f>
        <x:v>0</x:v>
      </x:c>
      <x:c r="N1320" s="22" t="n">
        <x:f>IF(COUNT(I1320:M1320)=5,MIN(I1320+M1320,ROUND(MAX(K1320,I1320*L1320+M1320),2)),"n.a.")</x:f>
        <x:v>0</x:v>
      </x:c>
      <x:c r="O1320" s="30" t="n">
        <x:f>IF(COUNT($I$1317:$I$1321)&lt;&gt;5,"n.a.",IF(I1320=0,6,IF('Inputs'!$D$5=1,COUNTIFS($I$1317:$I$1321,"&gt;0",$I$1317:$I$1321,"&lt;"&amp;I1320)+COUNTIFS($I$1317:I1320,I1320),COUNTIFS($I$1317:$I$1321,"&gt;0",$J$1317:$J$1321,"&gt;"&amp;J1320)+COUNTIFS($I$1317:I1320,"&gt;0",$J$1317:J1320,J1320))))</x:f>
        <x:v>6</x:v>
      </x:c>
      <x:c r="P1320" s="22" t="n">
        <x:f>IF(T1320="Ready",MIN(U1320,MAX(0,G1320-SUMIFS($U$1317:$U$1321,$O$1317:$O$1321,"&lt;"&amp;O1320))),"n.a.")</x:f>
        <x:v>0</x:v>
      </x:c>
      <x:c r="Q1320" s="22" t="n">
        <x:f>IF(T1320="Ready",ROUND(N1320+P1320,2),"n.a.")</x:f>
        <x:v>0</x:v>
      </x:c>
      <x:c r="R1320" s="22" t="n">
        <x:f>IF(T1320="Ready",ROUND(Q1320-M1320,2),"n.a.")</x:f>
        <x:v>0</x:v>
      </x:c>
      <x:c r="S1320" s="22" t="n">
        <x:f>IF(T1320="Ready",MAX(0,ROUND(I1320+M1320-Q1320,2)),"n.a.")</x:f>
        <x:v>0</x:v>
      </x:c>
      <x:c r="T1320" s="22" t="str">
        <x:f>IF(AND(COUNT($I$1317:$I$1321)=5,COUNT(E1320:F1320)=2),IF(E1320&gt;=F1320,"Ready","Budget below minima"),"Check inputs")</x:f>
        <x:v>Ready</x:v>
      </x:c>
      <x:c r="U1320" s="22" t="n">
        <x:f>IF(COUNT(I1320,M1320,N1320)=3,MAX(0,ROUND(I1320+M1320-N1320,2)),"n.a.")</x:f>
        <x:v>0</x:v>
      </x:c>
    </x:row>
    <x:row r="1321" ht="22" customHeight="1">
      <x:c r="A1321" s="2"/>
      <x:c r="B1321" s="2"/>
      <x:c r="C1321" s="27" t="n">
        <x:f>263</x:f>
        <x:v>263</x:v>
      </x:c>
      <x:c r="D1321" s="28" t="n">
        <x:f>IF(ISNUMBER('Inputs'!$D$7),EDATE('Inputs'!$D$7,262),"n.a.")</x:f>
        <x:v>54302</x:v>
      </x:c>
      <x:c r="E1321" s="26" t="n">
        <x:f>IF('Inputs'!$D$9&lt;&gt;"Ready","n.a.",IF(ISNUMBER('Inputs'!E281),IF('Inputs'!E281&gt;=0,'Inputs'!E281,"n.a."),IF('Inputs'!E281="",'Inputs'!$D$6,"n.a.")))</x:f>
        <x:v>500</x:v>
      </x:c>
      <x:c r="F1321" s="22" t="n">
        <x:f>IF(COUNT($N$1317:$N$1321)=5,SUM($N$1317:$N$1321),"n.a.")</x:f>
        <x:v>0</x:v>
      </x:c>
      <x:c r="G1321" s="22" t="n">
        <x:f>IF(COUNT(E1321:F1321)=2,MAX(0,E1321-F1321),"n.a.")</x:f>
        <x:v>500</x:v>
      </x:c>
      <x:c r="H1321" s="26" t="str">
        <x:f>'Inputs'!C15</x:f>
        <x:v>Unused 5</x:v>
      </x:c>
      <x:c r="I1321" s="26" t="n">
        <x:f>S1316</x:f>
        <x:v>0</x:v>
      </x:c>
      <x:c r="J1321" s="29" t="n">
        <x:f>IF('Inputs'!$D$9="Ready",'Inputs'!E15,"n.a.")</x:f>
        <x:v>0</x:v>
      </x:c>
      <x:c r="K1321" s="26" t="n">
        <x:f>IF('Inputs'!$D$9="Ready",'Inputs'!F15,"n.a.")</x:f>
        <x:v>0</x:v>
      </x:c>
      <x:c r="L1321" s="29" t="n">
        <x:f>IF('Inputs'!$D$9="Ready",'Inputs'!G15,"n.a.")</x:f>
        <x:v>0</x:v>
      </x:c>
      <x:c r="M1321" s="22" t="n">
        <x:f>IF(COUNT(I1321:L1321)=4,ROUND(I1321*J1321/12,2),"n.a.")</x:f>
        <x:v>0</x:v>
      </x:c>
      <x:c r="N1321" s="22" t="n">
        <x:f>IF(COUNT(I1321:M1321)=5,MIN(I1321+M1321,ROUND(MAX(K1321,I1321*L1321+M1321),2)),"n.a.")</x:f>
        <x:v>0</x:v>
      </x:c>
      <x:c r="O1321" s="30" t="n">
        <x:f>IF(COUNT($I$1317:$I$1321)&lt;&gt;5,"n.a.",IF(I1321=0,6,IF('Inputs'!$D$5=1,COUNTIFS($I$1317:$I$1321,"&gt;0",$I$1317:$I$1321,"&lt;"&amp;I1321)+COUNTIFS($I$1317:I1321,I1321),COUNTIFS($I$1317:$I$1321,"&gt;0",$J$1317:$J$1321,"&gt;"&amp;J1321)+COUNTIFS($I$1317:I1321,"&gt;0",$J$1317:J1321,J1321))))</x:f>
        <x:v>6</x:v>
      </x:c>
      <x:c r="P1321" s="22" t="n">
        <x:f>IF(T1321="Ready",MIN(U1321,MAX(0,G1321-SUMIFS($U$1317:$U$1321,$O$1317:$O$1321,"&lt;"&amp;O1321))),"n.a.")</x:f>
        <x:v>0</x:v>
      </x:c>
      <x:c r="Q1321" s="22" t="n">
        <x:f>IF(T1321="Ready",ROUND(N1321+P1321,2),"n.a.")</x:f>
        <x:v>0</x:v>
      </x:c>
      <x:c r="R1321" s="22" t="n">
        <x:f>IF(T1321="Ready",ROUND(Q1321-M1321,2),"n.a.")</x:f>
        <x:v>0</x:v>
      </x:c>
      <x:c r="S1321" s="22" t="n">
        <x:f>IF(T1321="Ready",MAX(0,ROUND(I1321+M1321-Q1321,2)),"n.a.")</x:f>
        <x:v>0</x:v>
      </x:c>
      <x:c r="T1321" s="22" t="str">
        <x:f>IF(AND(COUNT($I$1317:$I$1321)=5,COUNT(E1321:F1321)=2),IF(E1321&gt;=F1321,"Ready","Budget below minima"),"Check inputs")</x:f>
        <x:v>Ready</x:v>
      </x:c>
      <x:c r="U1321" s="22" t="n">
        <x:f>IF(COUNT(I1321,M1321,N1321)=3,MAX(0,ROUND(I1321+M1321-N1321,2)),"n.a.")</x:f>
        <x:v>0</x:v>
      </x:c>
    </x:row>
    <x:row r="1322" ht="22" customHeight="1">
      <x:c r="A1322" s="2"/>
      <x:c r="B1322" s="2"/>
      <x:c r="C1322" s="27" t="n">
        <x:f>264</x:f>
        <x:v>264</x:v>
      </x:c>
      <x:c r="D1322" s="28" t="n">
        <x:f>IF(ISNUMBER('Inputs'!$D$7),EDATE('Inputs'!$D$7,263),"n.a.")</x:f>
        <x:v>54332</x:v>
      </x:c>
      <x:c r="E1322" s="26" t="n">
        <x:f>IF('Inputs'!$D$9&lt;&gt;"Ready","n.a.",IF(ISNUMBER('Inputs'!E282),IF('Inputs'!E282&gt;=0,'Inputs'!E282,"n.a."),IF('Inputs'!E282="",'Inputs'!$D$6,"n.a.")))</x:f>
        <x:v>500</x:v>
      </x:c>
      <x:c r="F1322" s="22" t="n">
        <x:f>IF(COUNT($N$1322:$N$1326)=5,SUM($N$1322:$N$1326),"n.a.")</x:f>
        <x:v>0</x:v>
      </x:c>
      <x:c r="G1322" s="22" t="n">
        <x:f>IF(COUNT(E1322:F1322)=2,MAX(0,E1322-F1322),"n.a.")</x:f>
        <x:v>500</x:v>
      </x:c>
      <x:c r="H1322" s="26" t="str">
        <x:f>'Inputs'!C11</x:f>
        <x:v>Card A</x:v>
      </x:c>
      <x:c r="I1322" s="26" t="n">
        <x:f>S1317</x:f>
        <x:v>0</x:v>
      </x:c>
      <x:c r="J1322" s="29" t="n">
        <x:f>IF('Inputs'!$D$9="Ready",'Inputs'!E11,"n.a.")</x:f>
        <x:v>0.24</x:v>
      </x:c>
      <x:c r="K1322" s="26" t="n">
        <x:f>IF('Inputs'!$D$9="Ready",'Inputs'!F11,"n.a.")</x:f>
        <x:v>35</x:v>
      </x:c>
      <x:c r="L1322" s="29" t="n">
        <x:f>IF('Inputs'!$D$9="Ready",'Inputs'!G11,"n.a.")</x:f>
        <x:v>0.02</x:v>
      </x:c>
      <x:c r="M1322" s="22" t="n">
        <x:f>IF(COUNT(I1322:L1322)=4,ROUND(I1322*J1322/12,2),"n.a.")</x:f>
        <x:v>0</x:v>
      </x:c>
      <x:c r="N1322" s="22" t="n">
        <x:f>IF(COUNT(I1322:M1322)=5,MIN(I1322+M1322,ROUND(MAX(K1322,I1322*L1322+M1322),2)),"n.a.")</x:f>
        <x:v>0</x:v>
      </x:c>
      <x:c r="O1322" s="30" t="n">
        <x:f>IF(COUNT($I$1322:$I$1326)&lt;&gt;5,"n.a.",IF(I1322=0,6,IF('Inputs'!$D$5=1,COUNTIFS($I$1322:$I$1326,"&gt;0",$I$1322:$I$1326,"&lt;"&amp;I1322)+COUNTIFS($I$1322:I1322,I1322),COUNTIFS($I$1322:$I$1326,"&gt;0",$J$1322:$J$1326,"&gt;"&amp;J1322)+COUNTIFS($I$1322:I1322,"&gt;0",$J$1322:J1322,J1322))))</x:f>
        <x:v>6</x:v>
      </x:c>
      <x:c r="P1322" s="22" t="n">
        <x:f>IF(T1322="Ready",MIN(U1322,MAX(0,G1322-SUMIFS($U$1322:$U$1326,$O$1322:$O$1326,"&lt;"&amp;O1322))),"n.a.")</x:f>
        <x:v>0</x:v>
      </x:c>
      <x:c r="Q1322" s="22" t="n">
        <x:f>IF(T1322="Ready",ROUND(N1322+P1322,2),"n.a.")</x:f>
        <x:v>0</x:v>
      </x:c>
      <x:c r="R1322" s="22" t="n">
        <x:f>IF(T1322="Ready",ROUND(Q1322-M1322,2),"n.a.")</x:f>
        <x:v>0</x:v>
      </x:c>
      <x:c r="S1322" s="22" t="n">
        <x:f>IF(T1322="Ready",MAX(0,ROUND(I1322+M1322-Q1322,2)),"n.a.")</x:f>
        <x:v>0</x:v>
      </x:c>
      <x:c r="T1322" s="22" t="str">
        <x:f>IF(AND(COUNT($I$1322:$I$1326)=5,COUNT(E1322:F1322)=2),IF(E1322&gt;=F1322,"Ready","Budget below minima"),"Check inputs")</x:f>
        <x:v>Ready</x:v>
      </x:c>
      <x:c r="U1322" s="22" t="n">
        <x:f>IF(COUNT(I1322,M1322,N1322)=3,MAX(0,ROUND(I1322+M1322-N1322,2)),"n.a.")</x:f>
        <x:v>0</x:v>
      </x:c>
    </x:row>
    <x:row r="1323" ht="22" customHeight="1">
      <x:c r="A1323" s="2"/>
      <x:c r="B1323" s="2"/>
      <x:c r="C1323" s="27" t="n">
        <x:f>264</x:f>
        <x:v>264</x:v>
      </x:c>
      <x:c r="D1323" s="28" t="n">
        <x:f>IF(ISNUMBER('Inputs'!$D$7),EDATE('Inputs'!$D$7,263),"n.a.")</x:f>
        <x:v>54332</x:v>
      </x:c>
      <x:c r="E1323" s="26" t="n">
        <x:f>IF('Inputs'!$D$9&lt;&gt;"Ready","n.a.",IF(ISNUMBER('Inputs'!E282),IF('Inputs'!E282&gt;=0,'Inputs'!E282,"n.a."),IF('Inputs'!E282="",'Inputs'!$D$6,"n.a.")))</x:f>
        <x:v>500</x:v>
      </x:c>
      <x:c r="F1323" s="22" t="n">
        <x:f>IF(COUNT($N$1322:$N$1326)=5,SUM($N$1322:$N$1326),"n.a.")</x:f>
        <x:v>0</x:v>
      </x:c>
      <x:c r="G1323" s="22" t="n">
        <x:f>IF(COUNT(E1323:F1323)=2,MAX(0,E1323-F1323),"n.a.")</x:f>
        <x:v>500</x:v>
      </x:c>
      <x:c r="H1323" s="26" t="str">
        <x:f>'Inputs'!C12</x:f>
        <x:v>Card B</x:v>
      </x:c>
      <x:c r="I1323" s="26" t="n">
        <x:f>S1318</x:f>
        <x:v>0</x:v>
      </x:c>
      <x:c r="J1323" s="29" t="n">
        <x:f>IF('Inputs'!$D$9="Ready",'Inputs'!E12,"n.a.")</x:f>
        <x:v>0.18</x:v>
      </x:c>
      <x:c r="K1323" s="26" t="n">
        <x:f>IF('Inputs'!$D$9="Ready",'Inputs'!F12,"n.a.")</x:f>
        <x:v>60</x:v>
      </x:c>
      <x:c r="L1323" s="29" t="n">
        <x:f>IF('Inputs'!$D$9="Ready",'Inputs'!G12,"n.a.")</x:f>
        <x:v>0.02</x:v>
      </x:c>
      <x:c r="M1323" s="22" t="n">
        <x:f>IF(COUNT(I1323:L1323)=4,ROUND(I1323*J1323/12,2),"n.a.")</x:f>
        <x:v>0</x:v>
      </x:c>
      <x:c r="N1323" s="22" t="n">
        <x:f>IF(COUNT(I1323:M1323)=5,MIN(I1323+M1323,ROUND(MAX(K1323,I1323*L1323+M1323),2)),"n.a.")</x:f>
        <x:v>0</x:v>
      </x:c>
      <x:c r="O1323" s="30" t="n">
        <x:f>IF(COUNT($I$1322:$I$1326)&lt;&gt;5,"n.a.",IF(I1323=0,6,IF('Inputs'!$D$5=1,COUNTIFS($I$1322:$I$1326,"&gt;0",$I$1322:$I$1326,"&lt;"&amp;I1323)+COUNTIFS($I$1322:I1323,I1323),COUNTIFS($I$1322:$I$1326,"&gt;0",$J$1322:$J$1326,"&gt;"&amp;J1323)+COUNTIFS($I$1322:I1323,"&gt;0",$J$1322:J1323,J1323))))</x:f>
        <x:v>6</x:v>
      </x:c>
      <x:c r="P1323" s="22" t="n">
        <x:f>IF(T1323="Ready",MIN(U1323,MAX(0,G1323-SUMIFS($U$1322:$U$1326,$O$1322:$O$1326,"&lt;"&amp;O1323))),"n.a.")</x:f>
        <x:v>0</x:v>
      </x:c>
      <x:c r="Q1323" s="22" t="n">
        <x:f>IF(T1323="Ready",ROUND(N1323+P1323,2),"n.a.")</x:f>
        <x:v>0</x:v>
      </x:c>
      <x:c r="R1323" s="22" t="n">
        <x:f>IF(T1323="Ready",ROUND(Q1323-M1323,2),"n.a.")</x:f>
        <x:v>0</x:v>
      </x:c>
      <x:c r="S1323" s="22" t="n">
        <x:f>IF(T1323="Ready",MAX(0,ROUND(I1323+M1323-Q1323,2)),"n.a.")</x:f>
        <x:v>0</x:v>
      </x:c>
      <x:c r="T1323" s="22" t="str">
        <x:f>IF(AND(COUNT($I$1322:$I$1326)=5,COUNT(E1323:F1323)=2),IF(E1323&gt;=F1323,"Ready","Budget below minima"),"Check inputs")</x:f>
        <x:v>Ready</x:v>
      </x:c>
      <x:c r="U1323" s="22" t="n">
        <x:f>IF(COUNT(I1323,M1323,N1323)=3,MAX(0,ROUND(I1323+M1323-N1323,2)),"n.a.")</x:f>
        <x:v>0</x:v>
      </x:c>
    </x:row>
    <x:row r="1324" ht="22" customHeight="1">
      <x:c r="A1324" s="2"/>
      <x:c r="B1324" s="2"/>
      <x:c r="C1324" s="27" t="n">
        <x:f>264</x:f>
        <x:v>264</x:v>
      </x:c>
      <x:c r="D1324" s="28" t="n">
        <x:f>IF(ISNUMBER('Inputs'!$D$7),EDATE('Inputs'!$D$7,263),"n.a.")</x:f>
        <x:v>54332</x:v>
      </x:c>
      <x:c r="E1324" s="26" t="n">
        <x:f>IF('Inputs'!$D$9&lt;&gt;"Ready","n.a.",IF(ISNUMBER('Inputs'!E282),IF('Inputs'!E282&gt;=0,'Inputs'!E282,"n.a."),IF('Inputs'!E282="",'Inputs'!$D$6,"n.a.")))</x:f>
        <x:v>500</x:v>
      </x:c>
      <x:c r="F1324" s="22" t="n">
        <x:f>IF(COUNT($N$1322:$N$1326)=5,SUM($N$1322:$N$1326),"n.a.")</x:f>
        <x:v>0</x:v>
      </x:c>
      <x:c r="G1324" s="22" t="n">
        <x:f>IF(COUNT(E1324:F1324)=2,MAX(0,E1324-F1324),"n.a.")</x:f>
        <x:v>500</x:v>
      </x:c>
      <x:c r="H1324" s="26" t="str">
        <x:f>'Inputs'!C13</x:f>
        <x:v>Loan C</x:v>
      </x:c>
      <x:c r="I1324" s="26" t="n">
        <x:f>S1319</x:f>
        <x:v>0</x:v>
      </x:c>
      <x:c r="J1324" s="29" t="n">
        <x:f>IF('Inputs'!$D$9="Ready",'Inputs'!E13,"n.a.")</x:f>
        <x:v>0.08</x:v>
      </x:c>
      <x:c r="K1324" s="26" t="n">
        <x:f>IF('Inputs'!$D$9="Ready",'Inputs'!F13,"n.a.")</x:f>
        <x:v>150</x:v>
      </x:c>
      <x:c r="L1324" s="29" t="n">
        <x:f>IF('Inputs'!$D$9="Ready",'Inputs'!G13,"n.a.")</x:f>
        <x:v>0</x:v>
      </x:c>
      <x:c r="M1324" s="22" t="n">
        <x:f>IF(COUNT(I1324:L1324)=4,ROUND(I1324*J1324/12,2),"n.a.")</x:f>
        <x:v>0</x:v>
      </x:c>
      <x:c r="N1324" s="22" t="n">
        <x:f>IF(COUNT(I1324:M1324)=5,MIN(I1324+M1324,ROUND(MAX(K1324,I1324*L1324+M1324),2)),"n.a.")</x:f>
        <x:v>0</x:v>
      </x:c>
      <x:c r="O1324" s="30" t="n">
        <x:f>IF(COUNT($I$1322:$I$1326)&lt;&gt;5,"n.a.",IF(I1324=0,6,IF('Inputs'!$D$5=1,COUNTIFS($I$1322:$I$1326,"&gt;0",$I$1322:$I$1326,"&lt;"&amp;I1324)+COUNTIFS($I$1322:I1324,I1324),COUNTIFS($I$1322:$I$1326,"&gt;0",$J$1322:$J$1326,"&gt;"&amp;J1324)+COUNTIFS($I$1322:I1324,"&gt;0",$J$1322:J1324,J1324))))</x:f>
        <x:v>6</x:v>
      </x:c>
      <x:c r="P1324" s="22" t="n">
        <x:f>IF(T1324="Ready",MIN(U1324,MAX(0,G1324-SUMIFS($U$1322:$U$1326,$O$1322:$O$1326,"&lt;"&amp;O1324))),"n.a.")</x:f>
        <x:v>0</x:v>
      </x:c>
      <x:c r="Q1324" s="22" t="n">
        <x:f>IF(T1324="Ready",ROUND(N1324+P1324,2),"n.a.")</x:f>
        <x:v>0</x:v>
      </x:c>
      <x:c r="R1324" s="22" t="n">
        <x:f>IF(T1324="Ready",ROUND(Q1324-M1324,2),"n.a.")</x:f>
        <x:v>0</x:v>
      </x:c>
      <x:c r="S1324" s="22" t="n">
        <x:f>IF(T1324="Ready",MAX(0,ROUND(I1324+M1324-Q1324,2)),"n.a.")</x:f>
        <x:v>0</x:v>
      </x:c>
      <x:c r="T1324" s="22" t="str">
        <x:f>IF(AND(COUNT($I$1322:$I$1326)=5,COUNT(E1324:F1324)=2),IF(E1324&gt;=F1324,"Ready","Budget below minima"),"Check inputs")</x:f>
        <x:v>Ready</x:v>
      </x:c>
      <x:c r="U1324" s="22" t="n">
        <x:f>IF(COUNT(I1324,M1324,N1324)=3,MAX(0,ROUND(I1324+M1324-N1324,2)),"n.a.")</x:f>
        <x:v>0</x:v>
      </x:c>
    </x:row>
    <x:row r="1325" ht="22" customHeight="1">
      <x:c r="A1325" s="2"/>
      <x:c r="B1325" s="2"/>
      <x:c r="C1325" s="27" t="n">
        <x:f>264</x:f>
        <x:v>264</x:v>
      </x:c>
      <x:c r="D1325" s="28" t="n">
        <x:f>IF(ISNUMBER('Inputs'!$D$7),EDATE('Inputs'!$D$7,263),"n.a.")</x:f>
        <x:v>54332</x:v>
      </x:c>
      <x:c r="E1325" s="26" t="n">
        <x:f>IF('Inputs'!$D$9&lt;&gt;"Ready","n.a.",IF(ISNUMBER('Inputs'!E282),IF('Inputs'!E282&gt;=0,'Inputs'!E282,"n.a."),IF('Inputs'!E282="",'Inputs'!$D$6,"n.a.")))</x:f>
        <x:v>500</x:v>
      </x:c>
      <x:c r="F1325" s="22" t="n">
        <x:f>IF(COUNT($N$1322:$N$1326)=5,SUM($N$1322:$N$1326),"n.a.")</x:f>
        <x:v>0</x:v>
      </x:c>
      <x:c r="G1325" s="22" t="n">
        <x:f>IF(COUNT(E1325:F1325)=2,MAX(0,E1325-F1325),"n.a.")</x:f>
        <x:v>500</x:v>
      </x:c>
      <x:c r="H1325" s="26" t="str">
        <x:f>'Inputs'!C14</x:f>
        <x:v>Unused 4</x:v>
      </x:c>
      <x:c r="I1325" s="26" t="n">
        <x:f>S1320</x:f>
        <x:v>0</x:v>
      </x:c>
      <x:c r="J1325" s="29" t="n">
        <x:f>IF('Inputs'!$D$9="Ready",'Inputs'!E14,"n.a.")</x:f>
        <x:v>0</x:v>
      </x:c>
      <x:c r="K1325" s="26" t="n">
        <x:f>IF('Inputs'!$D$9="Ready",'Inputs'!F14,"n.a.")</x:f>
        <x:v>0</x:v>
      </x:c>
      <x:c r="L1325" s="29" t="n">
        <x:f>IF('Inputs'!$D$9="Ready",'Inputs'!G14,"n.a.")</x:f>
        <x:v>0</x:v>
      </x:c>
      <x:c r="M1325" s="22" t="n">
        <x:f>IF(COUNT(I1325:L1325)=4,ROUND(I1325*J1325/12,2),"n.a.")</x:f>
        <x:v>0</x:v>
      </x:c>
      <x:c r="N1325" s="22" t="n">
        <x:f>IF(COUNT(I1325:M1325)=5,MIN(I1325+M1325,ROUND(MAX(K1325,I1325*L1325+M1325),2)),"n.a.")</x:f>
        <x:v>0</x:v>
      </x:c>
      <x:c r="O1325" s="30" t="n">
        <x:f>IF(COUNT($I$1322:$I$1326)&lt;&gt;5,"n.a.",IF(I1325=0,6,IF('Inputs'!$D$5=1,COUNTIFS($I$1322:$I$1326,"&gt;0",$I$1322:$I$1326,"&lt;"&amp;I1325)+COUNTIFS($I$1322:I1325,I1325),COUNTIFS($I$1322:$I$1326,"&gt;0",$J$1322:$J$1326,"&gt;"&amp;J1325)+COUNTIFS($I$1322:I1325,"&gt;0",$J$1322:J1325,J1325))))</x:f>
        <x:v>6</x:v>
      </x:c>
      <x:c r="P1325" s="22" t="n">
        <x:f>IF(T1325="Ready",MIN(U1325,MAX(0,G1325-SUMIFS($U$1322:$U$1326,$O$1322:$O$1326,"&lt;"&amp;O1325))),"n.a.")</x:f>
        <x:v>0</x:v>
      </x:c>
      <x:c r="Q1325" s="22" t="n">
        <x:f>IF(T1325="Ready",ROUND(N1325+P1325,2),"n.a.")</x:f>
        <x:v>0</x:v>
      </x:c>
      <x:c r="R1325" s="22" t="n">
        <x:f>IF(T1325="Ready",ROUND(Q1325-M1325,2),"n.a.")</x:f>
        <x:v>0</x:v>
      </x:c>
      <x:c r="S1325" s="22" t="n">
        <x:f>IF(T1325="Ready",MAX(0,ROUND(I1325+M1325-Q1325,2)),"n.a.")</x:f>
        <x:v>0</x:v>
      </x:c>
      <x:c r="T1325" s="22" t="str">
        <x:f>IF(AND(COUNT($I$1322:$I$1326)=5,COUNT(E1325:F1325)=2),IF(E1325&gt;=F1325,"Ready","Budget below minima"),"Check inputs")</x:f>
        <x:v>Ready</x:v>
      </x:c>
      <x:c r="U1325" s="22" t="n">
        <x:f>IF(COUNT(I1325,M1325,N1325)=3,MAX(0,ROUND(I1325+M1325-N1325,2)),"n.a.")</x:f>
        <x:v>0</x:v>
      </x:c>
    </x:row>
    <x:row r="1326" ht="22" customHeight="1">
      <x:c r="A1326" s="2"/>
      <x:c r="B1326" s="2"/>
      <x:c r="C1326" s="27" t="n">
        <x:f>264</x:f>
        <x:v>264</x:v>
      </x:c>
      <x:c r="D1326" s="28" t="n">
        <x:f>IF(ISNUMBER('Inputs'!$D$7),EDATE('Inputs'!$D$7,263),"n.a.")</x:f>
        <x:v>54332</x:v>
      </x:c>
      <x:c r="E1326" s="26" t="n">
        <x:f>IF('Inputs'!$D$9&lt;&gt;"Ready","n.a.",IF(ISNUMBER('Inputs'!E282),IF('Inputs'!E282&gt;=0,'Inputs'!E282,"n.a."),IF('Inputs'!E282="",'Inputs'!$D$6,"n.a.")))</x:f>
        <x:v>500</x:v>
      </x:c>
      <x:c r="F1326" s="22" t="n">
        <x:f>IF(COUNT($N$1322:$N$1326)=5,SUM($N$1322:$N$1326),"n.a.")</x:f>
        <x:v>0</x:v>
      </x:c>
      <x:c r="G1326" s="22" t="n">
        <x:f>IF(COUNT(E1326:F1326)=2,MAX(0,E1326-F1326),"n.a.")</x:f>
        <x:v>500</x:v>
      </x:c>
      <x:c r="H1326" s="26" t="str">
        <x:f>'Inputs'!C15</x:f>
        <x:v>Unused 5</x:v>
      </x:c>
      <x:c r="I1326" s="26" t="n">
        <x:f>S1321</x:f>
        <x:v>0</x:v>
      </x:c>
      <x:c r="J1326" s="29" t="n">
        <x:f>IF('Inputs'!$D$9="Ready",'Inputs'!E15,"n.a.")</x:f>
        <x:v>0</x:v>
      </x:c>
      <x:c r="K1326" s="26" t="n">
        <x:f>IF('Inputs'!$D$9="Ready",'Inputs'!F15,"n.a.")</x:f>
        <x:v>0</x:v>
      </x:c>
      <x:c r="L1326" s="29" t="n">
        <x:f>IF('Inputs'!$D$9="Ready",'Inputs'!G15,"n.a.")</x:f>
        <x:v>0</x:v>
      </x:c>
      <x:c r="M1326" s="22" t="n">
        <x:f>IF(COUNT(I1326:L1326)=4,ROUND(I1326*J1326/12,2),"n.a.")</x:f>
        <x:v>0</x:v>
      </x:c>
      <x:c r="N1326" s="22" t="n">
        <x:f>IF(COUNT(I1326:M1326)=5,MIN(I1326+M1326,ROUND(MAX(K1326,I1326*L1326+M1326),2)),"n.a.")</x:f>
        <x:v>0</x:v>
      </x:c>
      <x:c r="O1326" s="30" t="n">
        <x:f>IF(COUNT($I$1322:$I$1326)&lt;&gt;5,"n.a.",IF(I1326=0,6,IF('Inputs'!$D$5=1,COUNTIFS($I$1322:$I$1326,"&gt;0",$I$1322:$I$1326,"&lt;"&amp;I1326)+COUNTIFS($I$1322:I1326,I1326),COUNTIFS($I$1322:$I$1326,"&gt;0",$J$1322:$J$1326,"&gt;"&amp;J1326)+COUNTIFS($I$1322:I1326,"&gt;0",$J$1322:J1326,J1326))))</x:f>
        <x:v>6</x:v>
      </x:c>
      <x:c r="P1326" s="22" t="n">
        <x:f>IF(T1326="Ready",MIN(U1326,MAX(0,G1326-SUMIFS($U$1322:$U$1326,$O$1322:$O$1326,"&lt;"&amp;O1326))),"n.a.")</x:f>
        <x:v>0</x:v>
      </x:c>
      <x:c r="Q1326" s="22" t="n">
        <x:f>IF(T1326="Ready",ROUND(N1326+P1326,2),"n.a.")</x:f>
        <x:v>0</x:v>
      </x:c>
      <x:c r="R1326" s="22" t="n">
        <x:f>IF(T1326="Ready",ROUND(Q1326-M1326,2),"n.a.")</x:f>
        <x:v>0</x:v>
      </x:c>
      <x:c r="S1326" s="22" t="n">
        <x:f>IF(T1326="Ready",MAX(0,ROUND(I1326+M1326-Q1326,2)),"n.a.")</x:f>
        <x:v>0</x:v>
      </x:c>
      <x:c r="T1326" s="22" t="str">
        <x:f>IF(AND(COUNT($I$1322:$I$1326)=5,COUNT(E1326:F1326)=2),IF(E1326&gt;=F1326,"Ready","Budget below minima"),"Check inputs")</x:f>
        <x:v>Ready</x:v>
      </x:c>
      <x:c r="U1326" s="22" t="n">
        <x:f>IF(COUNT(I1326,M1326,N1326)=3,MAX(0,ROUND(I1326+M1326-N1326,2)),"n.a.")</x:f>
        <x:v>0</x:v>
      </x:c>
    </x:row>
    <x:row r="1327" ht="22" customHeight="1">
      <x:c r="A1327" s="2"/>
      <x:c r="B1327" s="2"/>
      <x:c r="C1327" s="27" t="n">
        <x:f>265</x:f>
        <x:v>265</x:v>
      </x:c>
      <x:c r="D1327" s="28" t="n">
        <x:f>IF(ISNUMBER('Inputs'!$D$7),EDATE('Inputs'!$D$7,264),"n.a.")</x:f>
        <x:v>54363</x:v>
      </x:c>
      <x:c r="E1327" s="26" t="n">
        <x:f>IF('Inputs'!$D$9&lt;&gt;"Ready","n.a.",IF(ISNUMBER('Inputs'!E283),IF('Inputs'!E283&gt;=0,'Inputs'!E283,"n.a."),IF('Inputs'!E283="",'Inputs'!$D$6,"n.a.")))</x:f>
        <x:v>500</x:v>
      </x:c>
      <x:c r="F1327" s="22" t="n">
        <x:f>IF(COUNT($N$1327:$N$1331)=5,SUM($N$1327:$N$1331),"n.a.")</x:f>
        <x:v>0</x:v>
      </x:c>
      <x:c r="G1327" s="22" t="n">
        <x:f>IF(COUNT(E1327:F1327)=2,MAX(0,E1327-F1327),"n.a.")</x:f>
        <x:v>500</x:v>
      </x:c>
      <x:c r="H1327" s="26" t="str">
        <x:f>'Inputs'!C11</x:f>
        <x:v>Card A</x:v>
      </x:c>
      <x:c r="I1327" s="26" t="n">
        <x:f>S1322</x:f>
        <x:v>0</x:v>
      </x:c>
      <x:c r="J1327" s="29" t="n">
        <x:f>IF('Inputs'!$D$9="Ready",'Inputs'!E11,"n.a.")</x:f>
        <x:v>0.24</x:v>
      </x:c>
      <x:c r="K1327" s="26" t="n">
        <x:f>IF('Inputs'!$D$9="Ready",'Inputs'!F11,"n.a.")</x:f>
        <x:v>35</x:v>
      </x:c>
      <x:c r="L1327" s="29" t="n">
        <x:f>IF('Inputs'!$D$9="Ready",'Inputs'!G11,"n.a.")</x:f>
        <x:v>0.02</x:v>
      </x:c>
      <x:c r="M1327" s="22" t="n">
        <x:f>IF(COUNT(I1327:L1327)=4,ROUND(I1327*J1327/12,2),"n.a.")</x:f>
        <x:v>0</x:v>
      </x:c>
      <x:c r="N1327" s="22" t="n">
        <x:f>IF(COUNT(I1327:M1327)=5,MIN(I1327+M1327,ROUND(MAX(K1327,I1327*L1327+M1327),2)),"n.a.")</x:f>
        <x:v>0</x:v>
      </x:c>
      <x:c r="O1327" s="30" t="n">
        <x:f>IF(COUNT($I$1327:$I$1331)&lt;&gt;5,"n.a.",IF(I1327=0,6,IF('Inputs'!$D$5=1,COUNTIFS($I$1327:$I$1331,"&gt;0",$I$1327:$I$1331,"&lt;"&amp;I1327)+COUNTIFS($I$1327:I1327,I1327),COUNTIFS($I$1327:$I$1331,"&gt;0",$J$1327:$J$1331,"&gt;"&amp;J1327)+COUNTIFS($I$1327:I1327,"&gt;0",$J$1327:J1327,J1327))))</x:f>
        <x:v>6</x:v>
      </x:c>
      <x:c r="P1327" s="22" t="n">
        <x:f>IF(T1327="Ready",MIN(U1327,MAX(0,G1327-SUMIFS($U$1327:$U$1331,$O$1327:$O$1331,"&lt;"&amp;O1327))),"n.a.")</x:f>
        <x:v>0</x:v>
      </x:c>
      <x:c r="Q1327" s="22" t="n">
        <x:f>IF(T1327="Ready",ROUND(N1327+P1327,2),"n.a.")</x:f>
        <x:v>0</x:v>
      </x:c>
      <x:c r="R1327" s="22" t="n">
        <x:f>IF(T1327="Ready",ROUND(Q1327-M1327,2),"n.a.")</x:f>
        <x:v>0</x:v>
      </x:c>
      <x:c r="S1327" s="22" t="n">
        <x:f>IF(T1327="Ready",MAX(0,ROUND(I1327+M1327-Q1327,2)),"n.a.")</x:f>
        <x:v>0</x:v>
      </x:c>
      <x:c r="T1327" s="22" t="str">
        <x:f>IF(AND(COUNT($I$1327:$I$1331)=5,COUNT(E1327:F1327)=2),IF(E1327&gt;=F1327,"Ready","Budget below minima"),"Check inputs")</x:f>
        <x:v>Ready</x:v>
      </x:c>
      <x:c r="U1327" s="22" t="n">
        <x:f>IF(COUNT(I1327,M1327,N1327)=3,MAX(0,ROUND(I1327+M1327-N1327,2)),"n.a.")</x:f>
        <x:v>0</x:v>
      </x:c>
    </x:row>
    <x:row r="1328" ht="22" customHeight="1">
      <x:c r="A1328" s="2"/>
      <x:c r="B1328" s="2"/>
      <x:c r="C1328" s="27" t="n">
        <x:f>265</x:f>
        <x:v>265</x:v>
      </x:c>
      <x:c r="D1328" s="28" t="n">
        <x:f>IF(ISNUMBER('Inputs'!$D$7),EDATE('Inputs'!$D$7,264),"n.a.")</x:f>
        <x:v>54363</x:v>
      </x:c>
      <x:c r="E1328" s="26" t="n">
        <x:f>IF('Inputs'!$D$9&lt;&gt;"Ready","n.a.",IF(ISNUMBER('Inputs'!E283),IF('Inputs'!E283&gt;=0,'Inputs'!E283,"n.a."),IF('Inputs'!E283="",'Inputs'!$D$6,"n.a.")))</x:f>
        <x:v>500</x:v>
      </x:c>
      <x:c r="F1328" s="22" t="n">
        <x:f>IF(COUNT($N$1327:$N$1331)=5,SUM($N$1327:$N$1331),"n.a.")</x:f>
        <x:v>0</x:v>
      </x:c>
      <x:c r="G1328" s="22" t="n">
        <x:f>IF(COUNT(E1328:F1328)=2,MAX(0,E1328-F1328),"n.a.")</x:f>
        <x:v>500</x:v>
      </x:c>
      <x:c r="H1328" s="26" t="str">
        <x:f>'Inputs'!C12</x:f>
        <x:v>Card B</x:v>
      </x:c>
      <x:c r="I1328" s="26" t="n">
        <x:f>S1323</x:f>
        <x:v>0</x:v>
      </x:c>
      <x:c r="J1328" s="29" t="n">
        <x:f>IF('Inputs'!$D$9="Ready",'Inputs'!E12,"n.a.")</x:f>
        <x:v>0.18</x:v>
      </x:c>
      <x:c r="K1328" s="26" t="n">
        <x:f>IF('Inputs'!$D$9="Ready",'Inputs'!F12,"n.a.")</x:f>
        <x:v>60</x:v>
      </x:c>
      <x:c r="L1328" s="29" t="n">
        <x:f>IF('Inputs'!$D$9="Ready",'Inputs'!G12,"n.a.")</x:f>
        <x:v>0.02</x:v>
      </x:c>
      <x:c r="M1328" s="22" t="n">
        <x:f>IF(COUNT(I1328:L1328)=4,ROUND(I1328*J1328/12,2),"n.a.")</x:f>
        <x:v>0</x:v>
      </x:c>
      <x:c r="N1328" s="22" t="n">
        <x:f>IF(COUNT(I1328:M1328)=5,MIN(I1328+M1328,ROUND(MAX(K1328,I1328*L1328+M1328),2)),"n.a.")</x:f>
        <x:v>0</x:v>
      </x:c>
      <x:c r="O1328" s="30" t="n">
        <x:f>IF(COUNT($I$1327:$I$1331)&lt;&gt;5,"n.a.",IF(I1328=0,6,IF('Inputs'!$D$5=1,COUNTIFS($I$1327:$I$1331,"&gt;0",$I$1327:$I$1331,"&lt;"&amp;I1328)+COUNTIFS($I$1327:I1328,I1328),COUNTIFS($I$1327:$I$1331,"&gt;0",$J$1327:$J$1331,"&gt;"&amp;J1328)+COUNTIFS($I$1327:I1328,"&gt;0",$J$1327:J1328,J1328))))</x:f>
        <x:v>6</x:v>
      </x:c>
      <x:c r="P1328" s="22" t="n">
        <x:f>IF(T1328="Ready",MIN(U1328,MAX(0,G1328-SUMIFS($U$1327:$U$1331,$O$1327:$O$1331,"&lt;"&amp;O1328))),"n.a.")</x:f>
        <x:v>0</x:v>
      </x:c>
      <x:c r="Q1328" s="22" t="n">
        <x:f>IF(T1328="Ready",ROUND(N1328+P1328,2),"n.a.")</x:f>
        <x:v>0</x:v>
      </x:c>
      <x:c r="R1328" s="22" t="n">
        <x:f>IF(T1328="Ready",ROUND(Q1328-M1328,2),"n.a.")</x:f>
        <x:v>0</x:v>
      </x:c>
      <x:c r="S1328" s="22" t="n">
        <x:f>IF(T1328="Ready",MAX(0,ROUND(I1328+M1328-Q1328,2)),"n.a.")</x:f>
        <x:v>0</x:v>
      </x:c>
      <x:c r="T1328" s="22" t="str">
        <x:f>IF(AND(COUNT($I$1327:$I$1331)=5,COUNT(E1328:F1328)=2),IF(E1328&gt;=F1328,"Ready","Budget below minima"),"Check inputs")</x:f>
        <x:v>Ready</x:v>
      </x:c>
      <x:c r="U1328" s="22" t="n">
        <x:f>IF(COUNT(I1328,M1328,N1328)=3,MAX(0,ROUND(I1328+M1328-N1328,2)),"n.a.")</x:f>
        <x:v>0</x:v>
      </x:c>
    </x:row>
    <x:row r="1329" ht="22" customHeight="1">
      <x:c r="A1329" s="2"/>
      <x:c r="B1329" s="2"/>
      <x:c r="C1329" s="27" t="n">
        <x:f>265</x:f>
        <x:v>265</x:v>
      </x:c>
      <x:c r="D1329" s="28" t="n">
        <x:f>IF(ISNUMBER('Inputs'!$D$7),EDATE('Inputs'!$D$7,264),"n.a.")</x:f>
        <x:v>54363</x:v>
      </x:c>
      <x:c r="E1329" s="26" t="n">
        <x:f>IF('Inputs'!$D$9&lt;&gt;"Ready","n.a.",IF(ISNUMBER('Inputs'!E283),IF('Inputs'!E283&gt;=0,'Inputs'!E283,"n.a."),IF('Inputs'!E283="",'Inputs'!$D$6,"n.a.")))</x:f>
        <x:v>500</x:v>
      </x:c>
      <x:c r="F1329" s="22" t="n">
        <x:f>IF(COUNT($N$1327:$N$1331)=5,SUM($N$1327:$N$1331),"n.a.")</x:f>
        <x:v>0</x:v>
      </x:c>
      <x:c r="G1329" s="22" t="n">
        <x:f>IF(COUNT(E1329:F1329)=2,MAX(0,E1329-F1329),"n.a.")</x:f>
        <x:v>500</x:v>
      </x:c>
      <x:c r="H1329" s="26" t="str">
        <x:f>'Inputs'!C13</x:f>
        <x:v>Loan C</x:v>
      </x:c>
      <x:c r="I1329" s="26" t="n">
        <x:f>S1324</x:f>
        <x:v>0</x:v>
      </x:c>
      <x:c r="J1329" s="29" t="n">
        <x:f>IF('Inputs'!$D$9="Ready",'Inputs'!E13,"n.a.")</x:f>
        <x:v>0.08</x:v>
      </x:c>
      <x:c r="K1329" s="26" t="n">
        <x:f>IF('Inputs'!$D$9="Ready",'Inputs'!F13,"n.a.")</x:f>
        <x:v>150</x:v>
      </x:c>
      <x:c r="L1329" s="29" t="n">
        <x:f>IF('Inputs'!$D$9="Ready",'Inputs'!G13,"n.a.")</x:f>
        <x:v>0</x:v>
      </x:c>
      <x:c r="M1329" s="22" t="n">
        <x:f>IF(COUNT(I1329:L1329)=4,ROUND(I1329*J1329/12,2),"n.a.")</x:f>
        <x:v>0</x:v>
      </x:c>
      <x:c r="N1329" s="22" t="n">
        <x:f>IF(COUNT(I1329:M1329)=5,MIN(I1329+M1329,ROUND(MAX(K1329,I1329*L1329+M1329),2)),"n.a.")</x:f>
        <x:v>0</x:v>
      </x:c>
      <x:c r="O1329" s="30" t="n">
        <x:f>IF(COUNT($I$1327:$I$1331)&lt;&gt;5,"n.a.",IF(I1329=0,6,IF('Inputs'!$D$5=1,COUNTIFS($I$1327:$I$1331,"&gt;0",$I$1327:$I$1331,"&lt;"&amp;I1329)+COUNTIFS($I$1327:I1329,I1329),COUNTIFS($I$1327:$I$1331,"&gt;0",$J$1327:$J$1331,"&gt;"&amp;J1329)+COUNTIFS($I$1327:I1329,"&gt;0",$J$1327:J1329,J1329))))</x:f>
        <x:v>6</x:v>
      </x:c>
      <x:c r="P1329" s="22" t="n">
        <x:f>IF(T1329="Ready",MIN(U1329,MAX(0,G1329-SUMIFS($U$1327:$U$1331,$O$1327:$O$1331,"&lt;"&amp;O1329))),"n.a.")</x:f>
        <x:v>0</x:v>
      </x:c>
      <x:c r="Q1329" s="22" t="n">
        <x:f>IF(T1329="Ready",ROUND(N1329+P1329,2),"n.a.")</x:f>
        <x:v>0</x:v>
      </x:c>
      <x:c r="R1329" s="22" t="n">
        <x:f>IF(T1329="Ready",ROUND(Q1329-M1329,2),"n.a.")</x:f>
        <x:v>0</x:v>
      </x:c>
      <x:c r="S1329" s="22" t="n">
        <x:f>IF(T1329="Ready",MAX(0,ROUND(I1329+M1329-Q1329,2)),"n.a.")</x:f>
        <x:v>0</x:v>
      </x:c>
      <x:c r="T1329" s="22" t="str">
        <x:f>IF(AND(COUNT($I$1327:$I$1331)=5,COUNT(E1329:F1329)=2),IF(E1329&gt;=F1329,"Ready","Budget below minima"),"Check inputs")</x:f>
        <x:v>Ready</x:v>
      </x:c>
      <x:c r="U1329" s="22" t="n">
        <x:f>IF(COUNT(I1329,M1329,N1329)=3,MAX(0,ROUND(I1329+M1329-N1329,2)),"n.a.")</x:f>
        <x:v>0</x:v>
      </x:c>
    </x:row>
    <x:row r="1330" ht="22" customHeight="1">
      <x:c r="A1330" s="2"/>
      <x:c r="B1330" s="2"/>
      <x:c r="C1330" s="27" t="n">
        <x:f>265</x:f>
        <x:v>265</x:v>
      </x:c>
      <x:c r="D1330" s="28" t="n">
        <x:f>IF(ISNUMBER('Inputs'!$D$7),EDATE('Inputs'!$D$7,264),"n.a.")</x:f>
        <x:v>54363</x:v>
      </x:c>
      <x:c r="E1330" s="26" t="n">
        <x:f>IF('Inputs'!$D$9&lt;&gt;"Ready","n.a.",IF(ISNUMBER('Inputs'!E283),IF('Inputs'!E283&gt;=0,'Inputs'!E283,"n.a."),IF('Inputs'!E283="",'Inputs'!$D$6,"n.a.")))</x:f>
        <x:v>500</x:v>
      </x:c>
      <x:c r="F1330" s="22" t="n">
        <x:f>IF(COUNT($N$1327:$N$1331)=5,SUM($N$1327:$N$1331),"n.a.")</x:f>
        <x:v>0</x:v>
      </x:c>
      <x:c r="G1330" s="22" t="n">
        <x:f>IF(COUNT(E1330:F1330)=2,MAX(0,E1330-F1330),"n.a.")</x:f>
        <x:v>500</x:v>
      </x:c>
      <x:c r="H1330" s="26" t="str">
        <x:f>'Inputs'!C14</x:f>
        <x:v>Unused 4</x:v>
      </x:c>
      <x:c r="I1330" s="26" t="n">
        <x:f>S1325</x:f>
        <x:v>0</x:v>
      </x:c>
      <x:c r="J1330" s="29" t="n">
        <x:f>IF('Inputs'!$D$9="Ready",'Inputs'!E14,"n.a.")</x:f>
        <x:v>0</x:v>
      </x:c>
      <x:c r="K1330" s="26" t="n">
        <x:f>IF('Inputs'!$D$9="Ready",'Inputs'!F14,"n.a.")</x:f>
        <x:v>0</x:v>
      </x:c>
      <x:c r="L1330" s="29" t="n">
        <x:f>IF('Inputs'!$D$9="Ready",'Inputs'!G14,"n.a.")</x:f>
        <x:v>0</x:v>
      </x:c>
      <x:c r="M1330" s="22" t="n">
        <x:f>IF(COUNT(I1330:L1330)=4,ROUND(I1330*J1330/12,2),"n.a.")</x:f>
        <x:v>0</x:v>
      </x:c>
      <x:c r="N1330" s="22" t="n">
        <x:f>IF(COUNT(I1330:M1330)=5,MIN(I1330+M1330,ROUND(MAX(K1330,I1330*L1330+M1330),2)),"n.a.")</x:f>
        <x:v>0</x:v>
      </x:c>
      <x:c r="O1330" s="30" t="n">
        <x:f>IF(COUNT($I$1327:$I$1331)&lt;&gt;5,"n.a.",IF(I1330=0,6,IF('Inputs'!$D$5=1,COUNTIFS($I$1327:$I$1331,"&gt;0",$I$1327:$I$1331,"&lt;"&amp;I1330)+COUNTIFS($I$1327:I1330,I1330),COUNTIFS($I$1327:$I$1331,"&gt;0",$J$1327:$J$1331,"&gt;"&amp;J1330)+COUNTIFS($I$1327:I1330,"&gt;0",$J$1327:J1330,J1330))))</x:f>
        <x:v>6</x:v>
      </x:c>
      <x:c r="P1330" s="22" t="n">
        <x:f>IF(T1330="Ready",MIN(U1330,MAX(0,G1330-SUMIFS($U$1327:$U$1331,$O$1327:$O$1331,"&lt;"&amp;O1330))),"n.a.")</x:f>
        <x:v>0</x:v>
      </x:c>
      <x:c r="Q1330" s="22" t="n">
        <x:f>IF(T1330="Ready",ROUND(N1330+P1330,2),"n.a.")</x:f>
        <x:v>0</x:v>
      </x:c>
      <x:c r="R1330" s="22" t="n">
        <x:f>IF(T1330="Ready",ROUND(Q1330-M1330,2),"n.a.")</x:f>
        <x:v>0</x:v>
      </x:c>
      <x:c r="S1330" s="22" t="n">
        <x:f>IF(T1330="Ready",MAX(0,ROUND(I1330+M1330-Q1330,2)),"n.a.")</x:f>
        <x:v>0</x:v>
      </x:c>
      <x:c r="T1330" s="22" t="str">
        <x:f>IF(AND(COUNT($I$1327:$I$1331)=5,COUNT(E1330:F1330)=2),IF(E1330&gt;=F1330,"Ready","Budget below minima"),"Check inputs")</x:f>
        <x:v>Ready</x:v>
      </x:c>
      <x:c r="U1330" s="22" t="n">
        <x:f>IF(COUNT(I1330,M1330,N1330)=3,MAX(0,ROUND(I1330+M1330-N1330,2)),"n.a.")</x:f>
        <x:v>0</x:v>
      </x:c>
    </x:row>
    <x:row r="1331" ht="22" customHeight="1">
      <x:c r="A1331" s="2"/>
      <x:c r="B1331" s="2"/>
      <x:c r="C1331" s="27" t="n">
        <x:f>265</x:f>
        <x:v>265</x:v>
      </x:c>
      <x:c r="D1331" s="28" t="n">
        <x:f>IF(ISNUMBER('Inputs'!$D$7),EDATE('Inputs'!$D$7,264),"n.a.")</x:f>
        <x:v>54363</x:v>
      </x:c>
      <x:c r="E1331" s="26" t="n">
        <x:f>IF('Inputs'!$D$9&lt;&gt;"Ready","n.a.",IF(ISNUMBER('Inputs'!E283),IF('Inputs'!E283&gt;=0,'Inputs'!E283,"n.a."),IF('Inputs'!E283="",'Inputs'!$D$6,"n.a.")))</x:f>
        <x:v>500</x:v>
      </x:c>
      <x:c r="F1331" s="22" t="n">
        <x:f>IF(COUNT($N$1327:$N$1331)=5,SUM($N$1327:$N$1331),"n.a.")</x:f>
        <x:v>0</x:v>
      </x:c>
      <x:c r="G1331" s="22" t="n">
        <x:f>IF(COUNT(E1331:F1331)=2,MAX(0,E1331-F1331),"n.a.")</x:f>
        <x:v>500</x:v>
      </x:c>
      <x:c r="H1331" s="26" t="str">
        <x:f>'Inputs'!C15</x:f>
        <x:v>Unused 5</x:v>
      </x:c>
      <x:c r="I1331" s="26" t="n">
        <x:f>S1326</x:f>
        <x:v>0</x:v>
      </x:c>
      <x:c r="J1331" s="29" t="n">
        <x:f>IF('Inputs'!$D$9="Ready",'Inputs'!E15,"n.a.")</x:f>
        <x:v>0</x:v>
      </x:c>
      <x:c r="K1331" s="26" t="n">
        <x:f>IF('Inputs'!$D$9="Ready",'Inputs'!F15,"n.a.")</x:f>
        <x:v>0</x:v>
      </x:c>
      <x:c r="L1331" s="29" t="n">
        <x:f>IF('Inputs'!$D$9="Ready",'Inputs'!G15,"n.a.")</x:f>
        <x:v>0</x:v>
      </x:c>
      <x:c r="M1331" s="22" t="n">
        <x:f>IF(COUNT(I1331:L1331)=4,ROUND(I1331*J1331/12,2),"n.a.")</x:f>
        <x:v>0</x:v>
      </x:c>
      <x:c r="N1331" s="22" t="n">
        <x:f>IF(COUNT(I1331:M1331)=5,MIN(I1331+M1331,ROUND(MAX(K1331,I1331*L1331+M1331),2)),"n.a.")</x:f>
        <x:v>0</x:v>
      </x:c>
      <x:c r="O1331" s="30" t="n">
        <x:f>IF(COUNT($I$1327:$I$1331)&lt;&gt;5,"n.a.",IF(I1331=0,6,IF('Inputs'!$D$5=1,COUNTIFS($I$1327:$I$1331,"&gt;0",$I$1327:$I$1331,"&lt;"&amp;I1331)+COUNTIFS($I$1327:I1331,I1331),COUNTIFS($I$1327:$I$1331,"&gt;0",$J$1327:$J$1331,"&gt;"&amp;J1331)+COUNTIFS($I$1327:I1331,"&gt;0",$J$1327:J1331,J1331))))</x:f>
        <x:v>6</x:v>
      </x:c>
      <x:c r="P1331" s="22" t="n">
        <x:f>IF(T1331="Ready",MIN(U1331,MAX(0,G1331-SUMIFS($U$1327:$U$1331,$O$1327:$O$1331,"&lt;"&amp;O1331))),"n.a.")</x:f>
        <x:v>0</x:v>
      </x:c>
      <x:c r="Q1331" s="22" t="n">
        <x:f>IF(T1331="Ready",ROUND(N1331+P1331,2),"n.a.")</x:f>
        <x:v>0</x:v>
      </x:c>
      <x:c r="R1331" s="22" t="n">
        <x:f>IF(T1331="Ready",ROUND(Q1331-M1331,2),"n.a.")</x:f>
        <x:v>0</x:v>
      </x:c>
      <x:c r="S1331" s="22" t="n">
        <x:f>IF(T1331="Ready",MAX(0,ROUND(I1331+M1331-Q1331,2)),"n.a.")</x:f>
        <x:v>0</x:v>
      </x:c>
      <x:c r="T1331" s="22" t="str">
        <x:f>IF(AND(COUNT($I$1327:$I$1331)=5,COUNT(E1331:F1331)=2),IF(E1331&gt;=F1331,"Ready","Budget below minima"),"Check inputs")</x:f>
        <x:v>Ready</x:v>
      </x:c>
      <x:c r="U1331" s="22" t="n">
        <x:f>IF(COUNT(I1331,M1331,N1331)=3,MAX(0,ROUND(I1331+M1331-N1331,2)),"n.a.")</x:f>
        <x:v>0</x:v>
      </x:c>
    </x:row>
    <x:row r="1332" ht="22" customHeight="1">
      <x:c r="A1332" s="2"/>
      <x:c r="B1332" s="2"/>
      <x:c r="C1332" s="27" t="n">
        <x:f>266</x:f>
        <x:v>266</x:v>
      </x:c>
      <x:c r="D1332" s="28" t="n">
        <x:f>IF(ISNUMBER('Inputs'!$D$7),EDATE('Inputs'!$D$7,265),"n.a.")</x:f>
        <x:v>54393</x:v>
      </x:c>
      <x:c r="E1332" s="26" t="n">
        <x:f>IF('Inputs'!$D$9&lt;&gt;"Ready","n.a.",IF(ISNUMBER('Inputs'!E284),IF('Inputs'!E284&gt;=0,'Inputs'!E284,"n.a."),IF('Inputs'!E284="",'Inputs'!$D$6,"n.a.")))</x:f>
        <x:v>500</x:v>
      </x:c>
      <x:c r="F1332" s="22" t="n">
        <x:f>IF(COUNT($N$1332:$N$1336)=5,SUM($N$1332:$N$1336),"n.a.")</x:f>
        <x:v>0</x:v>
      </x:c>
      <x:c r="G1332" s="22" t="n">
        <x:f>IF(COUNT(E1332:F1332)=2,MAX(0,E1332-F1332),"n.a.")</x:f>
        <x:v>500</x:v>
      </x:c>
      <x:c r="H1332" s="26" t="str">
        <x:f>'Inputs'!C11</x:f>
        <x:v>Card A</x:v>
      </x:c>
      <x:c r="I1332" s="26" t="n">
        <x:f>S1327</x:f>
        <x:v>0</x:v>
      </x:c>
      <x:c r="J1332" s="29" t="n">
        <x:f>IF('Inputs'!$D$9="Ready",'Inputs'!E11,"n.a.")</x:f>
        <x:v>0.24</x:v>
      </x:c>
      <x:c r="K1332" s="26" t="n">
        <x:f>IF('Inputs'!$D$9="Ready",'Inputs'!F11,"n.a.")</x:f>
        <x:v>35</x:v>
      </x:c>
      <x:c r="L1332" s="29" t="n">
        <x:f>IF('Inputs'!$D$9="Ready",'Inputs'!G11,"n.a.")</x:f>
        <x:v>0.02</x:v>
      </x:c>
      <x:c r="M1332" s="22" t="n">
        <x:f>IF(COUNT(I1332:L1332)=4,ROUND(I1332*J1332/12,2),"n.a.")</x:f>
        <x:v>0</x:v>
      </x:c>
      <x:c r="N1332" s="22" t="n">
        <x:f>IF(COUNT(I1332:M1332)=5,MIN(I1332+M1332,ROUND(MAX(K1332,I1332*L1332+M1332),2)),"n.a.")</x:f>
        <x:v>0</x:v>
      </x:c>
      <x:c r="O1332" s="30" t="n">
        <x:f>IF(COUNT($I$1332:$I$1336)&lt;&gt;5,"n.a.",IF(I1332=0,6,IF('Inputs'!$D$5=1,COUNTIFS($I$1332:$I$1336,"&gt;0",$I$1332:$I$1336,"&lt;"&amp;I1332)+COUNTIFS($I$1332:I1332,I1332),COUNTIFS($I$1332:$I$1336,"&gt;0",$J$1332:$J$1336,"&gt;"&amp;J1332)+COUNTIFS($I$1332:I1332,"&gt;0",$J$1332:J1332,J1332))))</x:f>
        <x:v>6</x:v>
      </x:c>
      <x:c r="P1332" s="22" t="n">
        <x:f>IF(T1332="Ready",MIN(U1332,MAX(0,G1332-SUMIFS($U$1332:$U$1336,$O$1332:$O$1336,"&lt;"&amp;O1332))),"n.a.")</x:f>
        <x:v>0</x:v>
      </x:c>
      <x:c r="Q1332" s="22" t="n">
        <x:f>IF(T1332="Ready",ROUND(N1332+P1332,2),"n.a.")</x:f>
        <x:v>0</x:v>
      </x:c>
      <x:c r="R1332" s="22" t="n">
        <x:f>IF(T1332="Ready",ROUND(Q1332-M1332,2),"n.a.")</x:f>
        <x:v>0</x:v>
      </x:c>
      <x:c r="S1332" s="22" t="n">
        <x:f>IF(T1332="Ready",MAX(0,ROUND(I1332+M1332-Q1332,2)),"n.a.")</x:f>
        <x:v>0</x:v>
      </x:c>
      <x:c r="T1332" s="22" t="str">
        <x:f>IF(AND(COUNT($I$1332:$I$1336)=5,COUNT(E1332:F1332)=2),IF(E1332&gt;=F1332,"Ready","Budget below minima"),"Check inputs")</x:f>
        <x:v>Ready</x:v>
      </x:c>
      <x:c r="U1332" s="22" t="n">
        <x:f>IF(COUNT(I1332,M1332,N1332)=3,MAX(0,ROUND(I1332+M1332-N1332,2)),"n.a.")</x:f>
        <x:v>0</x:v>
      </x:c>
    </x:row>
    <x:row r="1333" ht="22" customHeight="1">
      <x:c r="A1333" s="2"/>
      <x:c r="B1333" s="2"/>
      <x:c r="C1333" s="27" t="n">
        <x:f>266</x:f>
        <x:v>266</x:v>
      </x:c>
      <x:c r="D1333" s="28" t="n">
        <x:f>IF(ISNUMBER('Inputs'!$D$7),EDATE('Inputs'!$D$7,265),"n.a.")</x:f>
        <x:v>54393</x:v>
      </x:c>
      <x:c r="E1333" s="26" t="n">
        <x:f>IF('Inputs'!$D$9&lt;&gt;"Ready","n.a.",IF(ISNUMBER('Inputs'!E284),IF('Inputs'!E284&gt;=0,'Inputs'!E284,"n.a."),IF('Inputs'!E284="",'Inputs'!$D$6,"n.a.")))</x:f>
        <x:v>500</x:v>
      </x:c>
      <x:c r="F1333" s="22" t="n">
        <x:f>IF(COUNT($N$1332:$N$1336)=5,SUM($N$1332:$N$1336),"n.a.")</x:f>
        <x:v>0</x:v>
      </x:c>
      <x:c r="G1333" s="22" t="n">
        <x:f>IF(COUNT(E1333:F1333)=2,MAX(0,E1333-F1333),"n.a.")</x:f>
        <x:v>500</x:v>
      </x:c>
      <x:c r="H1333" s="26" t="str">
        <x:f>'Inputs'!C12</x:f>
        <x:v>Card B</x:v>
      </x:c>
      <x:c r="I1333" s="26" t="n">
        <x:f>S1328</x:f>
        <x:v>0</x:v>
      </x:c>
      <x:c r="J1333" s="29" t="n">
        <x:f>IF('Inputs'!$D$9="Ready",'Inputs'!E12,"n.a.")</x:f>
        <x:v>0.18</x:v>
      </x:c>
      <x:c r="K1333" s="26" t="n">
        <x:f>IF('Inputs'!$D$9="Ready",'Inputs'!F12,"n.a.")</x:f>
        <x:v>60</x:v>
      </x:c>
      <x:c r="L1333" s="29" t="n">
        <x:f>IF('Inputs'!$D$9="Ready",'Inputs'!G12,"n.a.")</x:f>
        <x:v>0.02</x:v>
      </x:c>
      <x:c r="M1333" s="22" t="n">
        <x:f>IF(COUNT(I1333:L1333)=4,ROUND(I1333*J1333/12,2),"n.a.")</x:f>
        <x:v>0</x:v>
      </x:c>
      <x:c r="N1333" s="22" t="n">
        <x:f>IF(COUNT(I1333:M1333)=5,MIN(I1333+M1333,ROUND(MAX(K1333,I1333*L1333+M1333),2)),"n.a.")</x:f>
        <x:v>0</x:v>
      </x:c>
      <x:c r="O1333" s="30" t="n">
        <x:f>IF(COUNT($I$1332:$I$1336)&lt;&gt;5,"n.a.",IF(I1333=0,6,IF('Inputs'!$D$5=1,COUNTIFS($I$1332:$I$1336,"&gt;0",$I$1332:$I$1336,"&lt;"&amp;I1333)+COUNTIFS($I$1332:I1333,I1333),COUNTIFS($I$1332:$I$1336,"&gt;0",$J$1332:$J$1336,"&gt;"&amp;J1333)+COUNTIFS($I$1332:I1333,"&gt;0",$J$1332:J1333,J1333))))</x:f>
        <x:v>6</x:v>
      </x:c>
      <x:c r="P1333" s="22" t="n">
        <x:f>IF(T1333="Ready",MIN(U1333,MAX(0,G1333-SUMIFS($U$1332:$U$1336,$O$1332:$O$1336,"&lt;"&amp;O1333))),"n.a.")</x:f>
        <x:v>0</x:v>
      </x:c>
      <x:c r="Q1333" s="22" t="n">
        <x:f>IF(T1333="Ready",ROUND(N1333+P1333,2),"n.a.")</x:f>
        <x:v>0</x:v>
      </x:c>
      <x:c r="R1333" s="22" t="n">
        <x:f>IF(T1333="Ready",ROUND(Q1333-M1333,2),"n.a.")</x:f>
        <x:v>0</x:v>
      </x:c>
      <x:c r="S1333" s="22" t="n">
        <x:f>IF(T1333="Ready",MAX(0,ROUND(I1333+M1333-Q1333,2)),"n.a.")</x:f>
        <x:v>0</x:v>
      </x:c>
      <x:c r="T1333" s="22" t="str">
        <x:f>IF(AND(COUNT($I$1332:$I$1336)=5,COUNT(E1333:F1333)=2),IF(E1333&gt;=F1333,"Ready","Budget below minima"),"Check inputs")</x:f>
        <x:v>Ready</x:v>
      </x:c>
      <x:c r="U1333" s="22" t="n">
        <x:f>IF(COUNT(I1333,M1333,N1333)=3,MAX(0,ROUND(I1333+M1333-N1333,2)),"n.a.")</x:f>
        <x:v>0</x:v>
      </x:c>
    </x:row>
    <x:row r="1334" ht="22" customHeight="1">
      <x:c r="A1334" s="2"/>
      <x:c r="B1334" s="2"/>
      <x:c r="C1334" s="27" t="n">
        <x:f>266</x:f>
        <x:v>266</x:v>
      </x:c>
      <x:c r="D1334" s="28" t="n">
        <x:f>IF(ISNUMBER('Inputs'!$D$7),EDATE('Inputs'!$D$7,265),"n.a.")</x:f>
        <x:v>54393</x:v>
      </x:c>
      <x:c r="E1334" s="26" t="n">
        <x:f>IF('Inputs'!$D$9&lt;&gt;"Ready","n.a.",IF(ISNUMBER('Inputs'!E284),IF('Inputs'!E284&gt;=0,'Inputs'!E284,"n.a."),IF('Inputs'!E284="",'Inputs'!$D$6,"n.a.")))</x:f>
        <x:v>500</x:v>
      </x:c>
      <x:c r="F1334" s="22" t="n">
        <x:f>IF(COUNT($N$1332:$N$1336)=5,SUM($N$1332:$N$1336),"n.a.")</x:f>
        <x:v>0</x:v>
      </x:c>
      <x:c r="G1334" s="22" t="n">
        <x:f>IF(COUNT(E1334:F1334)=2,MAX(0,E1334-F1334),"n.a.")</x:f>
        <x:v>500</x:v>
      </x:c>
      <x:c r="H1334" s="26" t="str">
        <x:f>'Inputs'!C13</x:f>
        <x:v>Loan C</x:v>
      </x:c>
      <x:c r="I1334" s="26" t="n">
        <x:f>S1329</x:f>
        <x:v>0</x:v>
      </x:c>
      <x:c r="J1334" s="29" t="n">
        <x:f>IF('Inputs'!$D$9="Ready",'Inputs'!E13,"n.a.")</x:f>
        <x:v>0.08</x:v>
      </x:c>
      <x:c r="K1334" s="26" t="n">
        <x:f>IF('Inputs'!$D$9="Ready",'Inputs'!F13,"n.a.")</x:f>
        <x:v>150</x:v>
      </x:c>
      <x:c r="L1334" s="29" t="n">
        <x:f>IF('Inputs'!$D$9="Ready",'Inputs'!G13,"n.a.")</x:f>
        <x:v>0</x:v>
      </x:c>
      <x:c r="M1334" s="22" t="n">
        <x:f>IF(COUNT(I1334:L1334)=4,ROUND(I1334*J1334/12,2),"n.a.")</x:f>
        <x:v>0</x:v>
      </x:c>
      <x:c r="N1334" s="22" t="n">
        <x:f>IF(COUNT(I1334:M1334)=5,MIN(I1334+M1334,ROUND(MAX(K1334,I1334*L1334+M1334),2)),"n.a.")</x:f>
        <x:v>0</x:v>
      </x:c>
      <x:c r="O1334" s="30" t="n">
        <x:f>IF(COUNT($I$1332:$I$1336)&lt;&gt;5,"n.a.",IF(I1334=0,6,IF('Inputs'!$D$5=1,COUNTIFS($I$1332:$I$1336,"&gt;0",$I$1332:$I$1336,"&lt;"&amp;I1334)+COUNTIFS($I$1332:I1334,I1334),COUNTIFS($I$1332:$I$1336,"&gt;0",$J$1332:$J$1336,"&gt;"&amp;J1334)+COUNTIFS($I$1332:I1334,"&gt;0",$J$1332:J1334,J1334))))</x:f>
        <x:v>6</x:v>
      </x:c>
      <x:c r="P1334" s="22" t="n">
        <x:f>IF(T1334="Ready",MIN(U1334,MAX(0,G1334-SUMIFS($U$1332:$U$1336,$O$1332:$O$1336,"&lt;"&amp;O1334))),"n.a.")</x:f>
        <x:v>0</x:v>
      </x:c>
      <x:c r="Q1334" s="22" t="n">
        <x:f>IF(T1334="Ready",ROUND(N1334+P1334,2),"n.a.")</x:f>
        <x:v>0</x:v>
      </x:c>
      <x:c r="R1334" s="22" t="n">
        <x:f>IF(T1334="Ready",ROUND(Q1334-M1334,2),"n.a.")</x:f>
        <x:v>0</x:v>
      </x:c>
      <x:c r="S1334" s="22" t="n">
        <x:f>IF(T1334="Ready",MAX(0,ROUND(I1334+M1334-Q1334,2)),"n.a.")</x:f>
        <x:v>0</x:v>
      </x:c>
      <x:c r="T1334" s="22" t="str">
        <x:f>IF(AND(COUNT($I$1332:$I$1336)=5,COUNT(E1334:F1334)=2),IF(E1334&gt;=F1334,"Ready","Budget below minima"),"Check inputs")</x:f>
        <x:v>Ready</x:v>
      </x:c>
      <x:c r="U1334" s="22" t="n">
        <x:f>IF(COUNT(I1334,M1334,N1334)=3,MAX(0,ROUND(I1334+M1334-N1334,2)),"n.a.")</x:f>
        <x:v>0</x:v>
      </x:c>
    </x:row>
    <x:row r="1335" ht="22" customHeight="1">
      <x:c r="A1335" s="2"/>
      <x:c r="B1335" s="2"/>
      <x:c r="C1335" s="27" t="n">
        <x:f>266</x:f>
        <x:v>266</x:v>
      </x:c>
      <x:c r="D1335" s="28" t="n">
        <x:f>IF(ISNUMBER('Inputs'!$D$7),EDATE('Inputs'!$D$7,265),"n.a.")</x:f>
        <x:v>54393</x:v>
      </x:c>
      <x:c r="E1335" s="26" t="n">
        <x:f>IF('Inputs'!$D$9&lt;&gt;"Ready","n.a.",IF(ISNUMBER('Inputs'!E284),IF('Inputs'!E284&gt;=0,'Inputs'!E284,"n.a."),IF('Inputs'!E284="",'Inputs'!$D$6,"n.a.")))</x:f>
        <x:v>500</x:v>
      </x:c>
      <x:c r="F1335" s="22" t="n">
        <x:f>IF(COUNT($N$1332:$N$1336)=5,SUM($N$1332:$N$1336),"n.a.")</x:f>
        <x:v>0</x:v>
      </x:c>
      <x:c r="G1335" s="22" t="n">
        <x:f>IF(COUNT(E1335:F1335)=2,MAX(0,E1335-F1335),"n.a.")</x:f>
        <x:v>500</x:v>
      </x:c>
      <x:c r="H1335" s="26" t="str">
        <x:f>'Inputs'!C14</x:f>
        <x:v>Unused 4</x:v>
      </x:c>
      <x:c r="I1335" s="26" t="n">
        <x:f>S1330</x:f>
        <x:v>0</x:v>
      </x:c>
      <x:c r="J1335" s="29" t="n">
        <x:f>IF('Inputs'!$D$9="Ready",'Inputs'!E14,"n.a.")</x:f>
        <x:v>0</x:v>
      </x:c>
      <x:c r="K1335" s="26" t="n">
        <x:f>IF('Inputs'!$D$9="Ready",'Inputs'!F14,"n.a.")</x:f>
        <x:v>0</x:v>
      </x:c>
      <x:c r="L1335" s="29" t="n">
        <x:f>IF('Inputs'!$D$9="Ready",'Inputs'!G14,"n.a.")</x:f>
        <x:v>0</x:v>
      </x:c>
      <x:c r="M1335" s="22" t="n">
        <x:f>IF(COUNT(I1335:L1335)=4,ROUND(I1335*J1335/12,2),"n.a.")</x:f>
        <x:v>0</x:v>
      </x:c>
      <x:c r="N1335" s="22" t="n">
        <x:f>IF(COUNT(I1335:M1335)=5,MIN(I1335+M1335,ROUND(MAX(K1335,I1335*L1335+M1335),2)),"n.a.")</x:f>
        <x:v>0</x:v>
      </x:c>
      <x:c r="O1335" s="30" t="n">
        <x:f>IF(COUNT($I$1332:$I$1336)&lt;&gt;5,"n.a.",IF(I1335=0,6,IF('Inputs'!$D$5=1,COUNTIFS($I$1332:$I$1336,"&gt;0",$I$1332:$I$1336,"&lt;"&amp;I1335)+COUNTIFS($I$1332:I1335,I1335),COUNTIFS($I$1332:$I$1336,"&gt;0",$J$1332:$J$1336,"&gt;"&amp;J1335)+COUNTIFS($I$1332:I1335,"&gt;0",$J$1332:J1335,J1335))))</x:f>
        <x:v>6</x:v>
      </x:c>
      <x:c r="P1335" s="22" t="n">
        <x:f>IF(T1335="Ready",MIN(U1335,MAX(0,G1335-SUMIFS($U$1332:$U$1336,$O$1332:$O$1336,"&lt;"&amp;O1335))),"n.a.")</x:f>
        <x:v>0</x:v>
      </x:c>
      <x:c r="Q1335" s="22" t="n">
        <x:f>IF(T1335="Ready",ROUND(N1335+P1335,2),"n.a.")</x:f>
        <x:v>0</x:v>
      </x:c>
      <x:c r="R1335" s="22" t="n">
        <x:f>IF(T1335="Ready",ROUND(Q1335-M1335,2),"n.a.")</x:f>
        <x:v>0</x:v>
      </x:c>
      <x:c r="S1335" s="22" t="n">
        <x:f>IF(T1335="Ready",MAX(0,ROUND(I1335+M1335-Q1335,2)),"n.a.")</x:f>
        <x:v>0</x:v>
      </x:c>
      <x:c r="T1335" s="22" t="str">
        <x:f>IF(AND(COUNT($I$1332:$I$1336)=5,COUNT(E1335:F1335)=2),IF(E1335&gt;=F1335,"Ready","Budget below minima"),"Check inputs")</x:f>
        <x:v>Ready</x:v>
      </x:c>
      <x:c r="U1335" s="22" t="n">
        <x:f>IF(COUNT(I1335,M1335,N1335)=3,MAX(0,ROUND(I1335+M1335-N1335,2)),"n.a.")</x:f>
        <x:v>0</x:v>
      </x:c>
    </x:row>
    <x:row r="1336" ht="22" customHeight="1">
      <x:c r="A1336" s="2"/>
      <x:c r="B1336" s="2"/>
      <x:c r="C1336" s="27" t="n">
        <x:f>266</x:f>
        <x:v>266</x:v>
      </x:c>
      <x:c r="D1336" s="28" t="n">
        <x:f>IF(ISNUMBER('Inputs'!$D$7),EDATE('Inputs'!$D$7,265),"n.a.")</x:f>
        <x:v>54393</x:v>
      </x:c>
      <x:c r="E1336" s="26" t="n">
        <x:f>IF('Inputs'!$D$9&lt;&gt;"Ready","n.a.",IF(ISNUMBER('Inputs'!E284),IF('Inputs'!E284&gt;=0,'Inputs'!E284,"n.a."),IF('Inputs'!E284="",'Inputs'!$D$6,"n.a.")))</x:f>
        <x:v>500</x:v>
      </x:c>
      <x:c r="F1336" s="22" t="n">
        <x:f>IF(COUNT($N$1332:$N$1336)=5,SUM($N$1332:$N$1336),"n.a.")</x:f>
        <x:v>0</x:v>
      </x:c>
      <x:c r="G1336" s="22" t="n">
        <x:f>IF(COUNT(E1336:F1336)=2,MAX(0,E1336-F1336),"n.a.")</x:f>
        <x:v>500</x:v>
      </x:c>
      <x:c r="H1336" s="26" t="str">
        <x:f>'Inputs'!C15</x:f>
        <x:v>Unused 5</x:v>
      </x:c>
      <x:c r="I1336" s="26" t="n">
        <x:f>S1331</x:f>
        <x:v>0</x:v>
      </x:c>
      <x:c r="J1336" s="29" t="n">
        <x:f>IF('Inputs'!$D$9="Ready",'Inputs'!E15,"n.a.")</x:f>
        <x:v>0</x:v>
      </x:c>
      <x:c r="K1336" s="26" t="n">
        <x:f>IF('Inputs'!$D$9="Ready",'Inputs'!F15,"n.a.")</x:f>
        <x:v>0</x:v>
      </x:c>
      <x:c r="L1336" s="29" t="n">
        <x:f>IF('Inputs'!$D$9="Ready",'Inputs'!G15,"n.a.")</x:f>
        <x:v>0</x:v>
      </x:c>
      <x:c r="M1336" s="22" t="n">
        <x:f>IF(COUNT(I1336:L1336)=4,ROUND(I1336*J1336/12,2),"n.a.")</x:f>
        <x:v>0</x:v>
      </x:c>
      <x:c r="N1336" s="22" t="n">
        <x:f>IF(COUNT(I1336:M1336)=5,MIN(I1336+M1336,ROUND(MAX(K1336,I1336*L1336+M1336),2)),"n.a.")</x:f>
        <x:v>0</x:v>
      </x:c>
      <x:c r="O1336" s="30" t="n">
        <x:f>IF(COUNT($I$1332:$I$1336)&lt;&gt;5,"n.a.",IF(I1336=0,6,IF('Inputs'!$D$5=1,COUNTIFS($I$1332:$I$1336,"&gt;0",$I$1332:$I$1336,"&lt;"&amp;I1336)+COUNTIFS($I$1332:I1336,I1336),COUNTIFS($I$1332:$I$1336,"&gt;0",$J$1332:$J$1336,"&gt;"&amp;J1336)+COUNTIFS($I$1332:I1336,"&gt;0",$J$1332:J1336,J1336))))</x:f>
        <x:v>6</x:v>
      </x:c>
      <x:c r="P1336" s="22" t="n">
        <x:f>IF(T1336="Ready",MIN(U1336,MAX(0,G1336-SUMIFS($U$1332:$U$1336,$O$1332:$O$1336,"&lt;"&amp;O1336))),"n.a.")</x:f>
        <x:v>0</x:v>
      </x:c>
      <x:c r="Q1336" s="22" t="n">
        <x:f>IF(T1336="Ready",ROUND(N1336+P1336,2),"n.a.")</x:f>
        <x:v>0</x:v>
      </x:c>
      <x:c r="R1336" s="22" t="n">
        <x:f>IF(T1336="Ready",ROUND(Q1336-M1336,2),"n.a.")</x:f>
        <x:v>0</x:v>
      </x:c>
      <x:c r="S1336" s="22" t="n">
        <x:f>IF(T1336="Ready",MAX(0,ROUND(I1336+M1336-Q1336,2)),"n.a.")</x:f>
        <x:v>0</x:v>
      </x:c>
      <x:c r="T1336" s="22" t="str">
        <x:f>IF(AND(COUNT($I$1332:$I$1336)=5,COUNT(E1336:F1336)=2),IF(E1336&gt;=F1336,"Ready","Budget below minima"),"Check inputs")</x:f>
        <x:v>Ready</x:v>
      </x:c>
      <x:c r="U1336" s="22" t="n">
        <x:f>IF(COUNT(I1336,M1336,N1336)=3,MAX(0,ROUND(I1336+M1336-N1336,2)),"n.a.")</x:f>
        <x:v>0</x:v>
      </x:c>
    </x:row>
    <x:row r="1337" ht="22" customHeight="1">
      <x:c r="A1337" s="2"/>
      <x:c r="B1337" s="2"/>
      <x:c r="C1337" s="27" t="n">
        <x:f>267</x:f>
        <x:v>267</x:v>
      </x:c>
      <x:c r="D1337" s="28" t="n">
        <x:f>IF(ISNUMBER('Inputs'!$D$7),EDATE('Inputs'!$D$7,266),"n.a.")</x:f>
        <x:v>54424</x:v>
      </x:c>
      <x:c r="E1337" s="26" t="n">
        <x:f>IF('Inputs'!$D$9&lt;&gt;"Ready","n.a.",IF(ISNUMBER('Inputs'!E285),IF('Inputs'!E285&gt;=0,'Inputs'!E285,"n.a."),IF('Inputs'!E285="",'Inputs'!$D$6,"n.a.")))</x:f>
        <x:v>500</x:v>
      </x:c>
      <x:c r="F1337" s="22" t="n">
        <x:f>IF(COUNT($N$1337:$N$1341)=5,SUM($N$1337:$N$1341),"n.a.")</x:f>
        <x:v>0</x:v>
      </x:c>
      <x:c r="G1337" s="22" t="n">
        <x:f>IF(COUNT(E1337:F1337)=2,MAX(0,E1337-F1337),"n.a.")</x:f>
        <x:v>500</x:v>
      </x:c>
      <x:c r="H1337" s="26" t="str">
        <x:f>'Inputs'!C11</x:f>
        <x:v>Card A</x:v>
      </x:c>
      <x:c r="I1337" s="26" t="n">
        <x:f>S1332</x:f>
        <x:v>0</x:v>
      </x:c>
      <x:c r="J1337" s="29" t="n">
        <x:f>IF('Inputs'!$D$9="Ready",'Inputs'!E11,"n.a.")</x:f>
        <x:v>0.24</x:v>
      </x:c>
      <x:c r="K1337" s="26" t="n">
        <x:f>IF('Inputs'!$D$9="Ready",'Inputs'!F11,"n.a.")</x:f>
        <x:v>35</x:v>
      </x:c>
      <x:c r="L1337" s="29" t="n">
        <x:f>IF('Inputs'!$D$9="Ready",'Inputs'!G11,"n.a.")</x:f>
        <x:v>0.02</x:v>
      </x:c>
      <x:c r="M1337" s="22" t="n">
        <x:f>IF(COUNT(I1337:L1337)=4,ROUND(I1337*J1337/12,2),"n.a.")</x:f>
        <x:v>0</x:v>
      </x:c>
      <x:c r="N1337" s="22" t="n">
        <x:f>IF(COUNT(I1337:M1337)=5,MIN(I1337+M1337,ROUND(MAX(K1337,I1337*L1337+M1337),2)),"n.a.")</x:f>
        <x:v>0</x:v>
      </x:c>
      <x:c r="O1337" s="30" t="n">
        <x:f>IF(COUNT($I$1337:$I$1341)&lt;&gt;5,"n.a.",IF(I1337=0,6,IF('Inputs'!$D$5=1,COUNTIFS($I$1337:$I$1341,"&gt;0",$I$1337:$I$1341,"&lt;"&amp;I1337)+COUNTIFS($I$1337:I1337,I1337),COUNTIFS($I$1337:$I$1341,"&gt;0",$J$1337:$J$1341,"&gt;"&amp;J1337)+COUNTIFS($I$1337:I1337,"&gt;0",$J$1337:J1337,J1337))))</x:f>
        <x:v>6</x:v>
      </x:c>
      <x:c r="P1337" s="22" t="n">
        <x:f>IF(T1337="Ready",MIN(U1337,MAX(0,G1337-SUMIFS($U$1337:$U$1341,$O$1337:$O$1341,"&lt;"&amp;O1337))),"n.a.")</x:f>
        <x:v>0</x:v>
      </x:c>
      <x:c r="Q1337" s="22" t="n">
        <x:f>IF(T1337="Ready",ROUND(N1337+P1337,2),"n.a.")</x:f>
        <x:v>0</x:v>
      </x:c>
      <x:c r="R1337" s="22" t="n">
        <x:f>IF(T1337="Ready",ROUND(Q1337-M1337,2),"n.a.")</x:f>
        <x:v>0</x:v>
      </x:c>
      <x:c r="S1337" s="22" t="n">
        <x:f>IF(T1337="Ready",MAX(0,ROUND(I1337+M1337-Q1337,2)),"n.a.")</x:f>
        <x:v>0</x:v>
      </x:c>
      <x:c r="T1337" s="22" t="str">
        <x:f>IF(AND(COUNT($I$1337:$I$1341)=5,COUNT(E1337:F1337)=2),IF(E1337&gt;=F1337,"Ready","Budget below minima"),"Check inputs")</x:f>
        <x:v>Ready</x:v>
      </x:c>
      <x:c r="U1337" s="22" t="n">
        <x:f>IF(COUNT(I1337,M1337,N1337)=3,MAX(0,ROUND(I1337+M1337-N1337,2)),"n.a.")</x:f>
        <x:v>0</x:v>
      </x:c>
    </x:row>
    <x:row r="1338" ht="22" customHeight="1">
      <x:c r="A1338" s="2"/>
      <x:c r="B1338" s="2"/>
      <x:c r="C1338" s="27" t="n">
        <x:f>267</x:f>
        <x:v>267</x:v>
      </x:c>
      <x:c r="D1338" s="28" t="n">
        <x:f>IF(ISNUMBER('Inputs'!$D$7),EDATE('Inputs'!$D$7,266),"n.a.")</x:f>
        <x:v>54424</x:v>
      </x:c>
      <x:c r="E1338" s="26" t="n">
        <x:f>IF('Inputs'!$D$9&lt;&gt;"Ready","n.a.",IF(ISNUMBER('Inputs'!E285),IF('Inputs'!E285&gt;=0,'Inputs'!E285,"n.a."),IF('Inputs'!E285="",'Inputs'!$D$6,"n.a.")))</x:f>
        <x:v>500</x:v>
      </x:c>
      <x:c r="F1338" s="22" t="n">
        <x:f>IF(COUNT($N$1337:$N$1341)=5,SUM($N$1337:$N$1341),"n.a.")</x:f>
        <x:v>0</x:v>
      </x:c>
      <x:c r="G1338" s="22" t="n">
        <x:f>IF(COUNT(E1338:F1338)=2,MAX(0,E1338-F1338),"n.a.")</x:f>
        <x:v>500</x:v>
      </x:c>
      <x:c r="H1338" s="26" t="str">
        <x:f>'Inputs'!C12</x:f>
        <x:v>Card B</x:v>
      </x:c>
      <x:c r="I1338" s="26" t="n">
        <x:f>S1333</x:f>
        <x:v>0</x:v>
      </x:c>
      <x:c r="J1338" s="29" t="n">
        <x:f>IF('Inputs'!$D$9="Ready",'Inputs'!E12,"n.a.")</x:f>
        <x:v>0.18</x:v>
      </x:c>
      <x:c r="K1338" s="26" t="n">
        <x:f>IF('Inputs'!$D$9="Ready",'Inputs'!F12,"n.a.")</x:f>
        <x:v>60</x:v>
      </x:c>
      <x:c r="L1338" s="29" t="n">
        <x:f>IF('Inputs'!$D$9="Ready",'Inputs'!G12,"n.a.")</x:f>
        <x:v>0.02</x:v>
      </x:c>
      <x:c r="M1338" s="22" t="n">
        <x:f>IF(COUNT(I1338:L1338)=4,ROUND(I1338*J1338/12,2),"n.a.")</x:f>
        <x:v>0</x:v>
      </x:c>
      <x:c r="N1338" s="22" t="n">
        <x:f>IF(COUNT(I1338:M1338)=5,MIN(I1338+M1338,ROUND(MAX(K1338,I1338*L1338+M1338),2)),"n.a.")</x:f>
        <x:v>0</x:v>
      </x:c>
      <x:c r="O1338" s="30" t="n">
        <x:f>IF(COUNT($I$1337:$I$1341)&lt;&gt;5,"n.a.",IF(I1338=0,6,IF('Inputs'!$D$5=1,COUNTIFS($I$1337:$I$1341,"&gt;0",$I$1337:$I$1341,"&lt;"&amp;I1338)+COUNTIFS($I$1337:I1338,I1338),COUNTIFS($I$1337:$I$1341,"&gt;0",$J$1337:$J$1341,"&gt;"&amp;J1338)+COUNTIFS($I$1337:I1338,"&gt;0",$J$1337:J1338,J1338))))</x:f>
        <x:v>6</x:v>
      </x:c>
      <x:c r="P1338" s="22" t="n">
        <x:f>IF(T1338="Ready",MIN(U1338,MAX(0,G1338-SUMIFS($U$1337:$U$1341,$O$1337:$O$1341,"&lt;"&amp;O1338))),"n.a.")</x:f>
        <x:v>0</x:v>
      </x:c>
      <x:c r="Q1338" s="22" t="n">
        <x:f>IF(T1338="Ready",ROUND(N1338+P1338,2),"n.a.")</x:f>
        <x:v>0</x:v>
      </x:c>
      <x:c r="R1338" s="22" t="n">
        <x:f>IF(T1338="Ready",ROUND(Q1338-M1338,2),"n.a.")</x:f>
        <x:v>0</x:v>
      </x:c>
      <x:c r="S1338" s="22" t="n">
        <x:f>IF(T1338="Ready",MAX(0,ROUND(I1338+M1338-Q1338,2)),"n.a.")</x:f>
        <x:v>0</x:v>
      </x:c>
      <x:c r="T1338" s="22" t="str">
        <x:f>IF(AND(COUNT($I$1337:$I$1341)=5,COUNT(E1338:F1338)=2),IF(E1338&gt;=F1338,"Ready","Budget below minima"),"Check inputs")</x:f>
        <x:v>Ready</x:v>
      </x:c>
      <x:c r="U1338" s="22" t="n">
        <x:f>IF(COUNT(I1338,M1338,N1338)=3,MAX(0,ROUND(I1338+M1338-N1338,2)),"n.a.")</x:f>
        <x:v>0</x:v>
      </x:c>
    </x:row>
    <x:row r="1339" ht="22" customHeight="1">
      <x:c r="A1339" s="2"/>
      <x:c r="B1339" s="2"/>
      <x:c r="C1339" s="27" t="n">
        <x:f>267</x:f>
        <x:v>267</x:v>
      </x:c>
      <x:c r="D1339" s="28" t="n">
        <x:f>IF(ISNUMBER('Inputs'!$D$7),EDATE('Inputs'!$D$7,266),"n.a.")</x:f>
        <x:v>54424</x:v>
      </x:c>
      <x:c r="E1339" s="26" t="n">
        <x:f>IF('Inputs'!$D$9&lt;&gt;"Ready","n.a.",IF(ISNUMBER('Inputs'!E285),IF('Inputs'!E285&gt;=0,'Inputs'!E285,"n.a."),IF('Inputs'!E285="",'Inputs'!$D$6,"n.a.")))</x:f>
        <x:v>500</x:v>
      </x:c>
      <x:c r="F1339" s="22" t="n">
        <x:f>IF(COUNT($N$1337:$N$1341)=5,SUM($N$1337:$N$1341),"n.a.")</x:f>
        <x:v>0</x:v>
      </x:c>
      <x:c r="G1339" s="22" t="n">
        <x:f>IF(COUNT(E1339:F1339)=2,MAX(0,E1339-F1339),"n.a.")</x:f>
        <x:v>500</x:v>
      </x:c>
      <x:c r="H1339" s="26" t="str">
        <x:f>'Inputs'!C13</x:f>
        <x:v>Loan C</x:v>
      </x:c>
      <x:c r="I1339" s="26" t="n">
        <x:f>S1334</x:f>
        <x:v>0</x:v>
      </x:c>
      <x:c r="J1339" s="29" t="n">
        <x:f>IF('Inputs'!$D$9="Ready",'Inputs'!E13,"n.a.")</x:f>
        <x:v>0.08</x:v>
      </x:c>
      <x:c r="K1339" s="26" t="n">
        <x:f>IF('Inputs'!$D$9="Ready",'Inputs'!F13,"n.a.")</x:f>
        <x:v>150</x:v>
      </x:c>
      <x:c r="L1339" s="29" t="n">
        <x:f>IF('Inputs'!$D$9="Ready",'Inputs'!G13,"n.a.")</x:f>
        <x:v>0</x:v>
      </x:c>
      <x:c r="M1339" s="22" t="n">
        <x:f>IF(COUNT(I1339:L1339)=4,ROUND(I1339*J1339/12,2),"n.a.")</x:f>
        <x:v>0</x:v>
      </x:c>
      <x:c r="N1339" s="22" t="n">
        <x:f>IF(COUNT(I1339:M1339)=5,MIN(I1339+M1339,ROUND(MAX(K1339,I1339*L1339+M1339),2)),"n.a.")</x:f>
        <x:v>0</x:v>
      </x:c>
      <x:c r="O1339" s="30" t="n">
        <x:f>IF(COUNT($I$1337:$I$1341)&lt;&gt;5,"n.a.",IF(I1339=0,6,IF('Inputs'!$D$5=1,COUNTIFS($I$1337:$I$1341,"&gt;0",$I$1337:$I$1341,"&lt;"&amp;I1339)+COUNTIFS($I$1337:I1339,I1339),COUNTIFS($I$1337:$I$1341,"&gt;0",$J$1337:$J$1341,"&gt;"&amp;J1339)+COUNTIFS($I$1337:I1339,"&gt;0",$J$1337:J1339,J1339))))</x:f>
        <x:v>6</x:v>
      </x:c>
      <x:c r="P1339" s="22" t="n">
        <x:f>IF(T1339="Ready",MIN(U1339,MAX(0,G1339-SUMIFS($U$1337:$U$1341,$O$1337:$O$1341,"&lt;"&amp;O1339))),"n.a.")</x:f>
        <x:v>0</x:v>
      </x:c>
      <x:c r="Q1339" s="22" t="n">
        <x:f>IF(T1339="Ready",ROUND(N1339+P1339,2),"n.a.")</x:f>
        <x:v>0</x:v>
      </x:c>
      <x:c r="R1339" s="22" t="n">
        <x:f>IF(T1339="Ready",ROUND(Q1339-M1339,2),"n.a.")</x:f>
        <x:v>0</x:v>
      </x:c>
      <x:c r="S1339" s="22" t="n">
        <x:f>IF(T1339="Ready",MAX(0,ROUND(I1339+M1339-Q1339,2)),"n.a.")</x:f>
        <x:v>0</x:v>
      </x:c>
      <x:c r="T1339" s="22" t="str">
        <x:f>IF(AND(COUNT($I$1337:$I$1341)=5,COUNT(E1339:F1339)=2),IF(E1339&gt;=F1339,"Ready","Budget below minima"),"Check inputs")</x:f>
        <x:v>Ready</x:v>
      </x:c>
      <x:c r="U1339" s="22" t="n">
        <x:f>IF(COUNT(I1339,M1339,N1339)=3,MAX(0,ROUND(I1339+M1339-N1339,2)),"n.a.")</x:f>
        <x:v>0</x:v>
      </x:c>
    </x:row>
    <x:row r="1340" ht="22" customHeight="1">
      <x:c r="A1340" s="2"/>
      <x:c r="B1340" s="2"/>
      <x:c r="C1340" s="27" t="n">
        <x:f>267</x:f>
        <x:v>267</x:v>
      </x:c>
      <x:c r="D1340" s="28" t="n">
        <x:f>IF(ISNUMBER('Inputs'!$D$7),EDATE('Inputs'!$D$7,266),"n.a.")</x:f>
        <x:v>54424</x:v>
      </x:c>
      <x:c r="E1340" s="26" t="n">
        <x:f>IF('Inputs'!$D$9&lt;&gt;"Ready","n.a.",IF(ISNUMBER('Inputs'!E285),IF('Inputs'!E285&gt;=0,'Inputs'!E285,"n.a."),IF('Inputs'!E285="",'Inputs'!$D$6,"n.a.")))</x:f>
        <x:v>500</x:v>
      </x:c>
      <x:c r="F1340" s="22" t="n">
        <x:f>IF(COUNT($N$1337:$N$1341)=5,SUM($N$1337:$N$1341),"n.a.")</x:f>
        <x:v>0</x:v>
      </x:c>
      <x:c r="G1340" s="22" t="n">
        <x:f>IF(COUNT(E1340:F1340)=2,MAX(0,E1340-F1340),"n.a.")</x:f>
        <x:v>500</x:v>
      </x:c>
      <x:c r="H1340" s="26" t="str">
        <x:f>'Inputs'!C14</x:f>
        <x:v>Unused 4</x:v>
      </x:c>
      <x:c r="I1340" s="26" t="n">
        <x:f>S1335</x:f>
        <x:v>0</x:v>
      </x:c>
      <x:c r="J1340" s="29" t="n">
        <x:f>IF('Inputs'!$D$9="Ready",'Inputs'!E14,"n.a.")</x:f>
        <x:v>0</x:v>
      </x:c>
      <x:c r="K1340" s="26" t="n">
        <x:f>IF('Inputs'!$D$9="Ready",'Inputs'!F14,"n.a.")</x:f>
        <x:v>0</x:v>
      </x:c>
      <x:c r="L1340" s="29" t="n">
        <x:f>IF('Inputs'!$D$9="Ready",'Inputs'!G14,"n.a.")</x:f>
        <x:v>0</x:v>
      </x:c>
      <x:c r="M1340" s="22" t="n">
        <x:f>IF(COUNT(I1340:L1340)=4,ROUND(I1340*J1340/12,2),"n.a.")</x:f>
        <x:v>0</x:v>
      </x:c>
      <x:c r="N1340" s="22" t="n">
        <x:f>IF(COUNT(I1340:M1340)=5,MIN(I1340+M1340,ROUND(MAX(K1340,I1340*L1340+M1340),2)),"n.a.")</x:f>
        <x:v>0</x:v>
      </x:c>
      <x:c r="O1340" s="30" t="n">
        <x:f>IF(COUNT($I$1337:$I$1341)&lt;&gt;5,"n.a.",IF(I1340=0,6,IF('Inputs'!$D$5=1,COUNTIFS($I$1337:$I$1341,"&gt;0",$I$1337:$I$1341,"&lt;"&amp;I1340)+COUNTIFS($I$1337:I1340,I1340),COUNTIFS($I$1337:$I$1341,"&gt;0",$J$1337:$J$1341,"&gt;"&amp;J1340)+COUNTIFS($I$1337:I1340,"&gt;0",$J$1337:J1340,J1340))))</x:f>
        <x:v>6</x:v>
      </x:c>
      <x:c r="P1340" s="22" t="n">
        <x:f>IF(T1340="Ready",MIN(U1340,MAX(0,G1340-SUMIFS($U$1337:$U$1341,$O$1337:$O$1341,"&lt;"&amp;O1340))),"n.a.")</x:f>
        <x:v>0</x:v>
      </x:c>
      <x:c r="Q1340" s="22" t="n">
        <x:f>IF(T1340="Ready",ROUND(N1340+P1340,2),"n.a.")</x:f>
        <x:v>0</x:v>
      </x:c>
      <x:c r="R1340" s="22" t="n">
        <x:f>IF(T1340="Ready",ROUND(Q1340-M1340,2),"n.a.")</x:f>
        <x:v>0</x:v>
      </x:c>
      <x:c r="S1340" s="22" t="n">
        <x:f>IF(T1340="Ready",MAX(0,ROUND(I1340+M1340-Q1340,2)),"n.a.")</x:f>
        <x:v>0</x:v>
      </x:c>
      <x:c r="T1340" s="22" t="str">
        <x:f>IF(AND(COUNT($I$1337:$I$1341)=5,COUNT(E1340:F1340)=2),IF(E1340&gt;=F1340,"Ready","Budget below minima"),"Check inputs")</x:f>
        <x:v>Ready</x:v>
      </x:c>
      <x:c r="U1340" s="22" t="n">
        <x:f>IF(COUNT(I1340,M1340,N1340)=3,MAX(0,ROUND(I1340+M1340-N1340,2)),"n.a.")</x:f>
        <x:v>0</x:v>
      </x:c>
    </x:row>
    <x:row r="1341" ht="22" customHeight="1">
      <x:c r="A1341" s="2"/>
      <x:c r="B1341" s="2"/>
      <x:c r="C1341" s="27" t="n">
        <x:f>267</x:f>
        <x:v>267</x:v>
      </x:c>
      <x:c r="D1341" s="28" t="n">
        <x:f>IF(ISNUMBER('Inputs'!$D$7),EDATE('Inputs'!$D$7,266),"n.a.")</x:f>
        <x:v>54424</x:v>
      </x:c>
      <x:c r="E1341" s="26" t="n">
        <x:f>IF('Inputs'!$D$9&lt;&gt;"Ready","n.a.",IF(ISNUMBER('Inputs'!E285),IF('Inputs'!E285&gt;=0,'Inputs'!E285,"n.a."),IF('Inputs'!E285="",'Inputs'!$D$6,"n.a.")))</x:f>
        <x:v>500</x:v>
      </x:c>
      <x:c r="F1341" s="22" t="n">
        <x:f>IF(COUNT($N$1337:$N$1341)=5,SUM($N$1337:$N$1341),"n.a.")</x:f>
        <x:v>0</x:v>
      </x:c>
      <x:c r="G1341" s="22" t="n">
        <x:f>IF(COUNT(E1341:F1341)=2,MAX(0,E1341-F1341),"n.a.")</x:f>
        <x:v>500</x:v>
      </x:c>
      <x:c r="H1341" s="26" t="str">
        <x:f>'Inputs'!C15</x:f>
        <x:v>Unused 5</x:v>
      </x:c>
      <x:c r="I1341" s="26" t="n">
        <x:f>S1336</x:f>
        <x:v>0</x:v>
      </x:c>
      <x:c r="J1341" s="29" t="n">
        <x:f>IF('Inputs'!$D$9="Ready",'Inputs'!E15,"n.a.")</x:f>
        <x:v>0</x:v>
      </x:c>
      <x:c r="K1341" s="26" t="n">
        <x:f>IF('Inputs'!$D$9="Ready",'Inputs'!F15,"n.a.")</x:f>
        <x:v>0</x:v>
      </x:c>
      <x:c r="L1341" s="29" t="n">
        <x:f>IF('Inputs'!$D$9="Ready",'Inputs'!G15,"n.a.")</x:f>
        <x:v>0</x:v>
      </x:c>
      <x:c r="M1341" s="22" t="n">
        <x:f>IF(COUNT(I1341:L1341)=4,ROUND(I1341*J1341/12,2),"n.a.")</x:f>
        <x:v>0</x:v>
      </x:c>
      <x:c r="N1341" s="22" t="n">
        <x:f>IF(COUNT(I1341:M1341)=5,MIN(I1341+M1341,ROUND(MAX(K1341,I1341*L1341+M1341),2)),"n.a.")</x:f>
        <x:v>0</x:v>
      </x:c>
      <x:c r="O1341" s="30" t="n">
        <x:f>IF(COUNT($I$1337:$I$1341)&lt;&gt;5,"n.a.",IF(I1341=0,6,IF('Inputs'!$D$5=1,COUNTIFS($I$1337:$I$1341,"&gt;0",$I$1337:$I$1341,"&lt;"&amp;I1341)+COUNTIFS($I$1337:I1341,I1341),COUNTIFS($I$1337:$I$1341,"&gt;0",$J$1337:$J$1341,"&gt;"&amp;J1341)+COUNTIFS($I$1337:I1341,"&gt;0",$J$1337:J1341,J1341))))</x:f>
        <x:v>6</x:v>
      </x:c>
      <x:c r="P1341" s="22" t="n">
        <x:f>IF(T1341="Ready",MIN(U1341,MAX(0,G1341-SUMIFS($U$1337:$U$1341,$O$1337:$O$1341,"&lt;"&amp;O1341))),"n.a.")</x:f>
        <x:v>0</x:v>
      </x:c>
      <x:c r="Q1341" s="22" t="n">
        <x:f>IF(T1341="Ready",ROUND(N1341+P1341,2),"n.a.")</x:f>
        <x:v>0</x:v>
      </x:c>
      <x:c r="R1341" s="22" t="n">
        <x:f>IF(T1341="Ready",ROUND(Q1341-M1341,2),"n.a.")</x:f>
        <x:v>0</x:v>
      </x:c>
      <x:c r="S1341" s="22" t="n">
        <x:f>IF(T1341="Ready",MAX(0,ROUND(I1341+M1341-Q1341,2)),"n.a.")</x:f>
        <x:v>0</x:v>
      </x:c>
      <x:c r="T1341" s="22" t="str">
        <x:f>IF(AND(COUNT($I$1337:$I$1341)=5,COUNT(E1341:F1341)=2),IF(E1341&gt;=F1341,"Ready","Budget below minima"),"Check inputs")</x:f>
        <x:v>Ready</x:v>
      </x:c>
      <x:c r="U1341" s="22" t="n">
        <x:f>IF(COUNT(I1341,M1341,N1341)=3,MAX(0,ROUND(I1341+M1341-N1341,2)),"n.a.")</x:f>
        <x:v>0</x:v>
      </x:c>
    </x:row>
    <x:row r="1342" ht="22" customHeight="1">
      <x:c r="A1342" s="2"/>
      <x:c r="B1342" s="2"/>
      <x:c r="C1342" s="27" t="n">
        <x:f>268</x:f>
        <x:v>268</x:v>
      </x:c>
      <x:c r="D1342" s="28" t="n">
        <x:f>IF(ISNUMBER('Inputs'!$D$7),EDATE('Inputs'!$D$7,267),"n.a.")</x:f>
        <x:v>54455</x:v>
      </x:c>
      <x:c r="E1342" s="26" t="n">
        <x:f>IF('Inputs'!$D$9&lt;&gt;"Ready","n.a.",IF(ISNUMBER('Inputs'!E286),IF('Inputs'!E286&gt;=0,'Inputs'!E286,"n.a."),IF('Inputs'!E286="",'Inputs'!$D$6,"n.a.")))</x:f>
        <x:v>500</x:v>
      </x:c>
      <x:c r="F1342" s="22" t="n">
        <x:f>IF(COUNT($N$1342:$N$1346)=5,SUM($N$1342:$N$1346),"n.a.")</x:f>
        <x:v>0</x:v>
      </x:c>
      <x:c r="G1342" s="22" t="n">
        <x:f>IF(COUNT(E1342:F1342)=2,MAX(0,E1342-F1342),"n.a.")</x:f>
        <x:v>500</x:v>
      </x:c>
      <x:c r="H1342" s="26" t="str">
        <x:f>'Inputs'!C11</x:f>
        <x:v>Card A</x:v>
      </x:c>
      <x:c r="I1342" s="26" t="n">
        <x:f>S1337</x:f>
        <x:v>0</x:v>
      </x:c>
      <x:c r="J1342" s="29" t="n">
        <x:f>IF('Inputs'!$D$9="Ready",'Inputs'!E11,"n.a.")</x:f>
        <x:v>0.24</x:v>
      </x:c>
      <x:c r="K1342" s="26" t="n">
        <x:f>IF('Inputs'!$D$9="Ready",'Inputs'!F11,"n.a.")</x:f>
        <x:v>35</x:v>
      </x:c>
      <x:c r="L1342" s="29" t="n">
        <x:f>IF('Inputs'!$D$9="Ready",'Inputs'!G11,"n.a.")</x:f>
        <x:v>0.02</x:v>
      </x:c>
      <x:c r="M1342" s="22" t="n">
        <x:f>IF(COUNT(I1342:L1342)=4,ROUND(I1342*J1342/12,2),"n.a.")</x:f>
        <x:v>0</x:v>
      </x:c>
      <x:c r="N1342" s="22" t="n">
        <x:f>IF(COUNT(I1342:M1342)=5,MIN(I1342+M1342,ROUND(MAX(K1342,I1342*L1342+M1342),2)),"n.a.")</x:f>
        <x:v>0</x:v>
      </x:c>
      <x:c r="O1342" s="30" t="n">
        <x:f>IF(COUNT($I$1342:$I$1346)&lt;&gt;5,"n.a.",IF(I1342=0,6,IF('Inputs'!$D$5=1,COUNTIFS($I$1342:$I$1346,"&gt;0",$I$1342:$I$1346,"&lt;"&amp;I1342)+COUNTIFS($I$1342:I1342,I1342),COUNTIFS($I$1342:$I$1346,"&gt;0",$J$1342:$J$1346,"&gt;"&amp;J1342)+COUNTIFS($I$1342:I1342,"&gt;0",$J$1342:J1342,J1342))))</x:f>
        <x:v>6</x:v>
      </x:c>
      <x:c r="P1342" s="22" t="n">
        <x:f>IF(T1342="Ready",MIN(U1342,MAX(0,G1342-SUMIFS($U$1342:$U$1346,$O$1342:$O$1346,"&lt;"&amp;O1342))),"n.a.")</x:f>
        <x:v>0</x:v>
      </x:c>
      <x:c r="Q1342" s="22" t="n">
        <x:f>IF(T1342="Ready",ROUND(N1342+P1342,2),"n.a.")</x:f>
        <x:v>0</x:v>
      </x:c>
      <x:c r="R1342" s="22" t="n">
        <x:f>IF(T1342="Ready",ROUND(Q1342-M1342,2),"n.a.")</x:f>
        <x:v>0</x:v>
      </x:c>
      <x:c r="S1342" s="22" t="n">
        <x:f>IF(T1342="Ready",MAX(0,ROUND(I1342+M1342-Q1342,2)),"n.a.")</x:f>
        <x:v>0</x:v>
      </x:c>
      <x:c r="T1342" s="22" t="str">
        <x:f>IF(AND(COUNT($I$1342:$I$1346)=5,COUNT(E1342:F1342)=2),IF(E1342&gt;=F1342,"Ready","Budget below minima"),"Check inputs")</x:f>
        <x:v>Ready</x:v>
      </x:c>
      <x:c r="U1342" s="22" t="n">
        <x:f>IF(COUNT(I1342,M1342,N1342)=3,MAX(0,ROUND(I1342+M1342-N1342,2)),"n.a.")</x:f>
        <x:v>0</x:v>
      </x:c>
    </x:row>
    <x:row r="1343" ht="22" customHeight="1">
      <x:c r="A1343" s="2"/>
      <x:c r="B1343" s="2"/>
      <x:c r="C1343" s="27" t="n">
        <x:f>268</x:f>
        <x:v>268</x:v>
      </x:c>
      <x:c r="D1343" s="28" t="n">
        <x:f>IF(ISNUMBER('Inputs'!$D$7),EDATE('Inputs'!$D$7,267),"n.a.")</x:f>
        <x:v>54455</x:v>
      </x:c>
      <x:c r="E1343" s="26" t="n">
        <x:f>IF('Inputs'!$D$9&lt;&gt;"Ready","n.a.",IF(ISNUMBER('Inputs'!E286),IF('Inputs'!E286&gt;=0,'Inputs'!E286,"n.a."),IF('Inputs'!E286="",'Inputs'!$D$6,"n.a.")))</x:f>
        <x:v>500</x:v>
      </x:c>
      <x:c r="F1343" s="22" t="n">
        <x:f>IF(COUNT($N$1342:$N$1346)=5,SUM($N$1342:$N$1346),"n.a.")</x:f>
        <x:v>0</x:v>
      </x:c>
      <x:c r="G1343" s="22" t="n">
        <x:f>IF(COUNT(E1343:F1343)=2,MAX(0,E1343-F1343),"n.a.")</x:f>
        <x:v>500</x:v>
      </x:c>
      <x:c r="H1343" s="26" t="str">
        <x:f>'Inputs'!C12</x:f>
        <x:v>Card B</x:v>
      </x:c>
      <x:c r="I1343" s="26" t="n">
        <x:f>S1338</x:f>
        <x:v>0</x:v>
      </x:c>
      <x:c r="J1343" s="29" t="n">
        <x:f>IF('Inputs'!$D$9="Ready",'Inputs'!E12,"n.a.")</x:f>
        <x:v>0.18</x:v>
      </x:c>
      <x:c r="K1343" s="26" t="n">
        <x:f>IF('Inputs'!$D$9="Ready",'Inputs'!F12,"n.a.")</x:f>
        <x:v>60</x:v>
      </x:c>
      <x:c r="L1343" s="29" t="n">
        <x:f>IF('Inputs'!$D$9="Ready",'Inputs'!G12,"n.a.")</x:f>
        <x:v>0.02</x:v>
      </x:c>
      <x:c r="M1343" s="22" t="n">
        <x:f>IF(COUNT(I1343:L1343)=4,ROUND(I1343*J1343/12,2),"n.a.")</x:f>
        <x:v>0</x:v>
      </x:c>
      <x:c r="N1343" s="22" t="n">
        <x:f>IF(COUNT(I1343:M1343)=5,MIN(I1343+M1343,ROUND(MAX(K1343,I1343*L1343+M1343),2)),"n.a.")</x:f>
        <x:v>0</x:v>
      </x:c>
      <x:c r="O1343" s="30" t="n">
        <x:f>IF(COUNT($I$1342:$I$1346)&lt;&gt;5,"n.a.",IF(I1343=0,6,IF('Inputs'!$D$5=1,COUNTIFS($I$1342:$I$1346,"&gt;0",$I$1342:$I$1346,"&lt;"&amp;I1343)+COUNTIFS($I$1342:I1343,I1343),COUNTIFS($I$1342:$I$1346,"&gt;0",$J$1342:$J$1346,"&gt;"&amp;J1343)+COUNTIFS($I$1342:I1343,"&gt;0",$J$1342:J1343,J1343))))</x:f>
        <x:v>6</x:v>
      </x:c>
      <x:c r="P1343" s="22" t="n">
        <x:f>IF(T1343="Ready",MIN(U1343,MAX(0,G1343-SUMIFS($U$1342:$U$1346,$O$1342:$O$1346,"&lt;"&amp;O1343))),"n.a.")</x:f>
        <x:v>0</x:v>
      </x:c>
      <x:c r="Q1343" s="22" t="n">
        <x:f>IF(T1343="Ready",ROUND(N1343+P1343,2),"n.a.")</x:f>
        <x:v>0</x:v>
      </x:c>
      <x:c r="R1343" s="22" t="n">
        <x:f>IF(T1343="Ready",ROUND(Q1343-M1343,2),"n.a.")</x:f>
        <x:v>0</x:v>
      </x:c>
      <x:c r="S1343" s="22" t="n">
        <x:f>IF(T1343="Ready",MAX(0,ROUND(I1343+M1343-Q1343,2)),"n.a.")</x:f>
        <x:v>0</x:v>
      </x:c>
      <x:c r="T1343" s="22" t="str">
        <x:f>IF(AND(COUNT($I$1342:$I$1346)=5,COUNT(E1343:F1343)=2),IF(E1343&gt;=F1343,"Ready","Budget below minima"),"Check inputs")</x:f>
        <x:v>Ready</x:v>
      </x:c>
      <x:c r="U1343" s="22" t="n">
        <x:f>IF(COUNT(I1343,M1343,N1343)=3,MAX(0,ROUND(I1343+M1343-N1343,2)),"n.a.")</x:f>
        <x:v>0</x:v>
      </x:c>
    </x:row>
    <x:row r="1344" ht="22" customHeight="1">
      <x:c r="A1344" s="2"/>
      <x:c r="B1344" s="2"/>
      <x:c r="C1344" s="27" t="n">
        <x:f>268</x:f>
        <x:v>268</x:v>
      </x:c>
      <x:c r="D1344" s="28" t="n">
        <x:f>IF(ISNUMBER('Inputs'!$D$7),EDATE('Inputs'!$D$7,267),"n.a.")</x:f>
        <x:v>54455</x:v>
      </x:c>
      <x:c r="E1344" s="26" t="n">
        <x:f>IF('Inputs'!$D$9&lt;&gt;"Ready","n.a.",IF(ISNUMBER('Inputs'!E286),IF('Inputs'!E286&gt;=0,'Inputs'!E286,"n.a."),IF('Inputs'!E286="",'Inputs'!$D$6,"n.a.")))</x:f>
        <x:v>500</x:v>
      </x:c>
      <x:c r="F1344" s="22" t="n">
        <x:f>IF(COUNT($N$1342:$N$1346)=5,SUM($N$1342:$N$1346),"n.a.")</x:f>
        <x:v>0</x:v>
      </x:c>
      <x:c r="G1344" s="22" t="n">
        <x:f>IF(COUNT(E1344:F1344)=2,MAX(0,E1344-F1344),"n.a.")</x:f>
        <x:v>500</x:v>
      </x:c>
      <x:c r="H1344" s="26" t="str">
        <x:f>'Inputs'!C13</x:f>
        <x:v>Loan C</x:v>
      </x:c>
      <x:c r="I1344" s="26" t="n">
        <x:f>S1339</x:f>
        <x:v>0</x:v>
      </x:c>
      <x:c r="J1344" s="29" t="n">
        <x:f>IF('Inputs'!$D$9="Ready",'Inputs'!E13,"n.a.")</x:f>
        <x:v>0.08</x:v>
      </x:c>
      <x:c r="K1344" s="26" t="n">
        <x:f>IF('Inputs'!$D$9="Ready",'Inputs'!F13,"n.a.")</x:f>
        <x:v>150</x:v>
      </x:c>
      <x:c r="L1344" s="29" t="n">
        <x:f>IF('Inputs'!$D$9="Ready",'Inputs'!G13,"n.a.")</x:f>
        <x:v>0</x:v>
      </x:c>
      <x:c r="M1344" s="22" t="n">
        <x:f>IF(COUNT(I1344:L1344)=4,ROUND(I1344*J1344/12,2),"n.a.")</x:f>
        <x:v>0</x:v>
      </x:c>
      <x:c r="N1344" s="22" t="n">
        <x:f>IF(COUNT(I1344:M1344)=5,MIN(I1344+M1344,ROUND(MAX(K1344,I1344*L1344+M1344),2)),"n.a.")</x:f>
        <x:v>0</x:v>
      </x:c>
      <x:c r="O1344" s="30" t="n">
        <x:f>IF(COUNT($I$1342:$I$1346)&lt;&gt;5,"n.a.",IF(I1344=0,6,IF('Inputs'!$D$5=1,COUNTIFS($I$1342:$I$1346,"&gt;0",$I$1342:$I$1346,"&lt;"&amp;I1344)+COUNTIFS($I$1342:I1344,I1344),COUNTIFS($I$1342:$I$1346,"&gt;0",$J$1342:$J$1346,"&gt;"&amp;J1344)+COUNTIFS($I$1342:I1344,"&gt;0",$J$1342:J1344,J1344))))</x:f>
        <x:v>6</x:v>
      </x:c>
      <x:c r="P1344" s="22" t="n">
        <x:f>IF(T1344="Ready",MIN(U1344,MAX(0,G1344-SUMIFS($U$1342:$U$1346,$O$1342:$O$1346,"&lt;"&amp;O1344))),"n.a.")</x:f>
        <x:v>0</x:v>
      </x:c>
      <x:c r="Q1344" s="22" t="n">
        <x:f>IF(T1344="Ready",ROUND(N1344+P1344,2),"n.a.")</x:f>
        <x:v>0</x:v>
      </x:c>
      <x:c r="R1344" s="22" t="n">
        <x:f>IF(T1344="Ready",ROUND(Q1344-M1344,2),"n.a.")</x:f>
        <x:v>0</x:v>
      </x:c>
      <x:c r="S1344" s="22" t="n">
        <x:f>IF(T1344="Ready",MAX(0,ROUND(I1344+M1344-Q1344,2)),"n.a.")</x:f>
        <x:v>0</x:v>
      </x:c>
      <x:c r="T1344" s="22" t="str">
        <x:f>IF(AND(COUNT($I$1342:$I$1346)=5,COUNT(E1344:F1344)=2),IF(E1344&gt;=F1344,"Ready","Budget below minima"),"Check inputs")</x:f>
        <x:v>Ready</x:v>
      </x:c>
      <x:c r="U1344" s="22" t="n">
        <x:f>IF(COUNT(I1344,M1344,N1344)=3,MAX(0,ROUND(I1344+M1344-N1344,2)),"n.a.")</x:f>
        <x:v>0</x:v>
      </x:c>
    </x:row>
    <x:row r="1345" ht="22" customHeight="1">
      <x:c r="A1345" s="2"/>
      <x:c r="B1345" s="2"/>
      <x:c r="C1345" s="27" t="n">
        <x:f>268</x:f>
        <x:v>268</x:v>
      </x:c>
      <x:c r="D1345" s="28" t="n">
        <x:f>IF(ISNUMBER('Inputs'!$D$7),EDATE('Inputs'!$D$7,267),"n.a.")</x:f>
        <x:v>54455</x:v>
      </x:c>
      <x:c r="E1345" s="26" t="n">
        <x:f>IF('Inputs'!$D$9&lt;&gt;"Ready","n.a.",IF(ISNUMBER('Inputs'!E286),IF('Inputs'!E286&gt;=0,'Inputs'!E286,"n.a."),IF('Inputs'!E286="",'Inputs'!$D$6,"n.a.")))</x:f>
        <x:v>500</x:v>
      </x:c>
      <x:c r="F1345" s="22" t="n">
        <x:f>IF(COUNT($N$1342:$N$1346)=5,SUM($N$1342:$N$1346),"n.a.")</x:f>
        <x:v>0</x:v>
      </x:c>
      <x:c r="G1345" s="22" t="n">
        <x:f>IF(COUNT(E1345:F1345)=2,MAX(0,E1345-F1345),"n.a.")</x:f>
        <x:v>500</x:v>
      </x:c>
      <x:c r="H1345" s="26" t="str">
        <x:f>'Inputs'!C14</x:f>
        <x:v>Unused 4</x:v>
      </x:c>
      <x:c r="I1345" s="26" t="n">
        <x:f>S1340</x:f>
        <x:v>0</x:v>
      </x:c>
      <x:c r="J1345" s="29" t="n">
        <x:f>IF('Inputs'!$D$9="Ready",'Inputs'!E14,"n.a.")</x:f>
        <x:v>0</x:v>
      </x:c>
      <x:c r="K1345" s="26" t="n">
        <x:f>IF('Inputs'!$D$9="Ready",'Inputs'!F14,"n.a.")</x:f>
        <x:v>0</x:v>
      </x:c>
      <x:c r="L1345" s="29" t="n">
        <x:f>IF('Inputs'!$D$9="Ready",'Inputs'!G14,"n.a.")</x:f>
        <x:v>0</x:v>
      </x:c>
      <x:c r="M1345" s="22" t="n">
        <x:f>IF(COUNT(I1345:L1345)=4,ROUND(I1345*J1345/12,2),"n.a.")</x:f>
        <x:v>0</x:v>
      </x:c>
      <x:c r="N1345" s="22" t="n">
        <x:f>IF(COUNT(I1345:M1345)=5,MIN(I1345+M1345,ROUND(MAX(K1345,I1345*L1345+M1345),2)),"n.a.")</x:f>
        <x:v>0</x:v>
      </x:c>
      <x:c r="O1345" s="30" t="n">
        <x:f>IF(COUNT($I$1342:$I$1346)&lt;&gt;5,"n.a.",IF(I1345=0,6,IF('Inputs'!$D$5=1,COUNTIFS($I$1342:$I$1346,"&gt;0",$I$1342:$I$1346,"&lt;"&amp;I1345)+COUNTIFS($I$1342:I1345,I1345),COUNTIFS($I$1342:$I$1346,"&gt;0",$J$1342:$J$1346,"&gt;"&amp;J1345)+COUNTIFS($I$1342:I1345,"&gt;0",$J$1342:J1345,J1345))))</x:f>
        <x:v>6</x:v>
      </x:c>
      <x:c r="P1345" s="22" t="n">
        <x:f>IF(T1345="Ready",MIN(U1345,MAX(0,G1345-SUMIFS($U$1342:$U$1346,$O$1342:$O$1346,"&lt;"&amp;O1345))),"n.a.")</x:f>
        <x:v>0</x:v>
      </x:c>
      <x:c r="Q1345" s="22" t="n">
        <x:f>IF(T1345="Ready",ROUND(N1345+P1345,2),"n.a.")</x:f>
        <x:v>0</x:v>
      </x:c>
      <x:c r="R1345" s="22" t="n">
        <x:f>IF(T1345="Ready",ROUND(Q1345-M1345,2),"n.a.")</x:f>
        <x:v>0</x:v>
      </x:c>
      <x:c r="S1345" s="22" t="n">
        <x:f>IF(T1345="Ready",MAX(0,ROUND(I1345+M1345-Q1345,2)),"n.a.")</x:f>
        <x:v>0</x:v>
      </x:c>
      <x:c r="T1345" s="22" t="str">
        <x:f>IF(AND(COUNT($I$1342:$I$1346)=5,COUNT(E1345:F1345)=2),IF(E1345&gt;=F1345,"Ready","Budget below minima"),"Check inputs")</x:f>
        <x:v>Ready</x:v>
      </x:c>
      <x:c r="U1345" s="22" t="n">
        <x:f>IF(COUNT(I1345,M1345,N1345)=3,MAX(0,ROUND(I1345+M1345-N1345,2)),"n.a.")</x:f>
        <x:v>0</x:v>
      </x:c>
    </x:row>
    <x:row r="1346" ht="22" customHeight="1">
      <x:c r="A1346" s="2"/>
      <x:c r="B1346" s="2"/>
      <x:c r="C1346" s="27" t="n">
        <x:f>268</x:f>
        <x:v>268</x:v>
      </x:c>
      <x:c r="D1346" s="28" t="n">
        <x:f>IF(ISNUMBER('Inputs'!$D$7),EDATE('Inputs'!$D$7,267),"n.a.")</x:f>
        <x:v>54455</x:v>
      </x:c>
      <x:c r="E1346" s="26" t="n">
        <x:f>IF('Inputs'!$D$9&lt;&gt;"Ready","n.a.",IF(ISNUMBER('Inputs'!E286),IF('Inputs'!E286&gt;=0,'Inputs'!E286,"n.a."),IF('Inputs'!E286="",'Inputs'!$D$6,"n.a.")))</x:f>
        <x:v>500</x:v>
      </x:c>
      <x:c r="F1346" s="22" t="n">
        <x:f>IF(COUNT($N$1342:$N$1346)=5,SUM($N$1342:$N$1346),"n.a.")</x:f>
        <x:v>0</x:v>
      </x:c>
      <x:c r="G1346" s="22" t="n">
        <x:f>IF(COUNT(E1346:F1346)=2,MAX(0,E1346-F1346),"n.a.")</x:f>
        <x:v>500</x:v>
      </x:c>
      <x:c r="H1346" s="26" t="str">
        <x:f>'Inputs'!C15</x:f>
        <x:v>Unused 5</x:v>
      </x:c>
      <x:c r="I1346" s="26" t="n">
        <x:f>S1341</x:f>
        <x:v>0</x:v>
      </x:c>
      <x:c r="J1346" s="29" t="n">
        <x:f>IF('Inputs'!$D$9="Ready",'Inputs'!E15,"n.a.")</x:f>
        <x:v>0</x:v>
      </x:c>
      <x:c r="K1346" s="26" t="n">
        <x:f>IF('Inputs'!$D$9="Ready",'Inputs'!F15,"n.a.")</x:f>
        <x:v>0</x:v>
      </x:c>
      <x:c r="L1346" s="29" t="n">
        <x:f>IF('Inputs'!$D$9="Ready",'Inputs'!G15,"n.a.")</x:f>
        <x:v>0</x:v>
      </x:c>
      <x:c r="M1346" s="22" t="n">
        <x:f>IF(COUNT(I1346:L1346)=4,ROUND(I1346*J1346/12,2),"n.a.")</x:f>
        <x:v>0</x:v>
      </x:c>
      <x:c r="N1346" s="22" t="n">
        <x:f>IF(COUNT(I1346:M1346)=5,MIN(I1346+M1346,ROUND(MAX(K1346,I1346*L1346+M1346),2)),"n.a.")</x:f>
        <x:v>0</x:v>
      </x:c>
      <x:c r="O1346" s="30" t="n">
        <x:f>IF(COUNT($I$1342:$I$1346)&lt;&gt;5,"n.a.",IF(I1346=0,6,IF('Inputs'!$D$5=1,COUNTIFS($I$1342:$I$1346,"&gt;0",$I$1342:$I$1346,"&lt;"&amp;I1346)+COUNTIFS($I$1342:I1346,I1346),COUNTIFS($I$1342:$I$1346,"&gt;0",$J$1342:$J$1346,"&gt;"&amp;J1346)+COUNTIFS($I$1342:I1346,"&gt;0",$J$1342:J1346,J1346))))</x:f>
        <x:v>6</x:v>
      </x:c>
      <x:c r="P1346" s="22" t="n">
        <x:f>IF(T1346="Ready",MIN(U1346,MAX(0,G1346-SUMIFS($U$1342:$U$1346,$O$1342:$O$1346,"&lt;"&amp;O1346))),"n.a.")</x:f>
        <x:v>0</x:v>
      </x:c>
      <x:c r="Q1346" s="22" t="n">
        <x:f>IF(T1346="Ready",ROUND(N1346+P1346,2),"n.a.")</x:f>
        <x:v>0</x:v>
      </x:c>
      <x:c r="R1346" s="22" t="n">
        <x:f>IF(T1346="Ready",ROUND(Q1346-M1346,2),"n.a.")</x:f>
        <x:v>0</x:v>
      </x:c>
      <x:c r="S1346" s="22" t="n">
        <x:f>IF(T1346="Ready",MAX(0,ROUND(I1346+M1346-Q1346,2)),"n.a.")</x:f>
        <x:v>0</x:v>
      </x:c>
      <x:c r="T1346" s="22" t="str">
        <x:f>IF(AND(COUNT($I$1342:$I$1346)=5,COUNT(E1346:F1346)=2),IF(E1346&gt;=F1346,"Ready","Budget below minima"),"Check inputs")</x:f>
        <x:v>Ready</x:v>
      </x:c>
      <x:c r="U1346" s="22" t="n">
        <x:f>IF(COUNT(I1346,M1346,N1346)=3,MAX(0,ROUND(I1346+M1346-N1346,2)),"n.a.")</x:f>
        <x:v>0</x:v>
      </x:c>
    </x:row>
    <x:row r="1347" ht="22" customHeight="1">
      <x:c r="A1347" s="2"/>
      <x:c r="B1347" s="2"/>
      <x:c r="C1347" s="27" t="n">
        <x:f>269</x:f>
        <x:v>269</x:v>
      </x:c>
      <x:c r="D1347" s="28" t="n">
        <x:f>IF(ISNUMBER('Inputs'!$D$7),EDATE('Inputs'!$D$7,268),"n.a.")</x:f>
        <x:v>54483</x:v>
      </x:c>
      <x:c r="E1347" s="26" t="n">
        <x:f>IF('Inputs'!$D$9&lt;&gt;"Ready","n.a.",IF(ISNUMBER('Inputs'!E287),IF('Inputs'!E287&gt;=0,'Inputs'!E287,"n.a."),IF('Inputs'!E287="",'Inputs'!$D$6,"n.a.")))</x:f>
        <x:v>500</x:v>
      </x:c>
      <x:c r="F1347" s="22" t="n">
        <x:f>IF(COUNT($N$1347:$N$1351)=5,SUM($N$1347:$N$1351),"n.a.")</x:f>
        <x:v>0</x:v>
      </x:c>
      <x:c r="G1347" s="22" t="n">
        <x:f>IF(COUNT(E1347:F1347)=2,MAX(0,E1347-F1347),"n.a.")</x:f>
        <x:v>500</x:v>
      </x:c>
      <x:c r="H1347" s="26" t="str">
        <x:f>'Inputs'!C11</x:f>
        <x:v>Card A</x:v>
      </x:c>
      <x:c r="I1347" s="26" t="n">
        <x:f>S1342</x:f>
        <x:v>0</x:v>
      </x:c>
      <x:c r="J1347" s="29" t="n">
        <x:f>IF('Inputs'!$D$9="Ready",'Inputs'!E11,"n.a.")</x:f>
        <x:v>0.24</x:v>
      </x:c>
      <x:c r="K1347" s="26" t="n">
        <x:f>IF('Inputs'!$D$9="Ready",'Inputs'!F11,"n.a.")</x:f>
        <x:v>35</x:v>
      </x:c>
      <x:c r="L1347" s="29" t="n">
        <x:f>IF('Inputs'!$D$9="Ready",'Inputs'!G11,"n.a.")</x:f>
        <x:v>0.02</x:v>
      </x:c>
      <x:c r="M1347" s="22" t="n">
        <x:f>IF(COUNT(I1347:L1347)=4,ROUND(I1347*J1347/12,2),"n.a.")</x:f>
        <x:v>0</x:v>
      </x:c>
      <x:c r="N1347" s="22" t="n">
        <x:f>IF(COUNT(I1347:M1347)=5,MIN(I1347+M1347,ROUND(MAX(K1347,I1347*L1347+M1347),2)),"n.a.")</x:f>
        <x:v>0</x:v>
      </x:c>
      <x:c r="O1347" s="30" t="n">
        <x:f>IF(COUNT($I$1347:$I$1351)&lt;&gt;5,"n.a.",IF(I1347=0,6,IF('Inputs'!$D$5=1,COUNTIFS($I$1347:$I$1351,"&gt;0",$I$1347:$I$1351,"&lt;"&amp;I1347)+COUNTIFS($I$1347:I1347,I1347),COUNTIFS($I$1347:$I$1351,"&gt;0",$J$1347:$J$1351,"&gt;"&amp;J1347)+COUNTIFS($I$1347:I1347,"&gt;0",$J$1347:J1347,J1347))))</x:f>
        <x:v>6</x:v>
      </x:c>
      <x:c r="P1347" s="22" t="n">
        <x:f>IF(T1347="Ready",MIN(U1347,MAX(0,G1347-SUMIFS($U$1347:$U$1351,$O$1347:$O$1351,"&lt;"&amp;O1347))),"n.a.")</x:f>
        <x:v>0</x:v>
      </x:c>
      <x:c r="Q1347" s="22" t="n">
        <x:f>IF(T1347="Ready",ROUND(N1347+P1347,2),"n.a.")</x:f>
        <x:v>0</x:v>
      </x:c>
      <x:c r="R1347" s="22" t="n">
        <x:f>IF(T1347="Ready",ROUND(Q1347-M1347,2),"n.a.")</x:f>
        <x:v>0</x:v>
      </x:c>
      <x:c r="S1347" s="22" t="n">
        <x:f>IF(T1347="Ready",MAX(0,ROUND(I1347+M1347-Q1347,2)),"n.a.")</x:f>
        <x:v>0</x:v>
      </x:c>
      <x:c r="T1347" s="22" t="str">
        <x:f>IF(AND(COUNT($I$1347:$I$1351)=5,COUNT(E1347:F1347)=2),IF(E1347&gt;=F1347,"Ready","Budget below minima"),"Check inputs")</x:f>
        <x:v>Ready</x:v>
      </x:c>
      <x:c r="U1347" s="22" t="n">
        <x:f>IF(COUNT(I1347,M1347,N1347)=3,MAX(0,ROUND(I1347+M1347-N1347,2)),"n.a.")</x:f>
        <x:v>0</x:v>
      </x:c>
    </x:row>
    <x:row r="1348" ht="22" customHeight="1">
      <x:c r="A1348" s="2"/>
      <x:c r="B1348" s="2"/>
      <x:c r="C1348" s="27" t="n">
        <x:f>269</x:f>
        <x:v>269</x:v>
      </x:c>
      <x:c r="D1348" s="28" t="n">
        <x:f>IF(ISNUMBER('Inputs'!$D$7),EDATE('Inputs'!$D$7,268),"n.a.")</x:f>
        <x:v>54483</x:v>
      </x:c>
      <x:c r="E1348" s="26" t="n">
        <x:f>IF('Inputs'!$D$9&lt;&gt;"Ready","n.a.",IF(ISNUMBER('Inputs'!E287),IF('Inputs'!E287&gt;=0,'Inputs'!E287,"n.a."),IF('Inputs'!E287="",'Inputs'!$D$6,"n.a.")))</x:f>
        <x:v>500</x:v>
      </x:c>
      <x:c r="F1348" s="22" t="n">
        <x:f>IF(COUNT($N$1347:$N$1351)=5,SUM($N$1347:$N$1351),"n.a.")</x:f>
        <x:v>0</x:v>
      </x:c>
      <x:c r="G1348" s="22" t="n">
        <x:f>IF(COUNT(E1348:F1348)=2,MAX(0,E1348-F1348),"n.a.")</x:f>
        <x:v>500</x:v>
      </x:c>
      <x:c r="H1348" s="26" t="str">
        <x:f>'Inputs'!C12</x:f>
        <x:v>Card B</x:v>
      </x:c>
      <x:c r="I1348" s="26" t="n">
        <x:f>S1343</x:f>
        <x:v>0</x:v>
      </x:c>
      <x:c r="J1348" s="29" t="n">
        <x:f>IF('Inputs'!$D$9="Ready",'Inputs'!E12,"n.a.")</x:f>
        <x:v>0.18</x:v>
      </x:c>
      <x:c r="K1348" s="26" t="n">
        <x:f>IF('Inputs'!$D$9="Ready",'Inputs'!F12,"n.a.")</x:f>
        <x:v>60</x:v>
      </x:c>
      <x:c r="L1348" s="29" t="n">
        <x:f>IF('Inputs'!$D$9="Ready",'Inputs'!G12,"n.a.")</x:f>
        <x:v>0.02</x:v>
      </x:c>
      <x:c r="M1348" s="22" t="n">
        <x:f>IF(COUNT(I1348:L1348)=4,ROUND(I1348*J1348/12,2),"n.a.")</x:f>
        <x:v>0</x:v>
      </x:c>
      <x:c r="N1348" s="22" t="n">
        <x:f>IF(COUNT(I1348:M1348)=5,MIN(I1348+M1348,ROUND(MAX(K1348,I1348*L1348+M1348),2)),"n.a.")</x:f>
        <x:v>0</x:v>
      </x:c>
      <x:c r="O1348" s="30" t="n">
        <x:f>IF(COUNT($I$1347:$I$1351)&lt;&gt;5,"n.a.",IF(I1348=0,6,IF('Inputs'!$D$5=1,COUNTIFS($I$1347:$I$1351,"&gt;0",$I$1347:$I$1351,"&lt;"&amp;I1348)+COUNTIFS($I$1347:I1348,I1348),COUNTIFS($I$1347:$I$1351,"&gt;0",$J$1347:$J$1351,"&gt;"&amp;J1348)+COUNTIFS($I$1347:I1348,"&gt;0",$J$1347:J1348,J1348))))</x:f>
        <x:v>6</x:v>
      </x:c>
      <x:c r="P1348" s="22" t="n">
        <x:f>IF(T1348="Ready",MIN(U1348,MAX(0,G1348-SUMIFS($U$1347:$U$1351,$O$1347:$O$1351,"&lt;"&amp;O1348))),"n.a.")</x:f>
        <x:v>0</x:v>
      </x:c>
      <x:c r="Q1348" s="22" t="n">
        <x:f>IF(T1348="Ready",ROUND(N1348+P1348,2),"n.a.")</x:f>
        <x:v>0</x:v>
      </x:c>
      <x:c r="R1348" s="22" t="n">
        <x:f>IF(T1348="Ready",ROUND(Q1348-M1348,2),"n.a.")</x:f>
        <x:v>0</x:v>
      </x:c>
      <x:c r="S1348" s="22" t="n">
        <x:f>IF(T1348="Ready",MAX(0,ROUND(I1348+M1348-Q1348,2)),"n.a.")</x:f>
        <x:v>0</x:v>
      </x:c>
      <x:c r="T1348" s="22" t="str">
        <x:f>IF(AND(COUNT($I$1347:$I$1351)=5,COUNT(E1348:F1348)=2),IF(E1348&gt;=F1348,"Ready","Budget below minima"),"Check inputs")</x:f>
        <x:v>Ready</x:v>
      </x:c>
      <x:c r="U1348" s="22" t="n">
        <x:f>IF(COUNT(I1348,M1348,N1348)=3,MAX(0,ROUND(I1348+M1348-N1348,2)),"n.a.")</x:f>
        <x:v>0</x:v>
      </x:c>
    </x:row>
    <x:row r="1349" ht="22" customHeight="1">
      <x:c r="A1349" s="2"/>
      <x:c r="B1349" s="2"/>
      <x:c r="C1349" s="27" t="n">
        <x:f>269</x:f>
        <x:v>269</x:v>
      </x:c>
      <x:c r="D1349" s="28" t="n">
        <x:f>IF(ISNUMBER('Inputs'!$D$7),EDATE('Inputs'!$D$7,268),"n.a.")</x:f>
        <x:v>54483</x:v>
      </x:c>
      <x:c r="E1349" s="26" t="n">
        <x:f>IF('Inputs'!$D$9&lt;&gt;"Ready","n.a.",IF(ISNUMBER('Inputs'!E287),IF('Inputs'!E287&gt;=0,'Inputs'!E287,"n.a."),IF('Inputs'!E287="",'Inputs'!$D$6,"n.a.")))</x:f>
        <x:v>500</x:v>
      </x:c>
      <x:c r="F1349" s="22" t="n">
        <x:f>IF(COUNT($N$1347:$N$1351)=5,SUM($N$1347:$N$1351),"n.a.")</x:f>
        <x:v>0</x:v>
      </x:c>
      <x:c r="G1349" s="22" t="n">
        <x:f>IF(COUNT(E1349:F1349)=2,MAX(0,E1349-F1349),"n.a.")</x:f>
        <x:v>500</x:v>
      </x:c>
      <x:c r="H1349" s="26" t="str">
        <x:f>'Inputs'!C13</x:f>
        <x:v>Loan C</x:v>
      </x:c>
      <x:c r="I1349" s="26" t="n">
        <x:f>S1344</x:f>
        <x:v>0</x:v>
      </x:c>
      <x:c r="J1349" s="29" t="n">
        <x:f>IF('Inputs'!$D$9="Ready",'Inputs'!E13,"n.a.")</x:f>
        <x:v>0.08</x:v>
      </x:c>
      <x:c r="K1349" s="26" t="n">
        <x:f>IF('Inputs'!$D$9="Ready",'Inputs'!F13,"n.a.")</x:f>
        <x:v>150</x:v>
      </x:c>
      <x:c r="L1349" s="29" t="n">
        <x:f>IF('Inputs'!$D$9="Ready",'Inputs'!G13,"n.a.")</x:f>
        <x:v>0</x:v>
      </x:c>
      <x:c r="M1349" s="22" t="n">
        <x:f>IF(COUNT(I1349:L1349)=4,ROUND(I1349*J1349/12,2),"n.a.")</x:f>
        <x:v>0</x:v>
      </x:c>
      <x:c r="N1349" s="22" t="n">
        <x:f>IF(COUNT(I1349:M1349)=5,MIN(I1349+M1349,ROUND(MAX(K1349,I1349*L1349+M1349),2)),"n.a.")</x:f>
        <x:v>0</x:v>
      </x:c>
      <x:c r="O1349" s="30" t="n">
        <x:f>IF(COUNT($I$1347:$I$1351)&lt;&gt;5,"n.a.",IF(I1349=0,6,IF('Inputs'!$D$5=1,COUNTIFS($I$1347:$I$1351,"&gt;0",$I$1347:$I$1351,"&lt;"&amp;I1349)+COUNTIFS($I$1347:I1349,I1349),COUNTIFS($I$1347:$I$1351,"&gt;0",$J$1347:$J$1351,"&gt;"&amp;J1349)+COUNTIFS($I$1347:I1349,"&gt;0",$J$1347:J1349,J1349))))</x:f>
        <x:v>6</x:v>
      </x:c>
      <x:c r="P1349" s="22" t="n">
        <x:f>IF(T1349="Ready",MIN(U1349,MAX(0,G1349-SUMIFS($U$1347:$U$1351,$O$1347:$O$1351,"&lt;"&amp;O1349))),"n.a.")</x:f>
        <x:v>0</x:v>
      </x:c>
      <x:c r="Q1349" s="22" t="n">
        <x:f>IF(T1349="Ready",ROUND(N1349+P1349,2),"n.a.")</x:f>
        <x:v>0</x:v>
      </x:c>
      <x:c r="R1349" s="22" t="n">
        <x:f>IF(T1349="Ready",ROUND(Q1349-M1349,2),"n.a.")</x:f>
        <x:v>0</x:v>
      </x:c>
      <x:c r="S1349" s="22" t="n">
        <x:f>IF(T1349="Ready",MAX(0,ROUND(I1349+M1349-Q1349,2)),"n.a.")</x:f>
        <x:v>0</x:v>
      </x:c>
      <x:c r="T1349" s="22" t="str">
        <x:f>IF(AND(COUNT($I$1347:$I$1351)=5,COUNT(E1349:F1349)=2),IF(E1349&gt;=F1349,"Ready","Budget below minima"),"Check inputs")</x:f>
        <x:v>Ready</x:v>
      </x:c>
      <x:c r="U1349" s="22" t="n">
        <x:f>IF(COUNT(I1349,M1349,N1349)=3,MAX(0,ROUND(I1349+M1349-N1349,2)),"n.a.")</x:f>
        <x:v>0</x:v>
      </x:c>
    </x:row>
    <x:row r="1350" ht="22" customHeight="1">
      <x:c r="A1350" s="2"/>
      <x:c r="B1350" s="2"/>
      <x:c r="C1350" s="27" t="n">
        <x:f>269</x:f>
        <x:v>269</x:v>
      </x:c>
      <x:c r="D1350" s="28" t="n">
        <x:f>IF(ISNUMBER('Inputs'!$D$7),EDATE('Inputs'!$D$7,268),"n.a.")</x:f>
        <x:v>54483</x:v>
      </x:c>
      <x:c r="E1350" s="26" t="n">
        <x:f>IF('Inputs'!$D$9&lt;&gt;"Ready","n.a.",IF(ISNUMBER('Inputs'!E287),IF('Inputs'!E287&gt;=0,'Inputs'!E287,"n.a."),IF('Inputs'!E287="",'Inputs'!$D$6,"n.a.")))</x:f>
        <x:v>500</x:v>
      </x:c>
      <x:c r="F1350" s="22" t="n">
        <x:f>IF(COUNT($N$1347:$N$1351)=5,SUM($N$1347:$N$1351),"n.a.")</x:f>
        <x:v>0</x:v>
      </x:c>
      <x:c r="G1350" s="22" t="n">
        <x:f>IF(COUNT(E1350:F1350)=2,MAX(0,E1350-F1350),"n.a.")</x:f>
        <x:v>500</x:v>
      </x:c>
      <x:c r="H1350" s="26" t="str">
        <x:f>'Inputs'!C14</x:f>
        <x:v>Unused 4</x:v>
      </x:c>
      <x:c r="I1350" s="26" t="n">
        <x:f>S1345</x:f>
        <x:v>0</x:v>
      </x:c>
      <x:c r="J1350" s="29" t="n">
        <x:f>IF('Inputs'!$D$9="Ready",'Inputs'!E14,"n.a.")</x:f>
        <x:v>0</x:v>
      </x:c>
      <x:c r="K1350" s="26" t="n">
        <x:f>IF('Inputs'!$D$9="Ready",'Inputs'!F14,"n.a.")</x:f>
        <x:v>0</x:v>
      </x:c>
      <x:c r="L1350" s="29" t="n">
        <x:f>IF('Inputs'!$D$9="Ready",'Inputs'!G14,"n.a.")</x:f>
        <x:v>0</x:v>
      </x:c>
      <x:c r="M1350" s="22" t="n">
        <x:f>IF(COUNT(I1350:L1350)=4,ROUND(I1350*J1350/12,2),"n.a.")</x:f>
        <x:v>0</x:v>
      </x:c>
      <x:c r="N1350" s="22" t="n">
        <x:f>IF(COUNT(I1350:M1350)=5,MIN(I1350+M1350,ROUND(MAX(K1350,I1350*L1350+M1350),2)),"n.a.")</x:f>
        <x:v>0</x:v>
      </x:c>
      <x:c r="O1350" s="30" t="n">
        <x:f>IF(COUNT($I$1347:$I$1351)&lt;&gt;5,"n.a.",IF(I1350=0,6,IF('Inputs'!$D$5=1,COUNTIFS($I$1347:$I$1351,"&gt;0",$I$1347:$I$1351,"&lt;"&amp;I1350)+COUNTIFS($I$1347:I1350,I1350),COUNTIFS($I$1347:$I$1351,"&gt;0",$J$1347:$J$1351,"&gt;"&amp;J1350)+COUNTIFS($I$1347:I1350,"&gt;0",$J$1347:J1350,J1350))))</x:f>
        <x:v>6</x:v>
      </x:c>
      <x:c r="P1350" s="22" t="n">
        <x:f>IF(T1350="Ready",MIN(U1350,MAX(0,G1350-SUMIFS($U$1347:$U$1351,$O$1347:$O$1351,"&lt;"&amp;O1350))),"n.a.")</x:f>
        <x:v>0</x:v>
      </x:c>
      <x:c r="Q1350" s="22" t="n">
        <x:f>IF(T1350="Ready",ROUND(N1350+P1350,2),"n.a.")</x:f>
        <x:v>0</x:v>
      </x:c>
      <x:c r="R1350" s="22" t="n">
        <x:f>IF(T1350="Ready",ROUND(Q1350-M1350,2),"n.a.")</x:f>
        <x:v>0</x:v>
      </x:c>
      <x:c r="S1350" s="22" t="n">
        <x:f>IF(T1350="Ready",MAX(0,ROUND(I1350+M1350-Q1350,2)),"n.a.")</x:f>
        <x:v>0</x:v>
      </x:c>
      <x:c r="T1350" s="22" t="str">
        <x:f>IF(AND(COUNT($I$1347:$I$1351)=5,COUNT(E1350:F1350)=2),IF(E1350&gt;=F1350,"Ready","Budget below minima"),"Check inputs")</x:f>
        <x:v>Ready</x:v>
      </x:c>
      <x:c r="U1350" s="22" t="n">
        <x:f>IF(COUNT(I1350,M1350,N1350)=3,MAX(0,ROUND(I1350+M1350-N1350,2)),"n.a.")</x:f>
        <x:v>0</x:v>
      </x:c>
    </x:row>
    <x:row r="1351" ht="22" customHeight="1">
      <x:c r="A1351" s="2"/>
      <x:c r="B1351" s="2"/>
      <x:c r="C1351" s="27" t="n">
        <x:f>269</x:f>
        <x:v>269</x:v>
      </x:c>
      <x:c r="D1351" s="28" t="n">
        <x:f>IF(ISNUMBER('Inputs'!$D$7),EDATE('Inputs'!$D$7,268),"n.a.")</x:f>
        <x:v>54483</x:v>
      </x:c>
      <x:c r="E1351" s="26" t="n">
        <x:f>IF('Inputs'!$D$9&lt;&gt;"Ready","n.a.",IF(ISNUMBER('Inputs'!E287),IF('Inputs'!E287&gt;=0,'Inputs'!E287,"n.a."),IF('Inputs'!E287="",'Inputs'!$D$6,"n.a.")))</x:f>
        <x:v>500</x:v>
      </x:c>
      <x:c r="F1351" s="22" t="n">
        <x:f>IF(COUNT($N$1347:$N$1351)=5,SUM($N$1347:$N$1351),"n.a.")</x:f>
        <x:v>0</x:v>
      </x:c>
      <x:c r="G1351" s="22" t="n">
        <x:f>IF(COUNT(E1351:F1351)=2,MAX(0,E1351-F1351),"n.a.")</x:f>
        <x:v>500</x:v>
      </x:c>
      <x:c r="H1351" s="26" t="str">
        <x:f>'Inputs'!C15</x:f>
        <x:v>Unused 5</x:v>
      </x:c>
      <x:c r="I1351" s="26" t="n">
        <x:f>S1346</x:f>
        <x:v>0</x:v>
      </x:c>
      <x:c r="J1351" s="29" t="n">
        <x:f>IF('Inputs'!$D$9="Ready",'Inputs'!E15,"n.a.")</x:f>
        <x:v>0</x:v>
      </x:c>
      <x:c r="K1351" s="26" t="n">
        <x:f>IF('Inputs'!$D$9="Ready",'Inputs'!F15,"n.a.")</x:f>
        <x:v>0</x:v>
      </x:c>
      <x:c r="L1351" s="29" t="n">
        <x:f>IF('Inputs'!$D$9="Ready",'Inputs'!G15,"n.a.")</x:f>
        <x:v>0</x:v>
      </x:c>
      <x:c r="M1351" s="22" t="n">
        <x:f>IF(COUNT(I1351:L1351)=4,ROUND(I1351*J1351/12,2),"n.a.")</x:f>
        <x:v>0</x:v>
      </x:c>
      <x:c r="N1351" s="22" t="n">
        <x:f>IF(COUNT(I1351:M1351)=5,MIN(I1351+M1351,ROUND(MAX(K1351,I1351*L1351+M1351),2)),"n.a.")</x:f>
        <x:v>0</x:v>
      </x:c>
      <x:c r="O1351" s="30" t="n">
        <x:f>IF(COUNT($I$1347:$I$1351)&lt;&gt;5,"n.a.",IF(I1351=0,6,IF('Inputs'!$D$5=1,COUNTIFS($I$1347:$I$1351,"&gt;0",$I$1347:$I$1351,"&lt;"&amp;I1351)+COUNTIFS($I$1347:I1351,I1351),COUNTIFS($I$1347:$I$1351,"&gt;0",$J$1347:$J$1351,"&gt;"&amp;J1351)+COUNTIFS($I$1347:I1351,"&gt;0",$J$1347:J1351,J1351))))</x:f>
        <x:v>6</x:v>
      </x:c>
      <x:c r="P1351" s="22" t="n">
        <x:f>IF(T1351="Ready",MIN(U1351,MAX(0,G1351-SUMIFS($U$1347:$U$1351,$O$1347:$O$1351,"&lt;"&amp;O1351))),"n.a.")</x:f>
        <x:v>0</x:v>
      </x:c>
      <x:c r="Q1351" s="22" t="n">
        <x:f>IF(T1351="Ready",ROUND(N1351+P1351,2),"n.a.")</x:f>
        <x:v>0</x:v>
      </x:c>
      <x:c r="R1351" s="22" t="n">
        <x:f>IF(T1351="Ready",ROUND(Q1351-M1351,2),"n.a.")</x:f>
        <x:v>0</x:v>
      </x:c>
      <x:c r="S1351" s="22" t="n">
        <x:f>IF(T1351="Ready",MAX(0,ROUND(I1351+M1351-Q1351,2)),"n.a.")</x:f>
        <x:v>0</x:v>
      </x:c>
      <x:c r="T1351" s="22" t="str">
        <x:f>IF(AND(COUNT($I$1347:$I$1351)=5,COUNT(E1351:F1351)=2),IF(E1351&gt;=F1351,"Ready","Budget below minima"),"Check inputs")</x:f>
        <x:v>Ready</x:v>
      </x:c>
      <x:c r="U1351" s="22" t="n">
        <x:f>IF(COUNT(I1351,M1351,N1351)=3,MAX(0,ROUND(I1351+M1351-N1351,2)),"n.a.")</x:f>
        <x:v>0</x:v>
      </x:c>
    </x:row>
    <x:row r="1352" ht="22" customHeight="1">
      <x:c r="A1352" s="2"/>
      <x:c r="B1352" s="2"/>
      <x:c r="C1352" s="27" t="n">
        <x:f>270</x:f>
        <x:v>270</x:v>
      </x:c>
      <x:c r="D1352" s="28" t="n">
        <x:f>IF(ISNUMBER('Inputs'!$D$7),EDATE('Inputs'!$D$7,269),"n.a.")</x:f>
        <x:v>54514</x:v>
      </x:c>
      <x:c r="E1352" s="26" t="n">
        <x:f>IF('Inputs'!$D$9&lt;&gt;"Ready","n.a.",IF(ISNUMBER('Inputs'!E288),IF('Inputs'!E288&gt;=0,'Inputs'!E288,"n.a."),IF('Inputs'!E288="",'Inputs'!$D$6,"n.a.")))</x:f>
        <x:v>500</x:v>
      </x:c>
      <x:c r="F1352" s="22" t="n">
        <x:f>IF(COUNT($N$1352:$N$1356)=5,SUM($N$1352:$N$1356),"n.a.")</x:f>
        <x:v>0</x:v>
      </x:c>
      <x:c r="G1352" s="22" t="n">
        <x:f>IF(COUNT(E1352:F1352)=2,MAX(0,E1352-F1352),"n.a.")</x:f>
        <x:v>500</x:v>
      </x:c>
      <x:c r="H1352" s="26" t="str">
        <x:f>'Inputs'!C11</x:f>
        <x:v>Card A</x:v>
      </x:c>
      <x:c r="I1352" s="26" t="n">
        <x:f>S1347</x:f>
        <x:v>0</x:v>
      </x:c>
      <x:c r="J1352" s="29" t="n">
        <x:f>IF('Inputs'!$D$9="Ready",'Inputs'!E11,"n.a.")</x:f>
        <x:v>0.24</x:v>
      </x:c>
      <x:c r="K1352" s="26" t="n">
        <x:f>IF('Inputs'!$D$9="Ready",'Inputs'!F11,"n.a.")</x:f>
        <x:v>35</x:v>
      </x:c>
      <x:c r="L1352" s="29" t="n">
        <x:f>IF('Inputs'!$D$9="Ready",'Inputs'!G11,"n.a.")</x:f>
        <x:v>0.02</x:v>
      </x:c>
      <x:c r="M1352" s="22" t="n">
        <x:f>IF(COUNT(I1352:L1352)=4,ROUND(I1352*J1352/12,2),"n.a.")</x:f>
        <x:v>0</x:v>
      </x:c>
      <x:c r="N1352" s="22" t="n">
        <x:f>IF(COUNT(I1352:M1352)=5,MIN(I1352+M1352,ROUND(MAX(K1352,I1352*L1352+M1352),2)),"n.a.")</x:f>
        <x:v>0</x:v>
      </x:c>
      <x:c r="O1352" s="30" t="n">
        <x:f>IF(COUNT($I$1352:$I$1356)&lt;&gt;5,"n.a.",IF(I1352=0,6,IF('Inputs'!$D$5=1,COUNTIFS($I$1352:$I$1356,"&gt;0",$I$1352:$I$1356,"&lt;"&amp;I1352)+COUNTIFS($I$1352:I1352,I1352),COUNTIFS($I$1352:$I$1356,"&gt;0",$J$1352:$J$1356,"&gt;"&amp;J1352)+COUNTIFS($I$1352:I1352,"&gt;0",$J$1352:J1352,J1352))))</x:f>
        <x:v>6</x:v>
      </x:c>
      <x:c r="P1352" s="22" t="n">
        <x:f>IF(T1352="Ready",MIN(U1352,MAX(0,G1352-SUMIFS($U$1352:$U$1356,$O$1352:$O$1356,"&lt;"&amp;O1352))),"n.a.")</x:f>
        <x:v>0</x:v>
      </x:c>
      <x:c r="Q1352" s="22" t="n">
        <x:f>IF(T1352="Ready",ROUND(N1352+P1352,2),"n.a.")</x:f>
        <x:v>0</x:v>
      </x:c>
      <x:c r="R1352" s="22" t="n">
        <x:f>IF(T1352="Ready",ROUND(Q1352-M1352,2),"n.a.")</x:f>
        <x:v>0</x:v>
      </x:c>
      <x:c r="S1352" s="22" t="n">
        <x:f>IF(T1352="Ready",MAX(0,ROUND(I1352+M1352-Q1352,2)),"n.a.")</x:f>
        <x:v>0</x:v>
      </x:c>
      <x:c r="T1352" s="22" t="str">
        <x:f>IF(AND(COUNT($I$1352:$I$1356)=5,COUNT(E1352:F1352)=2),IF(E1352&gt;=F1352,"Ready","Budget below minima"),"Check inputs")</x:f>
        <x:v>Ready</x:v>
      </x:c>
      <x:c r="U1352" s="22" t="n">
        <x:f>IF(COUNT(I1352,M1352,N1352)=3,MAX(0,ROUND(I1352+M1352-N1352,2)),"n.a.")</x:f>
        <x:v>0</x:v>
      </x:c>
    </x:row>
    <x:row r="1353" ht="22" customHeight="1">
      <x:c r="A1353" s="2"/>
      <x:c r="B1353" s="2"/>
      <x:c r="C1353" s="27" t="n">
        <x:f>270</x:f>
        <x:v>270</x:v>
      </x:c>
      <x:c r="D1353" s="28" t="n">
        <x:f>IF(ISNUMBER('Inputs'!$D$7),EDATE('Inputs'!$D$7,269),"n.a.")</x:f>
        <x:v>54514</x:v>
      </x:c>
      <x:c r="E1353" s="26" t="n">
        <x:f>IF('Inputs'!$D$9&lt;&gt;"Ready","n.a.",IF(ISNUMBER('Inputs'!E288),IF('Inputs'!E288&gt;=0,'Inputs'!E288,"n.a."),IF('Inputs'!E288="",'Inputs'!$D$6,"n.a.")))</x:f>
        <x:v>500</x:v>
      </x:c>
      <x:c r="F1353" s="22" t="n">
        <x:f>IF(COUNT($N$1352:$N$1356)=5,SUM($N$1352:$N$1356),"n.a.")</x:f>
        <x:v>0</x:v>
      </x:c>
      <x:c r="G1353" s="22" t="n">
        <x:f>IF(COUNT(E1353:F1353)=2,MAX(0,E1353-F1353),"n.a.")</x:f>
        <x:v>500</x:v>
      </x:c>
      <x:c r="H1353" s="26" t="str">
        <x:f>'Inputs'!C12</x:f>
        <x:v>Card B</x:v>
      </x:c>
      <x:c r="I1353" s="26" t="n">
        <x:f>S1348</x:f>
        <x:v>0</x:v>
      </x:c>
      <x:c r="J1353" s="29" t="n">
        <x:f>IF('Inputs'!$D$9="Ready",'Inputs'!E12,"n.a.")</x:f>
        <x:v>0.18</x:v>
      </x:c>
      <x:c r="K1353" s="26" t="n">
        <x:f>IF('Inputs'!$D$9="Ready",'Inputs'!F12,"n.a.")</x:f>
        <x:v>60</x:v>
      </x:c>
      <x:c r="L1353" s="29" t="n">
        <x:f>IF('Inputs'!$D$9="Ready",'Inputs'!G12,"n.a.")</x:f>
        <x:v>0.02</x:v>
      </x:c>
      <x:c r="M1353" s="22" t="n">
        <x:f>IF(COUNT(I1353:L1353)=4,ROUND(I1353*J1353/12,2),"n.a.")</x:f>
        <x:v>0</x:v>
      </x:c>
      <x:c r="N1353" s="22" t="n">
        <x:f>IF(COUNT(I1353:M1353)=5,MIN(I1353+M1353,ROUND(MAX(K1353,I1353*L1353+M1353),2)),"n.a.")</x:f>
        <x:v>0</x:v>
      </x:c>
      <x:c r="O1353" s="30" t="n">
        <x:f>IF(COUNT($I$1352:$I$1356)&lt;&gt;5,"n.a.",IF(I1353=0,6,IF('Inputs'!$D$5=1,COUNTIFS($I$1352:$I$1356,"&gt;0",$I$1352:$I$1356,"&lt;"&amp;I1353)+COUNTIFS($I$1352:I1353,I1353),COUNTIFS($I$1352:$I$1356,"&gt;0",$J$1352:$J$1356,"&gt;"&amp;J1353)+COUNTIFS($I$1352:I1353,"&gt;0",$J$1352:J1353,J1353))))</x:f>
        <x:v>6</x:v>
      </x:c>
      <x:c r="P1353" s="22" t="n">
        <x:f>IF(T1353="Ready",MIN(U1353,MAX(0,G1353-SUMIFS($U$1352:$U$1356,$O$1352:$O$1356,"&lt;"&amp;O1353))),"n.a.")</x:f>
        <x:v>0</x:v>
      </x:c>
      <x:c r="Q1353" s="22" t="n">
        <x:f>IF(T1353="Ready",ROUND(N1353+P1353,2),"n.a.")</x:f>
        <x:v>0</x:v>
      </x:c>
      <x:c r="R1353" s="22" t="n">
        <x:f>IF(T1353="Ready",ROUND(Q1353-M1353,2),"n.a.")</x:f>
        <x:v>0</x:v>
      </x:c>
      <x:c r="S1353" s="22" t="n">
        <x:f>IF(T1353="Ready",MAX(0,ROUND(I1353+M1353-Q1353,2)),"n.a.")</x:f>
        <x:v>0</x:v>
      </x:c>
      <x:c r="T1353" s="22" t="str">
        <x:f>IF(AND(COUNT($I$1352:$I$1356)=5,COUNT(E1353:F1353)=2),IF(E1353&gt;=F1353,"Ready","Budget below minima"),"Check inputs")</x:f>
        <x:v>Ready</x:v>
      </x:c>
      <x:c r="U1353" s="22" t="n">
        <x:f>IF(COUNT(I1353,M1353,N1353)=3,MAX(0,ROUND(I1353+M1353-N1353,2)),"n.a.")</x:f>
        <x:v>0</x:v>
      </x:c>
    </x:row>
    <x:row r="1354" ht="22" customHeight="1">
      <x:c r="A1354" s="2"/>
      <x:c r="B1354" s="2"/>
      <x:c r="C1354" s="27" t="n">
        <x:f>270</x:f>
        <x:v>270</x:v>
      </x:c>
      <x:c r="D1354" s="28" t="n">
        <x:f>IF(ISNUMBER('Inputs'!$D$7),EDATE('Inputs'!$D$7,269),"n.a.")</x:f>
        <x:v>54514</x:v>
      </x:c>
      <x:c r="E1354" s="26" t="n">
        <x:f>IF('Inputs'!$D$9&lt;&gt;"Ready","n.a.",IF(ISNUMBER('Inputs'!E288),IF('Inputs'!E288&gt;=0,'Inputs'!E288,"n.a."),IF('Inputs'!E288="",'Inputs'!$D$6,"n.a.")))</x:f>
        <x:v>500</x:v>
      </x:c>
      <x:c r="F1354" s="22" t="n">
        <x:f>IF(COUNT($N$1352:$N$1356)=5,SUM($N$1352:$N$1356),"n.a.")</x:f>
        <x:v>0</x:v>
      </x:c>
      <x:c r="G1354" s="22" t="n">
        <x:f>IF(COUNT(E1354:F1354)=2,MAX(0,E1354-F1354),"n.a.")</x:f>
        <x:v>500</x:v>
      </x:c>
      <x:c r="H1354" s="26" t="str">
        <x:f>'Inputs'!C13</x:f>
        <x:v>Loan C</x:v>
      </x:c>
      <x:c r="I1354" s="26" t="n">
        <x:f>S1349</x:f>
        <x:v>0</x:v>
      </x:c>
      <x:c r="J1354" s="29" t="n">
        <x:f>IF('Inputs'!$D$9="Ready",'Inputs'!E13,"n.a.")</x:f>
        <x:v>0.08</x:v>
      </x:c>
      <x:c r="K1354" s="26" t="n">
        <x:f>IF('Inputs'!$D$9="Ready",'Inputs'!F13,"n.a.")</x:f>
        <x:v>150</x:v>
      </x:c>
      <x:c r="L1354" s="29" t="n">
        <x:f>IF('Inputs'!$D$9="Ready",'Inputs'!G13,"n.a.")</x:f>
        <x:v>0</x:v>
      </x:c>
      <x:c r="M1354" s="22" t="n">
        <x:f>IF(COUNT(I1354:L1354)=4,ROUND(I1354*J1354/12,2),"n.a.")</x:f>
        <x:v>0</x:v>
      </x:c>
      <x:c r="N1354" s="22" t="n">
        <x:f>IF(COUNT(I1354:M1354)=5,MIN(I1354+M1354,ROUND(MAX(K1354,I1354*L1354+M1354),2)),"n.a.")</x:f>
        <x:v>0</x:v>
      </x:c>
      <x:c r="O1354" s="30" t="n">
        <x:f>IF(COUNT($I$1352:$I$1356)&lt;&gt;5,"n.a.",IF(I1354=0,6,IF('Inputs'!$D$5=1,COUNTIFS($I$1352:$I$1356,"&gt;0",$I$1352:$I$1356,"&lt;"&amp;I1354)+COUNTIFS($I$1352:I1354,I1354),COUNTIFS($I$1352:$I$1356,"&gt;0",$J$1352:$J$1356,"&gt;"&amp;J1354)+COUNTIFS($I$1352:I1354,"&gt;0",$J$1352:J1354,J1354))))</x:f>
        <x:v>6</x:v>
      </x:c>
      <x:c r="P1354" s="22" t="n">
        <x:f>IF(T1354="Ready",MIN(U1354,MAX(0,G1354-SUMIFS($U$1352:$U$1356,$O$1352:$O$1356,"&lt;"&amp;O1354))),"n.a.")</x:f>
        <x:v>0</x:v>
      </x:c>
      <x:c r="Q1354" s="22" t="n">
        <x:f>IF(T1354="Ready",ROUND(N1354+P1354,2),"n.a.")</x:f>
        <x:v>0</x:v>
      </x:c>
      <x:c r="R1354" s="22" t="n">
        <x:f>IF(T1354="Ready",ROUND(Q1354-M1354,2),"n.a.")</x:f>
        <x:v>0</x:v>
      </x:c>
      <x:c r="S1354" s="22" t="n">
        <x:f>IF(T1354="Ready",MAX(0,ROUND(I1354+M1354-Q1354,2)),"n.a.")</x:f>
        <x:v>0</x:v>
      </x:c>
      <x:c r="T1354" s="22" t="str">
        <x:f>IF(AND(COUNT($I$1352:$I$1356)=5,COUNT(E1354:F1354)=2),IF(E1354&gt;=F1354,"Ready","Budget below minima"),"Check inputs")</x:f>
        <x:v>Ready</x:v>
      </x:c>
      <x:c r="U1354" s="22" t="n">
        <x:f>IF(COUNT(I1354,M1354,N1354)=3,MAX(0,ROUND(I1354+M1354-N1354,2)),"n.a.")</x:f>
        <x:v>0</x:v>
      </x:c>
    </x:row>
    <x:row r="1355" ht="22" customHeight="1">
      <x:c r="A1355" s="2"/>
      <x:c r="B1355" s="2"/>
      <x:c r="C1355" s="27" t="n">
        <x:f>270</x:f>
        <x:v>270</x:v>
      </x:c>
      <x:c r="D1355" s="28" t="n">
        <x:f>IF(ISNUMBER('Inputs'!$D$7),EDATE('Inputs'!$D$7,269),"n.a.")</x:f>
        <x:v>54514</x:v>
      </x:c>
      <x:c r="E1355" s="26" t="n">
        <x:f>IF('Inputs'!$D$9&lt;&gt;"Ready","n.a.",IF(ISNUMBER('Inputs'!E288),IF('Inputs'!E288&gt;=0,'Inputs'!E288,"n.a."),IF('Inputs'!E288="",'Inputs'!$D$6,"n.a.")))</x:f>
        <x:v>500</x:v>
      </x:c>
      <x:c r="F1355" s="22" t="n">
        <x:f>IF(COUNT($N$1352:$N$1356)=5,SUM($N$1352:$N$1356),"n.a.")</x:f>
        <x:v>0</x:v>
      </x:c>
      <x:c r="G1355" s="22" t="n">
        <x:f>IF(COUNT(E1355:F1355)=2,MAX(0,E1355-F1355),"n.a.")</x:f>
        <x:v>500</x:v>
      </x:c>
      <x:c r="H1355" s="26" t="str">
        <x:f>'Inputs'!C14</x:f>
        <x:v>Unused 4</x:v>
      </x:c>
      <x:c r="I1355" s="26" t="n">
        <x:f>S1350</x:f>
        <x:v>0</x:v>
      </x:c>
      <x:c r="J1355" s="29" t="n">
        <x:f>IF('Inputs'!$D$9="Ready",'Inputs'!E14,"n.a.")</x:f>
        <x:v>0</x:v>
      </x:c>
      <x:c r="K1355" s="26" t="n">
        <x:f>IF('Inputs'!$D$9="Ready",'Inputs'!F14,"n.a.")</x:f>
        <x:v>0</x:v>
      </x:c>
      <x:c r="L1355" s="29" t="n">
        <x:f>IF('Inputs'!$D$9="Ready",'Inputs'!G14,"n.a.")</x:f>
        <x:v>0</x:v>
      </x:c>
      <x:c r="M1355" s="22" t="n">
        <x:f>IF(COUNT(I1355:L1355)=4,ROUND(I1355*J1355/12,2),"n.a.")</x:f>
        <x:v>0</x:v>
      </x:c>
      <x:c r="N1355" s="22" t="n">
        <x:f>IF(COUNT(I1355:M1355)=5,MIN(I1355+M1355,ROUND(MAX(K1355,I1355*L1355+M1355),2)),"n.a.")</x:f>
        <x:v>0</x:v>
      </x:c>
      <x:c r="O1355" s="30" t="n">
        <x:f>IF(COUNT($I$1352:$I$1356)&lt;&gt;5,"n.a.",IF(I1355=0,6,IF('Inputs'!$D$5=1,COUNTIFS($I$1352:$I$1356,"&gt;0",$I$1352:$I$1356,"&lt;"&amp;I1355)+COUNTIFS($I$1352:I1355,I1355),COUNTIFS($I$1352:$I$1356,"&gt;0",$J$1352:$J$1356,"&gt;"&amp;J1355)+COUNTIFS($I$1352:I1355,"&gt;0",$J$1352:J1355,J1355))))</x:f>
        <x:v>6</x:v>
      </x:c>
      <x:c r="P1355" s="22" t="n">
        <x:f>IF(T1355="Ready",MIN(U1355,MAX(0,G1355-SUMIFS($U$1352:$U$1356,$O$1352:$O$1356,"&lt;"&amp;O1355))),"n.a.")</x:f>
        <x:v>0</x:v>
      </x:c>
      <x:c r="Q1355" s="22" t="n">
        <x:f>IF(T1355="Ready",ROUND(N1355+P1355,2),"n.a.")</x:f>
        <x:v>0</x:v>
      </x:c>
      <x:c r="R1355" s="22" t="n">
        <x:f>IF(T1355="Ready",ROUND(Q1355-M1355,2),"n.a.")</x:f>
        <x:v>0</x:v>
      </x:c>
      <x:c r="S1355" s="22" t="n">
        <x:f>IF(T1355="Ready",MAX(0,ROUND(I1355+M1355-Q1355,2)),"n.a.")</x:f>
        <x:v>0</x:v>
      </x:c>
      <x:c r="T1355" s="22" t="str">
        <x:f>IF(AND(COUNT($I$1352:$I$1356)=5,COUNT(E1355:F1355)=2),IF(E1355&gt;=F1355,"Ready","Budget below minima"),"Check inputs")</x:f>
        <x:v>Ready</x:v>
      </x:c>
      <x:c r="U1355" s="22" t="n">
        <x:f>IF(COUNT(I1355,M1355,N1355)=3,MAX(0,ROUND(I1355+M1355-N1355,2)),"n.a.")</x:f>
        <x:v>0</x:v>
      </x:c>
    </x:row>
    <x:row r="1356" ht="22" customHeight="1">
      <x:c r="A1356" s="2"/>
      <x:c r="B1356" s="2"/>
      <x:c r="C1356" s="27" t="n">
        <x:f>270</x:f>
        <x:v>270</x:v>
      </x:c>
      <x:c r="D1356" s="28" t="n">
        <x:f>IF(ISNUMBER('Inputs'!$D$7),EDATE('Inputs'!$D$7,269),"n.a.")</x:f>
        <x:v>54514</x:v>
      </x:c>
      <x:c r="E1356" s="26" t="n">
        <x:f>IF('Inputs'!$D$9&lt;&gt;"Ready","n.a.",IF(ISNUMBER('Inputs'!E288),IF('Inputs'!E288&gt;=0,'Inputs'!E288,"n.a."),IF('Inputs'!E288="",'Inputs'!$D$6,"n.a.")))</x:f>
        <x:v>500</x:v>
      </x:c>
      <x:c r="F1356" s="22" t="n">
        <x:f>IF(COUNT($N$1352:$N$1356)=5,SUM($N$1352:$N$1356),"n.a.")</x:f>
        <x:v>0</x:v>
      </x:c>
      <x:c r="G1356" s="22" t="n">
        <x:f>IF(COUNT(E1356:F1356)=2,MAX(0,E1356-F1356),"n.a.")</x:f>
        <x:v>500</x:v>
      </x:c>
      <x:c r="H1356" s="26" t="str">
        <x:f>'Inputs'!C15</x:f>
        <x:v>Unused 5</x:v>
      </x:c>
      <x:c r="I1356" s="26" t="n">
        <x:f>S1351</x:f>
        <x:v>0</x:v>
      </x:c>
      <x:c r="J1356" s="29" t="n">
        <x:f>IF('Inputs'!$D$9="Ready",'Inputs'!E15,"n.a.")</x:f>
        <x:v>0</x:v>
      </x:c>
      <x:c r="K1356" s="26" t="n">
        <x:f>IF('Inputs'!$D$9="Ready",'Inputs'!F15,"n.a.")</x:f>
        <x:v>0</x:v>
      </x:c>
      <x:c r="L1356" s="29" t="n">
        <x:f>IF('Inputs'!$D$9="Ready",'Inputs'!G15,"n.a.")</x:f>
        <x:v>0</x:v>
      </x:c>
      <x:c r="M1356" s="22" t="n">
        <x:f>IF(COUNT(I1356:L1356)=4,ROUND(I1356*J1356/12,2),"n.a.")</x:f>
        <x:v>0</x:v>
      </x:c>
      <x:c r="N1356" s="22" t="n">
        <x:f>IF(COUNT(I1356:M1356)=5,MIN(I1356+M1356,ROUND(MAX(K1356,I1356*L1356+M1356),2)),"n.a.")</x:f>
        <x:v>0</x:v>
      </x:c>
      <x:c r="O1356" s="30" t="n">
        <x:f>IF(COUNT($I$1352:$I$1356)&lt;&gt;5,"n.a.",IF(I1356=0,6,IF('Inputs'!$D$5=1,COUNTIFS($I$1352:$I$1356,"&gt;0",$I$1352:$I$1356,"&lt;"&amp;I1356)+COUNTIFS($I$1352:I1356,I1356),COUNTIFS($I$1352:$I$1356,"&gt;0",$J$1352:$J$1356,"&gt;"&amp;J1356)+COUNTIFS($I$1352:I1356,"&gt;0",$J$1352:J1356,J1356))))</x:f>
        <x:v>6</x:v>
      </x:c>
      <x:c r="P1356" s="22" t="n">
        <x:f>IF(T1356="Ready",MIN(U1356,MAX(0,G1356-SUMIFS($U$1352:$U$1356,$O$1352:$O$1356,"&lt;"&amp;O1356))),"n.a.")</x:f>
        <x:v>0</x:v>
      </x:c>
      <x:c r="Q1356" s="22" t="n">
        <x:f>IF(T1356="Ready",ROUND(N1356+P1356,2),"n.a.")</x:f>
        <x:v>0</x:v>
      </x:c>
      <x:c r="R1356" s="22" t="n">
        <x:f>IF(T1356="Ready",ROUND(Q1356-M1356,2),"n.a.")</x:f>
        <x:v>0</x:v>
      </x:c>
      <x:c r="S1356" s="22" t="n">
        <x:f>IF(T1356="Ready",MAX(0,ROUND(I1356+M1356-Q1356,2)),"n.a.")</x:f>
        <x:v>0</x:v>
      </x:c>
      <x:c r="T1356" s="22" t="str">
        <x:f>IF(AND(COUNT($I$1352:$I$1356)=5,COUNT(E1356:F1356)=2),IF(E1356&gt;=F1356,"Ready","Budget below minima"),"Check inputs")</x:f>
        <x:v>Ready</x:v>
      </x:c>
      <x:c r="U1356" s="22" t="n">
        <x:f>IF(COUNT(I1356,M1356,N1356)=3,MAX(0,ROUND(I1356+M1356-N1356,2)),"n.a.")</x:f>
        <x:v>0</x:v>
      </x:c>
    </x:row>
    <x:row r="1357" ht="22" customHeight="1">
      <x:c r="A1357" s="2"/>
      <x:c r="B1357" s="2"/>
      <x:c r="C1357" s="27" t="n">
        <x:f>271</x:f>
        <x:v>271</x:v>
      </x:c>
      <x:c r="D1357" s="28" t="n">
        <x:f>IF(ISNUMBER('Inputs'!$D$7),EDATE('Inputs'!$D$7,270),"n.a.")</x:f>
        <x:v>54544</x:v>
      </x:c>
      <x:c r="E1357" s="26" t="n">
        <x:f>IF('Inputs'!$D$9&lt;&gt;"Ready","n.a.",IF(ISNUMBER('Inputs'!E289),IF('Inputs'!E289&gt;=0,'Inputs'!E289,"n.a."),IF('Inputs'!E289="",'Inputs'!$D$6,"n.a.")))</x:f>
        <x:v>500</x:v>
      </x:c>
      <x:c r="F1357" s="22" t="n">
        <x:f>IF(COUNT($N$1357:$N$1361)=5,SUM($N$1357:$N$1361),"n.a.")</x:f>
        <x:v>0</x:v>
      </x:c>
      <x:c r="G1357" s="22" t="n">
        <x:f>IF(COUNT(E1357:F1357)=2,MAX(0,E1357-F1357),"n.a.")</x:f>
        <x:v>500</x:v>
      </x:c>
      <x:c r="H1357" s="26" t="str">
        <x:f>'Inputs'!C11</x:f>
        <x:v>Card A</x:v>
      </x:c>
      <x:c r="I1357" s="26" t="n">
        <x:f>S1352</x:f>
        <x:v>0</x:v>
      </x:c>
      <x:c r="J1357" s="29" t="n">
        <x:f>IF('Inputs'!$D$9="Ready",'Inputs'!E11,"n.a.")</x:f>
        <x:v>0.24</x:v>
      </x:c>
      <x:c r="K1357" s="26" t="n">
        <x:f>IF('Inputs'!$D$9="Ready",'Inputs'!F11,"n.a.")</x:f>
        <x:v>35</x:v>
      </x:c>
      <x:c r="L1357" s="29" t="n">
        <x:f>IF('Inputs'!$D$9="Ready",'Inputs'!G11,"n.a.")</x:f>
        <x:v>0.02</x:v>
      </x:c>
      <x:c r="M1357" s="22" t="n">
        <x:f>IF(COUNT(I1357:L1357)=4,ROUND(I1357*J1357/12,2),"n.a.")</x:f>
        <x:v>0</x:v>
      </x:c>
      <x:c r="N1357" s="22" t="n">
        <x:f>IF(COUNT(I1357:M1357)=5,MIN(I1357+M1357,ROUND(MAX(K1357,I1357*L1357+M1357),2)),"n.a.")</x:f>
        <x:v>0</x:v>
      </x:c>
      <x:c r="O1357" s="30" t="n">
        <x:f>IF(COUNT($I$1357:$I$1361)&lt;&gt;5,"n.a.",IF(I1357=0,6,IF('Inputs'!$D$5=1,COUNTIFS($I$1357:$I$1361,"&gt;0",$I$1357:$I$1361,"&lt;"&amp;I1357)+COUNTIFS($I$1357:I1357,I1357),COUNTIFS($I$1357:$I$1361,"&gt;0",$J$1357:$J$1361,"&gt;"&amp;J1357)+COUNTIFS($I$1357:I1357,"&gt;0",$J$1357:J1357,J1357))))</x:f>
        <x:v>6</x:v>
      </x:c>
      <x:c r="P1357" s="22" t="n">
        <x:f>IF(T1357="Ready",MIN(U1357,MAX(0,G1357-SUMIFS($U$1357:$U$1361,$O$1357:$O$1361,"&lt;"&amp;O1357))),"n.a.")</x:f>
        <x:v>0</x:v>
      </x:c>
      <x:c r="Q1357" s="22" t="n">
        <x:f>IF(T1357="Ready",ROUND(N1357+P1357,2),"n.a.")</x:f>
        <x:v>0</x:v>
      </x:c>
      <x:c r="R1357" s="22" t="n">
        <x:f>IF(T1357="Ready",ROUND(Q1357-M1357,2),"n.a.")</x:f>
        <x:v>0</x:v>
      </x:c>
      <x:c r="S1357" s="22" t="n">
        <x:f>IF(T1357="Ready",MAX(0,ROUND(I1357+M1357-Q1357,2)),"n.a.")</x:f>
        <x:v>0</x:v>
      </x:c>
      <x:c r="T1357" s="22" t="str">
        <x:f>IF(AND(COUNT($I$1357:$I$1361)=5,COUNT(E1357:F1357)=2),IF(E1357&gt;=F1357,"Ready","Budget below minima"),"Check inputs")</x:f>
        <x:v>Ready</x:v>
      </x:c>
      <x:c r="U1357" s="22" t="n">
        <x:f>IF(COUNT(I1357,M1357,N1357)=3,MAX(0,ROUND(I1357+M1357-N1357,2)),"n.a.")</x:f>
        <x:v>0</x:v>
      </x:c>
    </x:row>
    <x:row r="1358" ht="22" customHeight="1">
      <x:c r="A1358" s="2"/>
      <x:c r="B1358" s="2"/>
      <x:c r="C1358" s="27" t="n">
        <x:f>271</x:f>
        <x:v>271</x:v>
      </x:c>
      <x:c r="D1358" s="28" t="n">
        <x:f>IF(ISNUMBER('Inputs'!$D$7),EDATE('Inputs'!$D$7,270),"n.a.")</x:f>
        <x:v>54544</x:v>
      </x:c>
      <x:c r="E1358" s="26" t="n">
        <x:f>IF('Inputs'!$D$9&lt;&gt;"Ready","n.a.",IF(ISNUMBER('Inputs'!E289),IF('Inputs'!E289&gt;=0,'Inputs'!E289,"n.a."),IF('Inputs'!E289="",'Inputs'!$D$6,"n.a.")))</x:f>
        <x:v>500</x:v>
      </x:c>
      <x:c r="F1358" s="22" t="n">
        <x:f>IF(COUNT($N$1357:$N$1361)=5,SUM($N$1357:$N$1361),"n.a.")</x:f>
        <x:v>0</x:v>
      </x:c>
      <x:c r="G1358" s="22" t="n">
        <x:f>IF(COUNT(E1358:F1358)=2,MAX(0,E1358-F1358),"n.a.")</x:f>
        <x:v>500</x:v>
      </x:c>
      <x:c r="H1358" s="26" t="str">
        <x:f>'Inputs'!C12</x:f>
        <x:v>Card B</x:v>
      </x:c>
      <x:c r="I1358" s="26" t="n">
        <x:f>S1353</x:f>
        <x:v>0</x:v>
      </x:c>
      <x:c r="J1358" s="29" t="n">
        <x:f>IF('Inputs'!$D$9="Ready",'Inputs'!E12,"n.a.")</x:f>
        <x:v>0.18</x:v>
      </x:c>
      <x:c r="K1358" s="26" t="n">
        <x:f>IF('Inputs'!$D$9="Ready",'Inputs'!F12,"n.a.")</x:f>
        <x:v>60</x:v>
      </x:c>
      <x:c r="L1358" s="29" t="n">
        <x:f>IF('Inputs'!$D$9="Ready",'Inputs'!G12,"n.a.")</x:f>
        <x:v>0.02</x:v>
      </x:c>
      <x:c r="M1358" s="22" t="n">
        <x:f>IF(COUNT(I1358:L1358)=4,ROUND(I1358*J1358/12,2),"n.a.")</x:f>
        <x:v>0</x:v>
      </x:c>
      <x:c r="N1358" s="22" t="n">
        <x:f>IF(COUNT(I1358:M1358)=5,MIN(I1358+M1358,ROUND(MAX(K1358,I1358*L1358+M1358),2)),"n.a.")</x:f>
        <x:v>0</x:v>
      </x:c>
      <x:c r="O1358" s="30" t="n">
        <x:f>IF(COUNT($I$1357:$I$1361)&lt;&gt;5,"n.a.",IF(I1358=0,6,IF('Inputs'!$D$5=1,COUNTIFS($I$1357:$I$1361,"&gt;0",$I$1357:$I$1361,"&lt;"&amp;I1358)+COUNTIFS($I$1357:I1358,I1358),COUNTIFS($I$1357:$I$1361,"&gt;0",$J$1357:$J$1361,"&gt;"&amp;J1358)+COUNTIFS($I$1357:I1358,"&gt;0",$J$1357:J1358,J1358))))</x:f>
        <x:v>6</x:v>
      </x:c>
      <x:c r="P1358" s="22" t="n">
        <x:f>IF(T1358="Ready",MIN(U1358,MAX(0,G1358-SUMIFS($U$1357:$U$1361,$O$1357:$O$1361,"&lt;"&amp;O1358))),"n.a.")</x:f>
        <x:v>0</x:v>
      </x:c>
      <x:c r="Q1358" s="22" t="n">
        <x:f>IF(T1358="Ready",ROUND(N1358+P1358,2),"n.a.")</x:f>
        <x:v>0</x:v>
      </x:c>
      <x:c r="R1358" s="22" t="n">
        <x:f>IF(T1358="Ready",ROUND(Q1358-M1358,2),"n.a.")</x:f>
        <x:v>0</x:v>
      </x:c>
      <x:c r="S1358" s="22" t="n">
        <x:f>IF(T1358="Ready",MAX(0,ROUND(I1358+M1358-Q1358,2)),"n.a.")</x:f>
        <x:v>0</x:v>
      </x:c>
      <x:c r="T1358" s="22" t="str">
        <x:f>IF(AND(COUNT($I$1357:$I$1361)=5,COUNT(E1358:F1358)=2),IF(E1358&gt;=F1358,"Ready","Budget below minima"),"Check inputs")</x:f>
        <x:v>Ready</x:v>
      </x:c>
      <x:c r="U1358" s="22" t="n">
        <x:f>IF(COUNT(I1358,M1358,N1358)=3,MAX(0,ROUND(I1358+M1358-N1358,2)),"n.a.")</x:f>
        <x:v>0</x:v>
      </x:c>
    </x:row>
    <x:row r="1359" ht="22" customHeight="1">
      <x:c r="A1359" s="2"/>
      <x:c r="B1359" s="2"/>
      <x:c r="C1359" s="27" t="n">
        <x:f>271</x:f>
        <x:v>271</x:v>
      </x:c>
      <x:c r="D1359" s="28" t="n">
        <x:f>IF(ISNUMBER('Inputs'!$D$7),EDATE('Inputs'!$D$7,270),"n.a.")</x:f>
        <x:v>54544</x:v>
      </x:c>
      <x:c r="E1359" s="26" t="n">
        <x:f>IF('Inputs'!$D$9&lt;&gt;"Ready","n.a.",IF(ISNUMBER('Inputs'!E289),IF('Inputs'!E289&gt;=0,'Inputs'!E289,"n.a."),IF('Inputs'!E289="",'Inputs'!$D$6,"n.a.")))</x:f>
        <x:v>500</x:v>
      </x:c>
      <x:c r="F1359" s="22" t="n">
        <x:f>IF(COUNT($N$1357:$N$1361)=5,SUM($N$1357:$N$1361),"n.a.")</x:f>
        <x:v>0</x:v>
      </x:c>
      <x:c r="G1359" s="22" t="n">
        <x:f>IF(COUNT(E1359:F1359)=2,MAX(0,E1359-F1359),"n.a.")</x:f>
        <x:v>500</x:v>
      </x:c>
      <x:c r="H1359" s="26" t="str">
        <x:f>'Inputs'!C13</x:f>
        <x:v>Loan C</x:v>
      </x:c>
      <x:c r="I1359" s="26" t="n">
        <x:f>S1354</x:f>
        <x:v>0</x:v>
      </x:c>
      <x:c r="J1359" s="29" t="n">
        <x:f>IF('Inputs'!$D$9="Ready",'Inputs'!E13,"n.a.")</x:f>
        <x:v>0.08</x:v>
      </x:c>
      <x:c r="K1359" s="26" t="n">
        <x:f>IF('Inputs'!$D$9="Ready",'Inputs'!F13,"n.a.")</x:f>
        <x:v>150</x:v>
      </x:c>
      <x:c r="L1359" s="29" t="n">
        <x:f>IF('Inputs'!$D$9="Ready",'Inputs'!G13,"n.a.")</x:f>
        <x:v>0</x:v>
      </x:c>
      <x:c r="M1359" s="22" t="n">
        <x:f>IF(COUNT(I1359:L1359)=4,ROUND(I1359*J1359/12,2),"n.a.")</x:f>
        <x:v>0</x:v>
      </x:c>
      <x:c r="N1359" s="22" t="n">
        <x:f>IF(COUNT(I1359:M1359)=5,MIN(I1359+M1359,ROUND(MAX(K1359,I1359*L1359+M1359),2)),"n.a.")</x:f>
        <x:v>0</x:v>
      </x:c>
      <x:c r="O1359" s="30" t="n">
        <x:f>IF(COUNT($I$1357:$I$1361)&lt;&gt;5,"n.a.",IF(I1359=0,6,IF('Inputs'!$D$5=1,COUNTIFS($I$1357:$I$1361,"&gt;0",$I$1357:$I$1361,"&lt;"&amp;I1359)+COUNTIFS($I$1357:I1359,I1359),COUNTIFS($I$1357:$I$1361,"&gt;0",$J$1357:$J$1361,"&gt;"&amp;J1359)+COUNTIFS($I$1357:I1359,"&gt;0",$J$1357:J1359,J1359))))</x:f>
        <x:v>6</x:v>
      </x:c>
      <x:c r="P1359" s="22" t="n">
        <x:f>IF(T1359="Ready",MIN(U1359,MAX(0,G1359-SUMIFS($U$1357:$U$1361,$O$1357:$O$1361,"&lt;"&amp;O1359))),"n.a.")</x:f>
        <x:v>0</x:v>
      </x:c>
      <x:c r="Q1359" s="22" t="n">
        <x:f>IF(T1359="Ready",ROUND(N1359+P1359,2),"n.a.")</x:f>
        <x:v>0</x:v>
      </x:c>
      <x:c r="R1359" s="22" t="n">
        <x:f>IF(T1359="Ready",ROUND(Q1359-M1359,2),"n.a.")</x:f>
        <x:v>0</x:v>
      </x:c>
      <x:c r="S1359" s="22" t="n">
        <x:f>IF(T1359="Ready",MAX(0,ROUND(I1359+M1359-Q1359,2)),"n.a.")</x:f>
        <x:v>0</x:v>
      </x:c>
      <x:c r="T1359" s="22" t="str">
        <x:f>IF(AND(COUNT($I$1357:$I$1361)=5,COUNT(E1359:F1359)=2),IF(E1359&gt;=F1359,"Ready","Budget below minima"),"Check inputs")</x:f>
        <x:v>Ready</x:v>
      </x:c>
      <x:c r="U1359" s="22" t="n">
        <x:f>IF(COUNT(I1359,M1359,N1359)=3,MAX(0,ROUND(I1359+M1359-N1359,2)),"n.a.")</x:f>
        <x:v>0</x:v>
      </x:c>
    </x:row>
    <x:row r="1360" ht="22" customHeight="1">
      <x:c r="A1360" s="2"/>
      <x:c r="B1360" s="2"/>
      <x:c r="C1360" s="27" t="n">
        <x:f>271</x:f>
        <x:v>271</x:v>
      </x:c>
      <x:c r="D1360" s="28" t="n">
        <x:f>IF(ISNUMBER('Inputs'!$D$7),EDATE('Inputs'!$D$7,270),"n.a.")</x:f>
        <x:v>54544</x:v>
      </x:c>
      <x:c r="E1360" s="26" t="n">
        <x:f>IF('Inputs'!$D$9&lt;&gt;"Ready","n.a.",IF(ISNUMBER('Inputs'!E289),IF('Inputs'!E289&gt;=0,'Inputs'!E289,"n.a."),IF('Inputs'!E289="",'Inputs'!$D$6,"n.a.")))</x:f>
        <x:v>500</x:v>
      </x:c>
      <x:c r="F1360" s="22" t="n">
        <x:f>IF(COUNT($N$1357:$N$1361)=5,SUM($N$1357:$N$1361),"n.a.")</x:f>
        <x:v>0</x:v>
      </x:c>
      <x:c r="G1360" s="22" t="n">
        <x:f>IF(COUNT(E1360:F1360)=2,MAX(0,E1360-F1360),"n.a.")</x:f>
        <x:v>500</x:v>
      </x:c>
      <x:c r="H1360" s="26" t="str">
        <x:f>'Inputs'!C14</x:f>
        <x:v>Unused 4</x:v>
      </x:c>
      <x:c r="I1360" s="26" t="n">
        <x:f>S1355</x:f>
        <x:v>0</x:v>
      </x:c>
      <x:c r="J1360" s="29" t="n">
        <x:f>IF('Inputs'!$D$9="Ready",'Inputs'!E14,"n.a.")</x:f>
        <x:v>0</x:v>
      </x:c>
      <x:c r="K1360" s="26" t="n">
        <x:f>IF('Inputs'!$D$9="Ready",'Inputs'!F14,"n.a.")</x:f>
        <x:v>0</x:v>
      </x:c>
      <x:c r="L1360" s="29" t="n">
        <x:f>IF('Inputs'!$D$9="Ready",'Inputs'!G14,"n.a.")</x:f>
        <x:v>0</x:v>
      </x:c>
      <x:c r="M1360" s="22" t="n">
        <x:f>IF(COUNT(I1360:L1360)=4,ROUND(I1360*J1360/12,2),"n.a.")</x:f>
        <x:v>0</x:v>
      </x:c>
      <x:c r="N1360" s="22" t="n">
        <x:f>IF(COUNT(I1360:M1360)=5,MIN(I1360+M1360,ROUND(MAX(K1360,I1360*L1360+M1360),2)),"n.a.")</x:f>
        <x:v>0</x:v>
      </x:c>
      <x:c r="O1360" s="30" t="n">
        <x:f>IF(COUNT($I$1357:$I$1361)&lt;&gt;5,"n.a.",IF(I1360=0,6,IF('Inputs'!$D$5=1,COUNTIFS($I$1357:$I$1361,"&gt;0",$I$1357:$I$1361,"&lt;"&amp;I1360)+COUNTIFS($I$1357:I1360,I1360),COUNTIFS($I$1357:$I$1361,"&gt;0",$J$1357:$J$1361,"&gt;"&amp;J1360)+COUNTIFS($I$1357:I1360,"&gt;0",$J$1357:J1360,J1360))))</x:f>
        <x:v>6</x:v>
      </x:c>
      <x:c r="P1360" s="22" t="n">
        <x:f>IF(T1360="Ready",MIN(U1360,MAX(0,G1360-SUMIFS($U$1357:$U$1361,$O$1357:$O$1361,"&lt;"&amp;O1360))),"n.a.")</x:f>
        <x:v>0</x:v>
      </x:c>
      <x:c r="Q1360" s="22" t="n">
        <x:f>IF(T1360="Ready",ROUND(N1360+P1360,2),"n.a.")</x:f>
        <x:v>0</x:v>
      </x:c>
      <x:c r="R1360" s="22" t="n">
        <x:f>IF(T1360="Ready",ROUND(Q1360-M1360,2),"n.a.")</x:f>
        <x:v>0</x:v>
      </x:c>
      <x:c r="S1360" s="22" t="n">
        <x:f>IF(T1360="Ready",MAX(0,ROUND(I1360+M1360-Q1360,2)),"n.a.")</x:f>
        <x:v>0</x:v>
      </x:c>
      <x:c r="T1360" s="22" t="str">
        <x:f>IF(AND(COUNT($I$1357:$I$1361)=5,COUNT(E1360:F1360)=2),IF(E1360&gt;=F1360,"Ready","Budget below minima"),"Check inputs")</x:f>
        <x:v>Ready</x:v>
      </x:c>
      <x:c r="U1360" s="22" t="n">
        <x:f>IF(COUNT(I1360,M1360,N1360)=3,MAX(0,ROUND(I1360+M1360-N1360,2)),"n.a.")</x:f>
        <x:v>0</x:v>
      </x:c>
    </x:row>
    <x:row r="1361" ht="22" customHeight="1">
      <x:c r="A1361" s="2"/>
      <x:c r="B1361" s="2"/>
      <x:c r="C1361" s="27" t="n">
        <x:f>271</x:f>
        <x:v>271</x:v>
      </x:c>
      <x:c r="D1361" s="28" t="n">
        <x:f>IF(ISNUMBER('Inputs'!$D$7),EDATE('Inputs'!$D$7,270),"n.a.")</x:f>
        <x:v>54544</x:v>
      </x:c>
      <x:c r="E1361" s="26" t="n">
        <x:f>IF('Inputs'!$D$9&lt;&gt;"Ready","n.a.",IF(ISNUMBER('Inputs'!E289),IF('Inputs'!E289&gt;=0,'Inputs'!E289,"n.a."),IF('Inputs'!E289="",'Inputs'!$D$6,"n.a.")))</x:f>
        <x:v>500</x:v>
      </x:c>
      <x:c r="F1361" s="22" t="n">
        <x:f>IF(COUNT($N$1357:$N$1361)=5,SUM($N$1357:$N$1361),"n.a.")</x:f>
        <x:v>0</x:v>
      </x:c>
      <x:c r="G1361" s="22" t="n">
        <x:f>IF(COUNT(E1361:F1361)=2,MAX(0,E1361-F1361),"n.a.")</x:f>
        <x:v>500</x:v>
      </x:c>
      <x:c r="H1361" s="26" t="str">
        <x:f>'Inputs'!C15</x:f>
        <x:v>Unused 5</x:v>
      </x:c>
      <x:c r="I1361" s="26" t="n">
        <x:f>S1356</x:f>
        <x:v>0</x:v>
      </x:c>
      <x:c r="J1361" s="29" t="n">
        <x:f>IF('Inputs'!$D$9="Ready",'Inputs'!E15,"n.a.")</x:f>
        <x:v>0</x:v>
      </x:c>
      <x:c r="K1361" s="26" t="n">
        <x:f>IF('Inputs'!$D$9="Ready",'Inputs'!F15,"n.a.")</x:f>
        <x:v>0</x:v>
      </x:c>
      <x:c r="L1361" s="29" t="n">
        <x:f>IF('Inputs'!$D$9="Ready",'Inputs'!G15,"n.a.")</x:f>
        <x:v>0</x:v>
      </x:c>
      <x:c r="M1361" s="22" t="n">
        <x:f>IF(COUNT(I1361:L1361)=4,ROUND(I1361*J1361/12,2),"n.a.")</x:f>
        <x:v>0</x:v>
      </x:c>
      <x:c r="N1361" s="22" t="n">
        <x:f>IF(COUNT(I1361:M1361)=5,MIN(I1361+M1361,ROUND(MAX(K1361,I1361*L1361+M1361),2)),"n.a.")</x:f>
        <x:v>0</x:v>
      </x:c>
      <x:c r="O1361" s="30" t="n">
        <x:f>IF(COUNT($I$1357:$I$1361)&lt;&gt;5,"n.a.",IF(I1361=0,6,IF('Inputs'!$D$5=1,COUNTIFS($I$1357:$I$1361,"&gt;0",$I$1357:$I$1361,"&lt;"&amp;I1361)+COUNTIFS($I$1357:I1361,I1361),COUNTIFS($I$1357:$I$1361,"&gt;0",$J$1357:$J$1361,"&gt;"&amp;J1361)+COUNTIFS($I$1357:I1361,"&gt;0",$J$1357:J1361,J1361))))</x:f>
        <x:v>6</x:v>
      </x:c>
      <x:c r="P1361" s="22" t="n">
        <x:f>IF(T1361="Ready",MIN(U1361,MAX(0,G1361-SUMIFS($U$1357:$U$1361,$O$1357:$O$1361,"&lt;"&amp;O1361))),"n.a.")</x:f>
        <x:v>0</x:v>
      </x:c>
      <x:c r="Q1361" s="22" t="n">
        <x:f>IF(T1361="Ready",ROUND(N1361+P1361,2),"n.a.")</x:f>
        <x:v>0</x:v>
      </x:c>
      <x:c r="R1361" s="22" t="n">
        <x:f>IF(T1361="Ready",ROUND(Q1361-M1361,2),"n.a.")</x:f>
        <x:v>0</x:v>
      </x:c>
      <x:c r="S1361" s="22" t="n">
        <x:f>IF(T1361="Ready",MAX(0,ROUND(I1361+M1361-Q1361,2)),"n.a.")</x:f>
        <x:v>0</x:v>
      </x:c>
      <x:c r="T1361" s="22" t="str">
        <x:f>IF(AND(COUNT($I$1357:$I$1361)=5,COUNT(E1361:F1361)=2),IF(E1361&gt;=F1361,"Ready","Budget below minima"),"Check inputs")</x:f>
        <x:v>Ready</x:v>
      </x:c>
      <x:c r="U1361" s="22" t="n">
        <x:f>IF(COUNT(I1361,M1361,N1361)=3,MAX(0,ROUND(I1361+M1361-N1361,2)),"n.a.")</x:f>
        <x:v>0</x:v>
      </x:c>
    </x:row>
    <x:row r="1362" ht="22" customHeight="1">
      <x:c r="A1362" s="2"/>
      <x:c r="B1362" s="2"/>
      <x:c r="C1362" s="27" t="n">
        <x:f>272</x:f>
        <x:v>272</x:v>
      </x:c>
      <x:c r="D1362" s="28" t="n">
        <x:f>IF(ISNUMBER('Inputs'!$D$7),EDATE('Inputs'!$D$7,271),"n.a.")</x:f>
        <x:v>54575</x:v>
      </x:c>
      <x:c r="E1362" s="26" t="n">
        <x:f>IF('Inputs'!$D$9&lt;&gt;"Ready","n.a.",IF(ISNUMBER('Inputs'!E290),IF('Inputs'!E290&gt;=0,'Inputs'!E290,"n.a."),IF('Inputs'!E290="",'Inputs'!$D$6,"n.a.")))</x:f>
        <x:v>500</x:v>
      </x:c>
      <x:c r="F1362" s="22" t="n">
        <x:f>IF(COUNT($N$1362:$N$1366)=5,SUM($N$1362:$N$1366),"n.a.")</x:f>
        <x:v>0</x:v>
      </x:c>
      <x:c r="G1362" s="22" t="n">
        <x:f>IF(COUNT(E1362:F1362)=2,MAX(0,E1362-F1362),"n.a.")</x:f>
        <x:v>500</x:v>
      </x:c>
      <x:c r="H1362" s="26" t="str">
        <x:f>'Inputs'!C11</x:f>
        <x:v>Card A</x:v>
      </x:c>
      <x:c r="I1362" s="26" t="n">
        <x:f>S1357</x:f>
        <x:v>0</x:v>
      </x:c>
      <x:c r="J1362" s="29" t="n">
        <x:f>IF('Inputs'!$D$9="Ready",'Inputs'!E11,"n.a.")</x:f>
        <x:v>0.24</x:v>
      </x:c>
      <x:c r="K1362" s="26" t="n">
        <x:f>IF('Inputs'!$D$9="Ready",'Inputs'!F11,"n.a.")</x:f>
        <x:v>35</x:v>
      </x:c>
      <x:c r="L1362" s="29" t="n">
        <x:f>IF('Inputs'!$D$9="Ready",'Inputs'!G11,"n.a.")</x:f>
        <x:v>0.02</x:v>
      </x:c>
      <x:c r="M1362" s="22" t="n">
        <x:f>IF(COUNT(I1362:L1362)=4,ROUND(I1362*J1362/12,2),"n.a.")</x:f>
        <x:v>0</x:v>
      </x:c>
      <x:c r="N1362" s="22" t="n">
        <x:f>IF(COUNT(I1362:M1362)=5,MIN(I1362+M1362,ROUND(MAX(K1362,I1362*L1362+M1362),2)),"n.a.")</x:f>
        <x:v>0</x:v>
      </x:c>
      <x:c r="O1362" s="30" t="n">
        <x:f>IF(COUNT($I$1362:$I$1366)&lt;&gt;5,"n.a.",IF(I1362=0,6,IF('Inputs'!$D$5=1,COUNTIFS($I$1362:$I$1366,"&gt;0",$I$1362:$I$1366,"&lt;"&amp;I1362)+COUNTIFS($I$1362:I1362,I1362),COUNTIFS($I$1362:$I$1366,"&gt;0",$J$1362:$J$1366,"&gt;"&amp;J1362)+COUNTIFS($I$1362:I1362,"&gt;0",$J$1362:J1362,J1362))))</x:f>
        <x:v>6</x:v>
      </x:c>
      <x:c r="P1362" s="22" t="n">
        <x:f>IF(T1362="Ready",MIN(U1362,MAX(0,G1362-SUMIFS($U$1362:$U$1366,$O$1362:$O$1366,"&lt;"&amp;O1362))),"n.a.")</x:f>
        <x:v>0</x:v>
      </x:c>
      <x:c r="Q1362" s="22" t="n">
        <x:f>IF(T1362="Ready",ROUND(N1362+P1362,2),"n.a.")</x:f>
        <x:v>0</x:v>
      </x:c>
      <x:c r="R1362" s="22" t="n">
        <x:f>IF(T1362="Ready",ROUND(Q1362-M1362,2),"n.a.")</x:f>
        <x:v>0</x:v>
      </x:c>
      <x:c r="S1362" s="22" t="n">
        <x:f>IF(T1362="Ready",MAX(0,ROUND(I1362+M1362-Q1362,2)),"n.a.")</x:f>
        <x:v>0</x:v>
      </x:c>
      <x:c r="T1362" s="22" t="str">
        <x:f>IF(AND(COUNT($I$1362:$I$1366)=5,COUNT(E1362:F1362)=2),IF(E1362&gt;=F1362,"Ready","Budget below minima"),"Check inputs")</x:f>
        <x:v>Ready</x:v>
      </x:c>
      <x:c r="U1362" s="22" t="n">
        <x:f>IF(COUNT(I1362,M1362,N1362)=3,MAX(0,ROUND(I1362+M1362-N1362,2)),"n.a.")</x:f>
        <x:v>0</x:v>
      </x:c>
    </x:row>
    <x:row r="1363" ht="22" customHeight="1">
      <x:c r="A1363" s="2"/>
      <x:c r="B1363" s="2"/>
      <x:c r="C1363" s="27" t="n">
        <x:f>272</x:f>
        <x:v>272</x:v>
      </x:c>
      <x:c r="D1363" s="28" t="n">
        <x:f>IF(ISNUMBER('Inputs'!$D$7),EDATE('Inputs'!$D$7,271),"n.a.")</x:f>
        <x:v>54575</x:v>
      </x:c>
      <x:c r="E1363" s="26" t="n">
        <x:f>IF('Inputs'!$D$9&lt;&gt;"Ready","n.a.",IF(ISNUMBER('Inputs'!E290),IF('Inputs'!E290&gt;=0,'Inputs'!E290,"n.a."),IF('Inputs'!E290="",'Inputs'!$D$6,"n.a.")))</x:f>
        <x:v>500</x:v>
      </x:c>
      <x:c r="F1363" s="22" t="n">
        <x:f>IF(COUNT($N$1362:$N$1366)=5,SUM($N$1362:$N$1366),"n.a.")</x:f>
        <x:v>0</x:v>
      </x:c>
      <x:c r="G1363" s="22" t="n">
        <x:f>IF(COUNT(E1363:F1363)=2,MAX(0,E1363-F1363),"n.a.")</x:f>
        <x:v>500</x:v>
      </x:c>
      <x:c r="H1363" s="26" t="str">
        <x:f>'Inputs'!C12</x:f>
        <x:v>Card B</x:v>
      </x:c>
      <x:c r="I1363" s="26" t="n">
        <x:f>S1358</x:f>
        <x:v>0</x:v>
      </x:c>
      <x:c r="J1363" s="29" t="n">
        <x:f>IF('Inputs'!$D$9="Ready",'Inputs'!E12,"n.a.")</x:f>
        <x:v>0.18</x:v>
      </x:c>
      <x:c r="K1363" s="26" t="n">
        <x:f>IF('Inputs'!$D$9="Ready",'Inputs'!F12,"n.a.")</x:f>
        <x:v>60</x:v>
      </x:c>
      <x:c r="L1363" s="29" t="n">
        <x:f>IF('Inputs'!$D$9="Ready",'Inputs'!G12,"n.a.")</x:f>
        <x:v>0.02</x:v>
      </x:c>
      <x:c r="M1363" s="22" t="n">
        <x:f>IF(COUNT(I1363:L1363)=4,ROUND(I1363*J1363/12,2),"n.a.")</x:f>
        <x:v>0</x:v>
      </x:c>
      <x:c r="N1363" s="22" t="n">
        <x:f>IF(COUNT(I1363:M1363)=5,MIN(I1363+M1363,ROUND(MAX(K1363,I1363*L1363+M1363),2)),"n.a.")</x:f>
        <x:v>0</x:v>
      </x:c>
      <x:c r="O1363" s="30" t="n">
        <x:f>IF(COUNT($I$1362:$I$1366)&lt;&gt;5,"n.a.",IF(I1363=0,6,IF('Inputs'!$D$5=1,COUNTIFS($I$1362:$I$1366,"&gt;0",$I$1362:$I$1366,"&lt;"&amp;I1363)+COUNTIFS($I$1362:I1363,I1363),COUNTIFS($I$1362:$I$1366,"&gt;0",$J$1362:$J$1366,"&gt;"&amp;J1363)+COUNTIFS($I$1362:I1363,"&gt;0",$J$1362:J1363,J1363))))</x:f>
        <x:v>6</x:v>
      </x:c>
      <x:c r="P1363" s="22" t="n">
        <x:f>IF(T1363="Ready",MIN(U1363,MAX(0,G1363-SUMIFS($U$1362:$U$1366,$O$1362:$O$1366,"&lt;"&amp;O1363))),"n.a.")</x:f>
        <x:v>0</x:v>
      </x:c>
      <x:c r="Q1363" s="22" t="n">
        <x:f>IF(T1363="Ready",ROUND(N1363+P1363,2),"n.a.")</x:f>
        <x:v>0</x:v>
      </x:c>
      <x:c r="R1363" s="22" t="n">
        <x:f>IF(T1363="Ready",ROUND(Q1363-M1363,2),"n.a.")</x:f>
        <x:v>0</x:v>
      </x:c>
      <x:c r="S1363" s="22" t="n">
        <x:f>IF(T1363="Ready",MAX(0,ROUND(I1363+M1363-Q1363,2)),"n.a.")</x:f>
        <x:v>0</x:v>
      </x:c>
      <x:c r="T1363" s="22" t="str">
        <x:f>IF(AND(COUNT($I$1362:$I$1366)=5,COUNT(E1363:F1363)=2),IF(E1363&gt;=F1363,"Ready","Budget below minima"),"Check inputs")</x:f>
        <x:v>Ready</x:v>
      </x:c>
      <x:c r="U1363" s="22" t="n">
        <x:f>IF(COUNT(I1363,M1363,N1363)=3,MAX(0,ROUND(I1363+M1363-N1363,2)),"n.a.")</x:f>
        <x:v>0</x:v>
      </x:c>
    </x:row>
    <x:row r="1364" ht="22" customHeight="1">
      <x:c r="A1364" s="2"/>
      <x:c r="B1364" s="2"/>
      <x:c r="C1364" s="27" t="n">
        <x:f>272</x:f>
        <x:v>272</x:v>
      </x:c>
      <x:c r="D1364" s="28" t="n">
        <x:f>IF(ISNUMBER('Inputs'!$D$7),EDATE('Inputs'!$D$7,271),"n.a.")</x:f>
        <x:v>54575</x:v>
      </x:c>
      <x:c r="E1364" s="26" t="n">
        <x:f>IF('Inputs'!$D$9&lt;&gt;"Ready","n.a.",IF(ISNUMBER('Inputs'!E290),IF('Inputs'!E290&gt;=0,'Inputs'!E290,"n.a."),IF('Inputs'!E290="",'Inputs'!$D$6,"n.a.")))</x:f>
        <x:v>500</x:v>
      </x:c>
      <x:c r="F1364" s="22" t="n">
        <x:f>IF(COUNT($N$1362:$N$1366)=5,SUM($N$1362:$N$1366),"n.a.")</x:f>
        <x:v>0</x:v>
      </x:c>
      <x:c r="G1364" s="22" t="n">
        <x:f>IF(COUNT(E1364:F1364)=2,MAX(0,E1364-F1364),"n.a.")</x:f>
        <x:v>500</x:v>
      </x:c>
      <x:c r="H1364" s="26" t="str">
        <x:f>'Inputs'!C13</x:f>
        <x:v>Loan C</x:v>
      </x:c>
      <x:c r="I1364" s="26" t="n">
        <x:f>S1359</x:f>
        <x:v>0</x:v>
      </x:c>
      <x:c r="J1364" s="29" t="n">
        <x:f>IF('Inputs'!$D$9="Ready",'Inputs'!E13,"n.a.")</x:f>
        <x:v>0.08</x:v>
      </x:c>
      <x:c r="K1364" s="26" t="n">
        <x:f>IF('Inputs'!$D$9="Ready",'Inputs'!F13,"n.a.")</x:f>
        <x:v>150</x:v>
      </x:c>
      <x:c r="L1364" s="29" t="n">
        <x:f>IF('Inputs'!$D$9="Ready",'Inputs'!G13,"n.a.")</x:f>
        <x:v>0</x:v>
      </x:c>
      <x:c r="M1364" s="22" t="n">
        <x:f>IF(COUNT(I1364:L1364)=4,ROUND(I1364*J1364/12,2),"n.a.")</x:f>
        <x:v>0</x:v>
      </x:c>
      <x:c r="N1364" s="22" t="n">
        <x:f>IF(COUNT(I1364:M1364)=5,MIN(I1364+M1364,ROUND(MAX(K1364,I1364*L1364+M1364),2)),"n.a.")</x:f>
        <x:v>0</x:v>
      </x:c>
      <x:c r="O1364" s="30" t="n">
        <x:f>IF(COUNT($I$1362:$I$1366)&lt;&gt;5,"n.a.",IF(I1364=0,6,IF('Inputs'!$D$5=1,COUNTIFS($I$1362:$I$1366,"&gt;0",$I$1362:$I$1366,"&lt;"&amp;I1364)+COUNTIFS($I$1362:I1364,I1364),COUNTIFS($I$1362:$I$1366,"&gt;0",$J$1362:$J$1366,"&gt;"&amp;J1364)+COUNTIFS($I$1362:I1364,"&gt;0",$J$1362:J1364,J1364))))</x:f>
        <x:v>6</x:v>
      </x:c>
      <x:c r="P1364" s="22" t="n">
        <x:f>IF(T1364="Ready",MIN(U1364,MAX(0,G1364-SUMIFS($U$1362:$U$1366,$O$1362:$O$1366,"&lt;"&amp;O1364))),"n.a.")</x:f>
        <x:v>0</x:v>
      </x:c>
      <x:c r="Q1364" s="22" t="n">
        <x:f>IF(T1364="Ready",ROUND(N1364+P1364,2),"n.a.")</x:f>
        <x:v>0</x:v>
      </x:c>
      <x:c r="R1364" s="22" t="n">
        <x:f>IF(T1364="Ready",ROUND(Q1364-M1364,2),"n.a.")</x:f>
        <x:v>0</x:v>
      </x:c>
      <x:c r="S1364" s="22" t="n">
        <x:f>IF(T1364="Ready",MAX(0,ROUND(I1364+M1364-Q1364,2)),"n.a.")</x:f>
        <x:v>0</x:v>
      </x:c>
      <x:c r="T1364" s="22" t="str">
        <x:f>IF(AND(COUNT($I$1362:$I$1366)=5,COUNT(E1364:F1364)=2),IF(E1364&gt;=F1364,"Ready","Budget below minima"),"Check inputs")</x:f>
        <x:v>Ready</x:v>
      </x:c>
      <x:c r="U1364" s="22" t="n">
        <x:f>IF(COUNT(I1364,M1364,N1364)=3,MAX(0,ROUND(I1364+M1364-N1364,2)),"n.a.")</x:f>
        <x:v>0</x:v>
      </x:c>
    </x:row>
    <x:row r="1365" ht="22" customHeight="1">
      <x:c r="A1365" s="2"/>
      <x:c r="B1365" s="2"/>
      <x:c r="C1365" s="27" t="n">
        <x:f>272</x:f>
        <x:v>272</x:v>
      </x:c>
      <x:c r="D1365" s="28" t="n">
        <x:f>IF(ISNUMBER('Inputs'!$D$7),EDATE('Inputs'!$D$7,271),"n.a.")</x:f>
        <x:v>54575</x:v>
      </x:c>
      <x:c r="E1365" s="26" t="n">
        <x:f>IF('Inputs'!$D$9&lt;&gt;"Ready","n.a.",IF(ISNUMBER('Inputs'!E290),IF('Inputs'!E290&gt;=0,'Inputs'!E290,"n.a."),IF('Inputs'!E290="",'Inputs'!$D$6,"n.a.")))</x:f>
        <x:v>500</x:v>
      </x:c>
      <x:c r="F1365" s="22" t="n">
        <x:f>IF(COUNT($N$1362:$N$1366)=5,SUM($N$1362:$N$1366),"n.a.")</x:f>
        <x:v>0</x:v>
      </x:c>
      <x:c r="G1365" s="22" t="n">
        <x:f>IF(COUNT(E1365:F1365)=2,MAX(0,E1365-F1365),"n.a.")</x:f>
        <x:v>500</x:v>
      </x:c>
      <x:c r="H1365" s="26" t="str">
        <x:f>'Inputs'!C14</x:f>
        <x:v>Unused 4</x:v>
      </x:c>
      <x:c r="I1365" s="26" t="n">
        <x:f>S1360</x:f>
        <x:v>0</x:v>
      </x:c>
      <x:c r="J1365" s="29" t="n">
        <x:f>IF('Inputs'!$D$9="Ready",'Inputs'!E14,"n.a.")</x:f>
        <x:v>0</x:v>
      </x:c>
      <x:c r="K1365" s="26" t="n">
        <x:f>IF('Inputs'!$D$9="Ready",'Inputs'!F14,"n.a.")</x:f>
        <x:v>0</x:v>
      </x:c>
      <x:c r="L1365" s="29" t="n">
        <x:f>IF('Inputs'!$D$9="Ready",'Inputs'!G14,"n.a.")</x:f>
        <x:v>0</x:v>
      </x:c>
      <x:c r="M1365" s="22" t="n">
        <x:f>IF(COUNT(I1365:L1365)=4,ROUND(I1365*J1365/12,2),"n.a.")</x:f>
        <x:v>0</x:v>
      </x:c>
      <x:c r="N1365" s="22" t="n">
        <x:f>IF(COUNT(I1365:M1365)=5,MIN(I1365+M1365,ROUND(MAX(K1365,I1365*L1365+M1365),2)),"n.a.")</x:f>
        <x:v>0</x:v>
      </x:c>
      <x:c r="O1365" s="30" t="n">
        <x:f>IF(COUNT($I$1362:$I$1366)&lt;&gt;5,"n.a.",IF(I1365=0,6,IF('Inputs'!$D$5=1,COUNTIFS($I$1362:$I$1366,"&gt;0",$I$1362:$I$1366,"&lt;"&amp;I1365)+COUNTIFS($I$1362:I1365,I1365),COUNTIFS($I$1362:$I$1366,"&gt;0",$J$1362:$J$1366,"&gt;"&amp;J1365)+COUNTIFS($I$1362:I1365,"&gt;0",$J$1362:J1365,J1365))))</x:f>
        <x:v>6</x:v>
      </x:c>
      <x:c r="P1365" s="22" t="n">
        <x:f>IF(T1365="Ready",MIN(U1365,MAX(0,G1365-SUMIFS($U$1362:$U$1366,$O$1362:$O$1366,"&lt;"&amp;O1365))),"n.a.")</x:f>
        <x:v>0</x:v>
      </x:c>
      <x:c r="Q1365" s="22" t="n">
        <x:f>IF(T1365="Ready",ROUND(N1365+P1365,2),"n.a.")</x:f>
        <x:v>0</x:v>
      </x:c>
      <x:c r="R1365" s="22" t="n">
        <x:f>IF(T1365="Ready",ROUND(Q1365-M1365,2),"n.a.")</x:f>
        <x:v>0</x:v>
      </x:c>
      <x:c r="S1365" s="22" t="n">
        <x:f>IF(T1365="Ready",MAX(0,ROUND(I1365+M1365-Q1365,2)),"n.a.")</x:f>
        <x:v>0</x:v>
      </x:c>
      <x:c r="T1365" s="22" t="str">
        <x:f>IF(AND(COUNT($I$1362:$I$1366)=5,COUNT(E1365:F1365)=2),IF(E1365&gt;=F1365,"Ready","Budget below minima"),"Check inputs")</x:f>
        <x:v>Ready</x:v>
      </x:c>
      <x:c r="U1365" s="22" t="n">
        <x:f>IF(COUNT(I1365,M1365,N1365)=3,MAX(0,ROUND(I1365+M1365-N1365,2)),"n.a.")</x:f>
        <x:v>0</x:v>
      </x:c>
    </x:row>
    <x:row r="1366" ht="22" customHeight="1">
      <x:c r="A1366" s="2"/>
      <x:c r="B1366" s="2"/>
      <x:c r="C1366" s="27" t="n">
        <x:f>272</x:f>
        <x:v>272</x:v>
      </x:c>
      <x:c r="D1366" s="28" t="n">
        <x:f>IF(ISNUMBER('Inputs'!$D$7),EDATE('Inputs'!$D$7,271),"n.a.")</x:f>
        <x:v>54575</x:v>
      </x:c>
      <x:c r="E1366" s="26" t="n">
        <x:f>IF('Inputs'!$D$9&lt;&gt;"Ready","n.a.",IF(ISNUMBER('Inputs'!E290),IF('Inputs'!E290&gt;=0,'Inputs'!E290,"n.a."),IF('Inputs'!E290="",'Inputs'!$D$6,"n.a.")))</x:f>
        <x:v>500</x:v>
      </x:c>
      <x:c r="F1366" s="22" t="n">
        <x:f>IF(COUNT($N$1362:$N$1366)=5,SUM($N$1362:$N$1366),"n.a.")</x:f>
        <x:v>0</x:v>
      </x:c>
      <x:c r="G1366" s="22" t="n">
        <x:f>IF(COUNT(E1366:F1366)=2,MAX(0,E1366-F1366),"n.a.")</x:f>
        <x:v>500</x:v>
      </x:c>
      <x:c r="H1366" s="26" t="str">
        <x:f>'Inputs'!C15</x:f>
        <x:v>Unused 5</x:v>
      </x:c>
      <x:c r="I1366" s="26" t="n">
        <x:f>S1361</x:f>
        <x:v>0</x:v>
      </x:c>
      <x:c r="J1366" s="29" t="n">
        <x:f>IF('Inputs'!$D$9="Ready",'Inputs'!E15,"n.a.")</x:f>
        <x:v>0</x:v>
      </x:c>
      <x:c r="K1366" s="26" t="n">
        <x:f>IF('Inputs'!$D$9="Ready",'Inputs'!F15,"n.a.")</x:f>
        <x:v>0</x:v>
      </x:c>
      <x:c r="L1366" s="29" t="n">
        <x:f>IF('Inputs'!$D$9="Ready",'Inputs'!G15,"n.a.")</x:f>
        <x:v>0</x:v>
      </x:c>
      <x:c r="M1366" s="22" t="n">
        <x:f>IF(COUNT(I1366:L1366)=4,ROUND(I1366*J1366/12,2),"n.a.")</x:f>
        <x:v>0</x:v>
      </x:c>
      <x:c r="N1366" s="22" t="n">
        <x:f>IF(COUNT(I1366:M1366)=5,MIN(I1366+M1366,ROUND(MAX(K1366,I1366*L1366+M1366),2)),"n.a.")</x:f>
        <x:v>0</x:v>
      </x:c>
      <x:c r="O1366" s="30" t="n">
        <x:f>IF(COUNT($I$1362:$I$1366)&lt;&gt;5,"n.a.",IF(I1366=0,6,IF('Inputs'!$D$5=1,COUNTIFS($I$1362:$I$1366,"&gt;0",$I$1362:$I$1366,"&lt;"&amp;I1366)+COUNTIFS($I$1362:I1366,I1366),COUNTIFS($I$1362:$I$1366,"&gt;0",$J$1362:$J$1366,"&gt;"&amp;J1366)+COUNTIFS($I$1362:I1366,"&gt;0",$J$1362:J1366,J1366))))</x:f>
        <x:v>6</x:v>
      </x:c>
      <x:c r="P1366" s="22" t="n">
        <x:f>IF(T1366="Ready",MIN(U1366,MAX(0,G1366-SUMIFS($U$1362:$U$1366,$O$1362:$O$1366,"&lt;"&amp;O1366))),"n.a.")</x:f>
        <x:v>0</x:v>
      </x:c>
      <x:c r="Q1366" s="22" t="n">
        <x:f>IF(T1366="Ready",ROUND(N1366+P1366,2),"n.a.")</x:f>
        <x:v>0</x:v>
      </x:c>
      <x:c r="R1366" s="22" t="n">
        <x:f>IF(T1366="Ready",ROUND(Q1366-M1366,2),"n.a.")</x:f>
        <x:v>0</x:v>
      </x:c>
      <x:c r="S1366" s="22" t="n">
        <x:f>IF(T1366="Ready",MAX(0,ROUND(I1366+M1366-Q1366,2)),"n.a.")</x:f>
        <x:v>0</x:v>
      </x:c>
      <x:c r="T1366" s="22" t="str">
        <x:f>IF(AND(COUNT($I$1362:$I$1366)=5,COUNT(E1366:F1366)=2),IF(E1366&gt;=F1366,"Ready","Budget below minima"),"Check inputs")</x:f>
        <x:v>Ready</x:v>
      </x:c>
      <x:c r="U1366" s="22" t="n">
        <x:f>IF(COUNT(I1366,M1366,N1366)=3,MAX(0,ROUND(I1366+M1366-N1366,2)),"n.a.")</x:f>
        <x:v>0</x:v>
      </x:c>
    </x:row>
    <x:row r="1367" ht="22" customHeight="1">
      <x:c r="A1367" s="2"/>
      <x:c r="B1367" s="2"/>
      <x:c r="C1367" s="27" t="n">
        <x:f>273</x:f>
        <x:v>273</x:v>
      </x:c>
      <x:c r="D1367" s="28" t="n">
        <x:f>IF(ISNUMBER('Inputs'!$D$7),EDATE('Inputs'!$D$7,272),"n.a.")</x:f>
        <x:v>54605</x:v>
      </x:c>
      <x:c r="E1367" s="26" t="n">
        <x:f>IF('Inputs'!$D$9&lt;&gt;"Ready","n.a.",IF(ISNUMBER('Inputs'!E291),IF('Inputs'!E291&gt;=0,'Inputs'!E291,"n.a."),IF('Inputs'!E291="",'Inputs'!$D$6,"n.a.")))</x:f>
        <x:v>500</x:v>
      </x:c>
      <x:c r="F1367" s="22" t="n">
        <x:f>IF(COUNT($N$1367:$N$1371)=5,SUM($N$1367:$N$1371),"n.a.")</x:f>
        <x:v>0</x:v>
      </x:c>
      <x:c r="G1367" s="22" t="n">
        <x:f>IF(COUNT(E1367:F1367)=2,MAX(0,E1367-F1367),"n.a.")</x:f>
        <x:v>500</x:v>
      </x:c>
      <x:c r="H1367" s="26" t="str">
        <x:f>'Inputs'!C11</x:f>
        <x:v>Card A</x:v>
      </x:c>
      <x:c r="I1367" s="26" t="n">
        <x:f>S1362</x:f>
        <x:v>0</x:v>
      </x:c>
      <x:c r="J1367" s="29" t="n">
        <x:f>IF('Inputs'!$D$9="Ready",'Inputs'!E11,"n.a.")</x:f>
        <x:v>0.24</x:v>
      </x:c>
      <x:c r="K1367" s="26" t="n">
        <x:f>IF('Inputs'!$D$9="Ready",'Inputs'!F11,"n.a.")</x:f>
        <x:v>35</x:v>
      </x:c>
      <x:c r="L1367" s="29" t="n">
        <x:f>IF('Inputs'!$D$9="Ready",'Inputs'!G11,"n.a.")</x:f>
        <x:v>0.02</x:v>
      </x:c>
      <x:c r="M1367" s="22" t="n">
        <x:f>IF(COUNT(I1367:L1367)=4,ROUND(I1367*J1367/12,2),"n.a.")</x:f>
        <x:v>0</x:v>
      </x:c>
      <x:c r="N1367" s="22" t="n">
        <x:f>IF(COUNT(I1367:M1367)=5,MIN(I1367+M1367,ROUND(MAX(K1367,I1367*L1367+M1367),2)),"n.a.")</x:f>
        <x:v>0</x:v>
      </x:c>
      <x:c r="O1367" s="30" t="n">
        <x:f>IF(COUNT($I$1367:$I$1371)&lt;&gt;5,"n.a.",IF(I1367=0,6,IF('Inputs'!$D$5=1,COUNTIFS($I$1367:$I$1371,"&gt;0",$I$1367:$I$1371,"&lt;"&amp;I1367)+COUNTIFS($I$1367:I1367,I1367),COUNTIFS($I$1367:$I$1371,"&gt;0",$J$1367:$J$1371,"&gt;"&amp;J1367)+COUNTIFS($I$1367:I1367,"&gt;0",$J$1367:J1367,J1367))))</x:f>
        <x:v>6</x:v>
      </x:c>
      <x:c r="P1367" s="22" t="n">
        <x:f>IF(T1367="Ready",MIN(U1367,MAX(0,G1367-SUMIFS($U$1367:$U$1371,$O$1367:$O$1371,"&lt;"&amp;O1367))),"n.a.")</x:f>
        <x:v>0</x:v>
      </x:c>
      <x:c r="Q1367" s="22" t="n">
        <x:f>IF(T1367="Ready",ROUND(N1367+P1367,2),"n.a.")</x:f>
        <x:v>0</x:v>
      </x:c>
      <x:c r="R1367" s="22" t="n">
        <x:f>IF(T1367="Ready",ROUND(Q1367-M1367,2),"n.a.")</x:f>
        <x:v>0</x:v>
      </x:c>
      <x:c r="S1367" s="22" t="n">
        <x:f>IF(T1367="Ready",MAX(0,ROUND(I1367+M1367-Q1367,2)),"n.a.")</x:f>
        <x:v>0</x:v>
      </x:c>
      <x:c r="T1367" s="22" t="str">
        <x:f>IF(AND(COUNT($I$1367:$I$1371)=5,COUNT(E1367:F1367)=2),IF(E1367&gt;=F1367,"Ready","Budget below minima"),"Check inputs")</x:f>
        <x:v>Ready</x:v>
      </x:c>
      <x:c r="U1367" s="22" t="n">
        <x:f>IF(COUNT(I1367,M1367,N1367)=3,MAX(0,ROUND(I1367+M1367-N1367,2)),"n.a.")</x:f>
        <x:v>0</x:v>
      </x:c>
    </x:row>
    <x:row r="1368" ht="22" customHeight="1">
      <x:c r="A1368" s="2"/>
      <x:c r="B1368" s="2"/>
      <x:c r="C1368" s="27" t="n">
        <x:f>273</x:f>
        <x:v>273</x:v>
      </x:c>
      <x:c r="D1368" s="28" t="n">
        <x:f>IF(ISNUMBER('Inputs'!$D$7),EDATE('Inputs'!$D$7,272),"n.a.")</x:f>
        <x:v>54605</x:v>
      </x:c>
      <x:c r="E1368" s="26" t="n">
        <x:f>IF('Inputs'!$D$9&lt;&gt;"Ready","n.a.",IF(ISNUMBER('Inputs'!E291),IF('Inputs'!E291&gt;=0,'Inputs'!E291,"n.a."),IF('Inputs'!E291="",'Inputs'!$D$6,"n.a.")))</x:f>
        <x:v>500</x:v>
      </x:c>
      <x:c r="F1368" s="22" t="n">
        <x:f>IF(COUNT($N$1367:$N$1371)=5,SUM($N$1367:$N$1371),"n.a.")</x:f>
        <x:v>0</x:v>
      </x:c>
      <x:c r="G1368" s="22" t="n">
        <x:f>IF(COUNT(E1368:F1368)=2,MAX(0,E1368-F1368),"n.a.")</x:f>
        <x:v>500</x:v>
      </x:c>
      <x:c r="H1368" s="26" t="str">
        <x:f>'Inputs'!C12</x:f>
        <x:v>Card B</x:v>
      </x:c>
      <x:c r="I1368" s="26" t="n">
        <x:f>S1363</x:f>
        <x:v>0</x:v>
      </x:c>
      <x:c r="J1368" s="29" t="n">
        <x:f>IF('Inputs'!$D$9="Ready",'Inputs'!E12,"n.a.")</x:f>
        <x:v>0.18</x:v>
      </x:c>
      <x:c r="K1368" s="26" t="n">
        <x:f>IF('Inputs'!$D$9="Ready",'Inputs'!F12,"n.a.")</x:f>
        <x:v>60</x:v>
      </x:c>
      <x:c r="L1368" s="29" t="n">
        <x:f>IF('Inputs'!$D$9="Ready",'Inputs'!G12,"n.a.")</x:f>
        <x:v>0.02</x:v>
      </x:c>
      <x:c r="M1368" s="22" t="n">
        <x:f>IF(COUNT(I1368:L1368)=4,ROUND(I1368*J1368/12,2),"n.a.")</x:f>
        <x:v>0</x:v>
      </x:c>
      <x:c r="N1368" s="22" t="n">
        <x:f>IF(COUNT(I1368:M1368)=5,MIN(I1368+M1368,ROUND(MAX(K1368,I1368*L1368+M1368),2)),"n.a.")</x:f>
        <x:v>0</x:v>
      </x:c>
      <x:c r="O1368" s="30" t="n">
        <x:f>IF(COUNT($I$1367:$I$1371)&lt;&gt;5,"n.a.",IF(I1368=0,6,IF('Inputs'!$D$5=1,COUNTIFS($I$1367:$I$1371,"&gt;0",$I$1367:$I$1371,"&lt;"&amp;I1368)+COUNTIFS($I$1367:I1368,I1368),COUNTIFS($I$1367:$I$1371,"&gt;0",$J$1367:$J$1371,"&gt;"&amp;J1368)+COUNTIFS($I$1367:I1368,"&gt;0",$J$1367:J1368,J1368))))</x:f>
        <x:v>6</x:v>
      </x:c>
      <x:c r="P1368" s="22" t="n">
        <x:f>IF(T1368="Ready",MIN(U1368,MAX(0,G1368-SUMIFS($U$1367:$U$1371,$O$1367:$O$1371,"&lt;"&amp;O1368))),"n.a.")</x:f>
        <x:v>0</x:v>
      </x:c>
      <x:c r="Q1368" s="22" t="n">
        <x:f>IF(T1368="Ready",ROUND(N1368+P1368,2),"n.a.")</x:f>
        <x:v>0</x:v>
      </x:c>
      <x:c r="R1368" s="22" t="n">
        <x:f>IF(T1368="Ready",ROUND(Q1368-M1368,2),"n.a.")</x:f>
        <x:v>0</x:v>
      </x:c>
      <x:c r="S1368" s="22" t="n">
        <x:f>IF(T1368="Ready",MAX(0,ROUND(I1368+M1368-Q1368,2)),"n.a.")</x:f>
        <x:v>0</x:v>
      </x:c>
      <x:c r="T1368" s="22" t="str">
        <x:f>IF(AND(COUNT($I$1367:$I$1371)=5,COUNT(E1368:F1368)=2),IF(E1368&gt;=F1368,"Ready","Budget below minima"),"Check inputs")</x:f>
        <x:v>Ready</x:v>
      </x:c>
      <x:c r="U1368" s="22" t="n">
        <x:f>IF(COUNT(I1368,M1368,N1368)=3,MAX(0,ROUND(I1368+M1368-N1368,2)),"n.a.")</x:f>
        <x:v>0</x:v>
      </x:c>
    </x:row>
    <x:row r="1369" ht="22" customHeight="1">
      <x:c r="A1369" s="2"/>
      <x:c r="B1369" s="2"/>
      <x:c r="C1369" s="27" t="n">
        <x:f>273</x:f>
        <x:v>273</x:v>
      </x:c>
      <x:c r="D1369" s="28" t="n">
        <x:f>IF(ISNUMBER('Inputs'!$D$7),EDATE('Inputs'!$D$7,272),"n.a.")</x:f>
        <x:v>54605</x:v>
      </x:c>
      <x:c r="E1369" s="26" t="n">
        <x:f>IF('Inputs'!$D$9&lt;&gt;"Ready","n.a.",IF(ISNUMBER('Inputs'!E291),IF('Inputs'!E291&gt;=0,'Inputs'!E291,"n.a."),IF('Inputs'!E291="",'Inputs'!$D$6,"n.a.")))</x:f>
        <x:v>500</x:v>
      </x:c>
      <x:c r="F1369" s="22" t="n">
        <x:f>IF(COUNT($N$1367:$N$1371)=5,SUM($N$1367:$N$1371),"n.a.")</x:f>
        <x:v>0</x:v>
      </x:c>
      <x:c r="G1369" s="22" t="n">
        <x:f>IF(COUNT(E1369:F1369)=2,MAX(0,E1369-F1369),"n.a.")</x:f>
        <x:v>500</x:v>
      </x:c>
      <x:c r="H1369" s="26" t="str">
        <x:f>'Inputs'!C13</x:f>
        <x:v>Loan C</x:v>
      </x:c>
      <x:c r="I1369" s="26" t="n">
        <x:f>S1364</x:f>
        <x:v>0</x:v>
      </x:c>
      <x:c r="J1369" s="29" t="n">
        <x:f>IF('Inputs'!$D$9="Ready",'Inputs'!E13,"n.a.")</x:f>
        <x:v>0.08</x:v>
      </x:c>
      <x:c r="K1369" s="26" t="n">
        <x:f>IF('Inputs'!$D$9="Ready",'Inputs'!F13,"n.a.")</x:f>
        <x:v>150</x:v>
      </x:c>
      <x:c r="L1369" s="29" t="n">
        <x:f>IF('Inputs'!$D$9="Ready",'Inputs'!G13,"n.a.")</x:f>
        <x:v>0</x:v>
      </x:c>
      <x:c r="M1369" s="22" t="n">
        <x:f>IF(COUNT(I1369:L1369)=4,ROUND(I1369*J1369/12,2),"n.a.")</x:f>
        <x:v>0</x:v>
      </x:c>
      <x:c r="N1369" s="22" t="n">
        <x:f>IF(COUNT(I1369:M1369)=5,MIN(I1369+M1369,ROUND(MAX(K1369,I1369*L1369+M1369),2)),"n.a.")</x:f>
        <x:v>0</x:v>
      </x:c>
      <x:c r="O1369" s="30" t="n">
        <x:f>IF(COUNT($I$1367:$I$1371)&lt;&gt;5,"n.a.",IF(I1369=0,6,IF('Inputs'!$D$5=1,COUNTIFS($I$1367:$I$1371,"&gt;0",$I$1367:$I$1371,"&lt;"&amp;I1369)+COUNTIFS($I$1367:I1369,I1369),COUNTIFS($I$1367:$I$1371,"&gt;0",$J$1367:$J$1371,"&gt;"&amp;J1369)+COUNTIFS($I$1367:I1369,"&gt;0",$J$1367:J1369,J1369))))</x:f>
        <x:v>6</x:v>
      </x:c>
      <x:c r="P1369" s="22" t="n">
        <x:f>IF(T1369="Ready",MIN(U1369,MAX(0,G1369-SUMIFS($U$1367:$U$1371,$O$1367:$O$1371,"&lt;"&amp;O1369))),"n.a.")</x:f>
        <x:v>0</x:v>
      </x:c>
      <x:c r="Q1369" s="22" t="n">
        <x:f>IF(T1369="Ready",ROUND(N1369+P1369,2),"n.a.")</x:f>
        <x:v>0</x:v>
      </x:c>
      <x:c r="R1369" s="22" t="n">
        <x:f>IF(T1369="Ready",ROUND(Q1369-M1369,2),"n.a.")</x:f>
        <x:v>0</x:v>
      </x:c>
      <x:c r="S1369" s="22" t="n">
        <x:f>IF(T1369="Ready",MAX(0,ROUND(I1369+M1369-Q1369,2)),"n.a.")</x:f>
        <x:v>0</x:v>
      </x:c>
      <x:c r="T1369" s="22" t="str">
        <x:f>IF(AND(COUNT($I$1367:$I$1371)=5,COUNT(E1369:F1369)=2),IF(E1369&gt;=F1369,"Ready","Budget below minima"),"Check inputs")</x:f>
        <x:v>Ready</x:v>
      </x:c>
      <x:c r="U1369" s="22" t="n">
        <x:f>IF(COUNT(I1369,M1369,N1369)=3,MAX(0,ROUND(I1369+M1369-N1369,2)),"n.a.")</x:f>
        <x:v>0</x:v>
      </x:c>
    </x:row>
    <x:row r="1370" ht="22" customHeight="1">
      <x:c r="A1370" s="2"/>
      <x:c r="B1370" s="2"/>
      <x:c r="C1370" s="27" t="n">
        <x:f>273</x:f>
        <x:v>273</x:v>
      </x:c>
      <x:c r="D1370" s="28" t="n">
        <x:f>IF(ISNUMBER('Inputs'!$D$7),EDATE('Inputs'!$D$7,272),"n.a.")</x:f>
        <x:v>54605</x:v>
      </x:c>
      <x:c r="E1370" s="26" t="n">
        <x:f>IF('Inputs'!$D$9&lt;&gt;"Ready","n.a.",IF(ISNUMBER('Inputs'!E291),IF('Inputs'!E291&gt;=0,'Inputs'!E291,"n.a."),IF('Inputs'!E291="",'Inputs'!$D$6,"n.a.")))</x:f>
        <x:v>500</x:v>
      </x:c>
      <x:c r="F1370" s="22" t="n">
        <x:f>IF(COUNT($N$1367:$N$1371)=5,SUM($N$1367:$N$1371),"n.a.")</x:f>
        <x:v>0</x:v>
      </x:c>
      <x:c r="G1370" s="22" t="n">
        <x:f>IF(COUNT(E1370:F1370)=2,MAX(0,E1370-F1370),"n.a.")</x:f>
        <x:v>500</x:v>
      </x:c>
      <x:c r="H1370" s="26" t="str">
        <x:f>'Inputs'!C14</x:f>
        <x:v>Unused 4</x:v>
      </x:c>
      <x:c r="I1370" s="26" t="n">
        <x:f>S1365</x:f>
        <x:v>0</x:v>
      </x:c>
      <x:c r="J1370" s="29" t="n">
        <x:f>IF('Inputs'!$D$9="Ready",'Inputs'!E14,"n.a.")</x:f>
        <x:v>0</x:v>
      </x:c>
      <x:c r="K1370" s="26" t="n">
        <x:f>IF('Inputs'!$D$9="Ready",'Inputs'!F14,"n.a.")</x:f>
        <x:v>0</x:v>
      </x:c>
      <x:c r="L1370" s="29" t="n">
        <x:f>IF('Inputs'!$D$9="Ready",'Inputs'!G14,"n.a.")</x:f>
        <x:v>0</x:v>
      </x:c>
      <x:c r="M1370" s="22" t="n">
        <x:f>IF(COUNT(I1370:L1370)=4,ROUND(I1370*J1370/12,2),"n.a.")</x:f>
        <x:v>0</x:v>
      </x:c>
      <x:c r="N1370" s="22" t="n">
        <x:f>IF(COUNT(I1370:M1370)=5,MIN(I1370+M1370,ROUND(MAX(K1370,I1370*L1370+M1370),2)),"n.a.")</x:f>
        <x:v>0</x:v>
      </x:c>
      <x:c r="O1370" s="30" t="n">
        <x:f>IF(COUNT($I$1367:$I$1371)&lt;&gt;5,"n.a.",IF(I1370=0,6,IF('Inputs'!$D$5=1,COUNTIFS($I$1367:$I$1371,"&gt;0",$I$1367:$I$1371,"&lt;"&amp;I1370)+COUNTIFS($I$1367:I1370,I1370),COUNTIFS($I$1367:$I$1371,"&gt;0",$J$1367:$J$1371,"&gt;"&amp;J1370)+COUNTIFS($I$1367:I1370,"&gt;0",$J$1367:J1370,J1370))))</x:f>
        <x:v>6</x:v>
      </x:c>
      <x:c r="P1370" s="22" t="n">
        <x:f>IF(T1370="Ready",MIN(U1370,MAX(0,G1370-SUMIFS($U$1367:$U$1371,$O$1367:$O$1371,"&lt;"&amp;O1370))),"n.a.")</x:f>
        <x:v>0</x:v>
      </x:c>
      <x:c r="Q1370" s="22" t="n">
        <x:f>IF(T1370="Ready",ROUND(N1370+P1370,2),"n.a.")</x:f>
        <x:v>0</x:v>
      </x:c>
      <x:c r="R1370" s="22" t="n">
        <x:f>IF(T1370="Ready",ROUND(Q1370-M1370,2),"n.a.")</x:f>
        <x:v>0</x:v>
      </x:c>
      <x:c r="S1370" s="22" t="n">
        <x:f>IF(T1370="Ready",MAX(0,ROUND(I1370+M1370-Q1370,2)),"n.a.")</x:f>
        <x:v>0</x:v>
      </x:c>
      <x:c r="T1370" s="22" t="str">
        <x:f>IF(AND(COUNT($I$1367:$I$1371)=5,COUNT(E1370:F1370)=2),IF(E1370&gt;=F1370,"Ready","Budget below minima"),"Check inputs")</x:f>
        <x:v>Ready</x:v>
      </x:c>
      <x:c r="U1370" s="22" t="n">
        <x:f>IF(COUNT(I1370,M1370,N1370)=3,MAX(0,ROUND(I1370+M1370-N1370,2)),"n.a.")</x:f>
        <x:v>0</x:v>
      </x:c>
    </x:row>
    <x:row r="1371" ht="22" customHeight="1">
      <x:c r="A1371" s="2"/>
      <x:c r="B1371" s="2"/>
      <x:c r="C1371" s="27" t="n">
        <x:f>273</x:f>
        <x:v>273</x:v>
      </x:c>
      <x:c r="D1371" s="28" t="n">
        <x:f>IF(ISNUMBER('Inputs'!$D$7),EDATE('Inputs'!$D$7,272),"n.a.")</x:f>
        <x:v>54605</x:v>
      </x:c>
      <x:c r="E1371" s="26" t="n">
        <x:f>IF('Inputs'!$D$9&lt;&gt;"Ready","n.a.",IF(ISNUMBER('Inputs'!E291),IF('Inputs'!E291&gt;=0,'Inputs'!E291,"n.a."),IF('Inputs'!E291="",'Inputs'!$D$6,"n.a.")))</x:f>
        <x:v>500</x:v>
      </x:c>
      <x:c r="F1371" s="22" t="n">
        <x:f>IF(COUNT($N$1367:$N$1371)=5,SUM($N$1367:$N$1371),"n.a.")</x:f>
        <x:v>0</x:v>
      </x:c>
      <x:c r="G1371" s="22" t="n">
        <x:f>IF(COUNT(E1371:F1371)=2,MAX(0,E1371-F1371),"n.a.")</x:f>
        <x:v>500</x:v>
      </x:c>
      <x:c r="H1371" s="26" t="str">
        <x:f>'Inputs'!C15</x:f>
        <x:v>Unused 5</x:v>
      </x:c>
      <x:c r="I1371" s="26" t="n">
        <x:f>S1366</x:f>
        <x:v>0</x:v>
      </x:c>
      <x:c r="J1371" s="29" t="n">
        <x:f>IF('Inputs'!$D$9="Ready",'Inputs'!E15,"n.a.")</x:f>
        <x:v>0</x:v>
      </x:c>
      <x:c r="K1371" s="26" t="n">
        <x:f>IF('Inputs'!$D$9="Ready",'Inputs'!F15,"n.a.")</x:f>
        <x:v>0</x:v>
      </x:c>
      <x:c r="L1371" s="29" t="n">
        <x:f>IF('Inputs'!$D$9="Ready",'Inputs'!G15,"n.a.")</x:f>
        <x:v>0</x:v>
      </x:c>
      <x:c r="M1371" s="22" t="n">
        <x:f>IF(COUNT(I1371:L1371)=4,ROUND(I1371*J1371/12,2),"n.a.")</x:f>
        <x:v>0</x:v>
      </x:c>
      <x:c r="N1371" s="22" t="n">
        <x:f>IF(COUNT(I1371:M1371)=5,MIN(I1371+M1371,ROUND(MAX(K1371,I1371*L1371+M1371),2)),"n.a.")</x:f>
        <x:v>0</x:v>
      </x:c>
      <x:c r="O1371" s="30" t="n">
        <x:f>IF(COUNT($I$1367:$I$1371)&lt;&gt;5,"n.a.",IF(I1371=0,6,IF('Inputs'!$D$5=1,COUNTIFS($I$1367:$I$1371,"&gt;0",$I$1367:$I$1371,"&lt;"&amp;I1371)+COUNTIFS($I$1367:I1371,I1371),COUNTIFS($I$1367:$I$1371,"&gt;0",$J$1367:$J$1371,"&gt;"&amp;J1371)+COUNTIFS($I$1367:I1371,"&gt;0",$J$1367:J1371,J1371))))</x:f>
        <x:v>6</x:v>
      </x:c>
      <x:c r="P1371" s="22" t="n">
        <x:f>IF(T1371="Ready",MIN(U1371,MAX(0,G1371-SUMIFS($U$1367:$U$1371,$O$1367:$O$1371,"&lt;"&amp;O1371))),"n.a.")</x:f>
        <x:v>0</x:v>
      </x:c>
      <x:c r="Q1371" s="22" t="n">
        <x:f>IF(T1371="Ready",ROUND(N1371+P1371,2),"n.a.")</x:f>
        <x:v>0</x:v>
      </x:c>
      <x:c r="R1371" s="22" t="n">
        <x:f>IF(T1371="Ready",ROUND(Q1371-M1371,2),"n.a.")</x:f>
        <x:v>0</x:v>
      </x:c>
      <x:c r="S1371" s="22" t="n">
        <x:f>IF(T1371="Ready",MAX(0,ROUND(I1371+M1371-Q1371,2)),"n.a.")</x:f>
        <x:v>0</x:v>
      </x:c>
      <x:c r="T1371" s="22" t="str">
        <x:f>IF(AND(COUNT($I$1367:$I$1371)=5,COUNT(E1371:F1371)=2),IF(E1371&gt;=F1371,"Ready","Budget below minima"),"Check inputs")</x:f>
        <x:v>Ready</x:v>
      </x:c>
      <x:c r="U1371" s="22" t="n">
        <x:f>IF(COUNT(I1371,M1371,N1371)=3,MAX(0,ROUND(I1371+M1371-N1371,2)),"n.a.")</x:f>
        <x:v>0</x:v>
      </x:c>
    </x:row>
    <x:row r="1372" ht="22" customHeight="1">
      <x:c r="A1372" s="2"/>
      <x:c r="B1372" s="2"/>
      <x:c r="C1372" s="27" t="n">
        <x:f>274</x:f>
        <x:v>274</x:v>
      </x:c>
      <x:c r="D1372" s="28" t="n">
        <x:f>IF(ISNUMBER('Inputs'!$D$7),EDATE('Inputs'!$D$7,273),"n.a.")</x:f>
        <x:v>54636</x:v>
      </x:c>
      <x:c r="E1372" s="26" t="n">
        <x:f>IF('Inputs'!$D$9&lt;&gt;"Ready","n.a.",IF(ISNUMBER('Inputs'!E292),IF('Inputs'!E292&gt;=0,'Inputs'!E292,"n.a."),IF('Inputs'!E292="",'Inputs'!$D$6,"n.a.")))</x:f>
        <x:v>500</x:v>
      </x:c>
      <x:c r="F1372" s="22" t="n">
        <x:f>IF(COUNT($N$1372:$N$1376)=5,SUM($N$1372:$N$1376),"n.a.")</x:f>
        <x:v>0</x:v>
      </x:c>
      <x:c r="G1372" s="22" t="n">
        <x:f>IF(COUNT(E1372:F1372)=2,MAX(0,E1372-F1372),"n.a.")</x:f>
        <x:v>500</x:v>
      </x:c>
      <x:c r="H1372" s="26" t="str">
        <x:f>'Inputs'!C11</x:f>
        <x:v>Card A</x:v>
      </x:c>
      <x:c r="I1372" s="26" t="n">
        <x:f>S1367</x:f>
        <x:v>0</x:v>
      </x:c>
      <x:c r="J1372" s="29" t="n">
        <x:f>IF('Inputs'!$D$9="Ready",'Inputs'!E11,"n.a.")</x:f>
        <x:v>0.24</x:v>
      </x:c>
      <x:c r="K1372" s="26" t="n">
        <x:f>IF('Inputs'!$D$9="Ready",'Inputs'!F11,"n.a.")</x:f>
        <x:v>35</x:v>
      </x:c>
      <x:c r="L1372" s="29" t="n">
        <x:f>IF('Inputs'!$D$9="Ready",'Inputs'!G11,"n.a.")</x:f>
        <x:v>0.02</x:v>
      </x:c>
      <x:c r="M1372" s="22" t="n">
        <x:f>IF(COUNT(I1372:L1372)=4,ROUND(I1372*J1372/12,2),"n.a.")</x:f>
        <x:v>0</x:v>
      </x:c>
      <x:c r="N1372" s="22" t="n">
        <x:f>IF(COUNT(I1372:M1372)=5,MIN(I1372+M1372,ROUND(MAX(K1372,I1372*L1372+M1372),2)),"n.a.")</x:f>
        <x:v>0</x:v>
      </x:c>
      <x:c r="O1372" s="30" t="n">
        <x:f>IF(COUNT($I$1372:$I$1376)&lt;&gt;5,"n.a.",IF(I1372=0,6,IF('Inputs'!$D$5=1,COUNTIFS($I$1372:$I$1376,"&gt;0",$I$1372:$I$1376,"&lt;"&amp;I1372)+COUNTIFS($I$1372:I1372,I1372),COUNTIFS($I$1372:$I$1376,"&gt;0",$J$1372:$J$1376,"&gt;"&amp;J1372)+COUNTIFS($I$1372:I1372,"&gt;0",$J$1372:J1372,J1372))))</x:f>
        <x:v>6</x:v>
      </x:c>
      <x:c r="P1372" s="22" t="n">
        <x:f>IF(T1372="Ready",MIN(U1372,MAX(0,G1372-SUMIFS($U$1372:$U$1376,$O$1372:$O$1376,"&lt;"&amp;O1372))),"n.a.")</x:f>
        <x:v>0</x:v>
      </x:c>
      <x:c r="Q1372" s="22" t="n">
        <x:f>IF(T1372="Ready",ROUND(N1372+P1372,2),"n.a.")</x:f>
        <x:v>0</x:v>
      </x:c>
      <x:c r="R1372" s="22" t="n">
        <x:f>IF(T1372="Ready",ROUND(Q1372-M1372,2),"n.a.")</x:f>
        <x:v>0</x:v>
      </x:c>
      <x:c r="S1372" s="22" t="n">
        <x:f>IF(T1372="Ready",MAX(0,ROUND(I1372+M1372-Q1372,2)),"n.a.")</x:f>
        <x:v>0</x:v>
      </x:c>
      <x:c r="T1372" s="22" t="str">
        <x:f>IF(AND(COUNT($I$1372:$I$1376)=5,COUNT(E1372:F1372)=2),IF(E1372&gt;=F1372,"Ready","Budget below minima"),"Check inputs")</x:f>
        <x:v>Ready</x:v>
      </x:c>
      <x:c r="U1372" s="22" t="n">
        <x:f>IF(COUNT(I1372,M1372,N1372)=3,MAX(0,ROUND(I1372+M1372-N1372,2)),"n.a.")</x:f>
        <x:v>0</x:v>
      </x:c>
    </x:row>
    <x:row r="1373" ht="22" customHeight="1">
      <x:c r="A1373" s="2"/>
      <x:c r="B1373" s="2"/>
      <x:c r="C1373" s="27" t="n">
        <x:f>274</x:f>
        <x:v>274</x:v>
      </x:c>
      <x:c r="D1373" s="28" t="n">
        <x:f>IF(ISNUMBER('Inputs'!$D$7),EDATE('Inputs'!$D$7,273),"n.a.")</x:f>
        <x:v>54636</x:v>
      </x:c>
      <x:c r="E1373" s="26" t="n">
        <x:f>IF('Inputs'!$D$9&lt;&gt;"Ready","n.a.",IF(ISNUMBER('Inputs'!E292),IF('Inputs'!E292&gt;=0,'Inputs'!E292,"n.a."),IF('Inputs'!E292="",'Inputs'!$D$6,"n.a.")))</x:f>
        <x:v>500</x:v>
      </x:c>
      <x:c r="F1373" s="22" t="n">
        <x:f>IF(COUNT($N$1372:$N$1376)=5,SUM($N$1372:$N$1376),"n.a.")</x:f>
        <x:v>0</x:v>
      </x:c>
      <x:c r="G1373" s="22" t="n">
        <x:f>IF(COUNT(E1373:F1373)=2,MAX(0,E1373-F1373),"n.a.")</x:f>
        <x:v>500</x:v>
      </x:c>
      <x:c r="H1373" s="26" t="str">
        <x:f>'Inputs'!C12</x:f>
        <x:v>Card B</x:v>
      </x:c>
      <x:c r="I1373" s="26" t="n">
        <x:f>S1368</x:f>
        <x:v>0</x:v>
      </x:c>
      <x:c r="J1373" s="29" t="n">
        <x:f>IF('Inputs'!$D$9="Ready",'Inputs'!E12,"n.a.")</x:f>
        <x:v>0.18</x:v>
      </x:c>
      <x:c r="K1373" s="26" t="n">
        <x:f>IF('Inputs'!$D$9="Ready",'Inputs'!F12,"n.a.")</x:f>
        <x:v>60</x:v>
      </x:c>
      <x:c r="L1373" s="29" t="n">
        <x:f>IF('Inputs'!$D$9="Ready",'Inputs'!G12,"n.a.")</x:f>
        <x:v>0.02</x:v>
      </x:c>
      <x:c r="M1373" s="22" t="n">
        <x:f>IF(COUNT(I1373:L1373)=4,ROUND(I1373*J1373/12,2),"n.a.")</x:f>
        <x:v>0</x:v>
      </x:c>
      <x:c r="N1373" s="22" t="n">
        <x:f>IF(COUNT(I1373:M1373)=5,MIN(I1373+M1373,ROUND(MAX(K1373,I1373*L1373+M1373),2)),"n.a.")</x:f>
        <x:v>0</x:v>
      </x:c>
      <x:c r="O1373" s="30" t="n">
        <x:f>IF(COUNT($I$1372:$I$1376)&lt;&gt;5,"n.a.",IF(I1373=0,6,IF('Inputs'!$D$5=1,COUNTIFS($I$1372:$I$1376,"&gt;0",$I$1372:$I$1376,"&lt;"&amp;I1373)+COUNTIFS($I$1372:I1373,I1373),COUNTIFS($I$1372:$I$1376,"&gt;0",$J$1372:$J$1376,"&gt;"&amp;J1373)+COUNTIFS($I$1372:I1373,"&gt;0",$J$1372:J1373,J1373))))</x:f>
        <x:v>6</x:v>
      </x:c>
      <x:c r="P1373" s="22" t="n">
        <x:f>IF(T1373="Ready",MIN(U1373,MAX(0,G1373-SUMIFS($U$1372:$U$1376,$O$1372:$O$1376,"&lt;"&amp;O1373))),"n.a.")</x:f>
        <x:v>0</x:v>
      </x:c>
      <x:c r="Q1373" s="22" t="n">
        <x:f>IF(T1373="Ready",ROUND(N1373+P1373,2),"n.a.")</x:f>
        <x:v>0</x:v>
      </x:c>
      <x:c r="R1373" s="22" t="n">
        <x:f>IF(T1373="Ready",ROUND(Q1373-M1373,2),"n.a.")</x:f>
        <x:v>0</x:v>
      </x:c>
      <x:c r="S1373" s="22" t="n">
        <x:f>IF(T1373="Ready",MAX(0,ROUND(I1373+M1373-Q1373,2)),"n.a.")</x:f>
        <x:v>0</x:v>
      </x:c>
      <x:c r="T1373" s="22" t="str">
        <x:f>IF(AND(COUNT($I$1372:$I$1376)=5,COUNT(E1373:F1373)=2),IF(E1373&gt;=F1373,"Ready","Budget below minima"),"Check inputs")</x:f>
        <x:v>Ready</x:v>
      </x:c>
      <x:c r="U1373" s="22" t="n">
        <x:f>IF(COUNT(I1373,M1373,N1373)=3,MAX(0,ROUND(I1373+M1373-N1373,2)),"n.a.")</x:f>
        <x:v>0</x:v>
      </x:c>
    </x:row>
    <x:row r="1374" ht="22" customHeight="1">
      <x:c r="A1374" s="2"/>
      <x:c r="B1374" s="2"/>
      <x:c r="C1374" s="27" t="n">
        <x:f>274</x:f>
        <x:v>274</x:v>
      </x:c>
      <x:c r="D1374" s="28" t="n">
        <x:f>IF(ISNUMBER('Inputs'!$D$7),EDATE('Inputs'!$D$7,273),"n.a.")</x:f>
        <x:v>54636</x:v>
      </x:c>
      <x:c r="E1374" s="26" t="n">
        <x:f>IF('Inputs'!$D$9&lt;&gt;"Ready","n.a.",IF(ISNUMBER('Inputs'!E292),IF('Inputs'!E292&gt;=0,'Inputs'!E292,"n.a."),IF('Inputs'!E292="",'Inputs'!$D$6,"n.a.")))</x:f>
        <x:v>500</x:v>
      </x:c>
      <x:c r="F1374" s="22" t="n">
        <x:f>IF(COUNT($N$1372:$N$1376)=5,SUM($N$1372:$N$1376),"n.a.")</x:f>
        <x:v>0</x:v>
      </x:c>
      <x:c r="G1374" s="22" t="n">
        <x:f>IF(COUNT(E1374:F1374)=2,MAX(0,E1374-F1374),"n.a.")</x:f>
        <x:v>500</x:v>
      </x:c>
      <x:c r="H1374" s="26" t="str">
        <x:f>'Inputs'!C13</x:f>
        <x:v>Loan C</x:v>
      </x:c>
      <x:c r="I1374" s="26" t="n">
        <x:f>S1369</x:f>
        <x:v>0</x:v>
      </x:c>
      <x:c r="J1374" s="29" t="n">
        <x:f>IF('Inputs'!$D$9="Ready",'Inputs'!E13,"n.a.")</x:f>
        <x:v>0.08</x:v>
      </x:c>
      <x:c r="K1374" s="26" t="n">
        <x:f>IF('Inputs'!$D$9="Ready",'Inputs'!F13,"n.a.")</x:f>
        <x:v>150</x:v>
      </x:c>
      <x:c r="L1374" s="29" t="n">
        <x:f>IF('Inputs'!$D$9="Ready",'Inputs'!G13,"n.a.")</x:f>
        <x:v>0</x:v>
      </x:c>
      <x:c r="M1374" s="22" t="n">
        <x:f>IF(COUNT(I1374:L1374)=4,ROUND(I1374*J1374/12,2),"n.a.")</x:f>
        <x:v>0</x:v>
      </x:c>
      <x:c r="N1374" s="22" t="n">
        <x:f>IF(COUNT(I1374:M1374)=5,MIN(I1374+M1374,ROUND(MAX(K1374,I1374*L1374+M1374),2)),"n.a.")</x:f>
        <x:v>0</x:v>
      </x:c>
      <x:c r="O1374" s="30" t="n">
        <x:f>IF(COUNT($I$1372:$I$1376)&lt;&gt;5,"n.a.",IF(I1374=0,6,IF('Inputs'!$D$5=1,COUNTIFS($I$1372:$I$1376,"&gt;0",$I$1372:$I$1376,"&lt;"&amp;I1374)+COUNTIFS($I$1372:I1374,I1374),COUNTIFS($I$1372:$I$1376,"&gt;0",$J$1372:$J$1376,"&gt;"&amp;J1374)+COUNTIFS($I$1372:I1374,"&gt;0",$J$1372:J1374,J1374))))</x:f>
        <x:v>6</x:v>
      </x:c>
      <x:c r="P1374" s="22" t="n">
        <x:f>IF(T1374="Ready",MIN(U1374,MAX(0,G1374-SUMIFS($U$1372:$U$1376,$O$1372:$O$1376,"&lt;"&amp;O1374))),"n.a.")</x:f>
        <x:v>0</x:v>
      </x:c>
      <x:c r="Q1374" s="22" t="n">
        <x:f>IF(T1374="Ready",ROUND(N1374+P1374,2),"n.a.")</x:f>
        <x:v>0</x:v>
      </x:c>
      <x:c r="R1374" s="22" t="n">
        <x:f>IF(T1374="Ready",ROUND(Q1374-M1374,2),"n.a.")</x:f>
        <x:v>0</x:v>
      </x:c>
      <x:c r="S1374" s="22" t="n">
        <x:f>IF(T1374="Ready",MAX(0,ROUND(I1374+M1374-Q1374,2)),"n.a.")</x:f>
        <x:v>0</x:v>
      </x:c>
      <x:c r="T1374" s="22" t="str">
        <x:f>IF(AND(COUNT($I$1372:$I$1376)=5,COUNT(E1374:F1374)=2),IF(E1374&gt;=F1374,"Ready","Budget below minima"),"Check inputs")</x:f>
        <x:v>Ready</x:v>
      </x:c>
      <x:c r="U1374" s="22" t="n">
        <x:f>IF(COUNT(I1374,M1374,N1374)=3,MAX(0,ROUND(I1374+M1374-N1374,2)),"n.a.")</x:f>
        <x:v>0</x:v>
      </x:c>
    </x:row>
    <x:row r="1375" ht="22" customHeight="1">
      <x:c r="A1375" s="2"/>
      <x:c r="B1375" s="2"/>
      <x:c r="C1375" s="27" t="n">
        <x:f>274</x:f>
        <x:v>274</x:v>
      </x:c>
      <x:c r="D1375" s="28" t="n">
        <x:f>IF(ISNUMBER('Inputs'!$D$7),EDATE('Inputs'!$D$7,273),"n.a.")</x:f>
        <x:v>54636</x:v>
      </x:c>
      <x:c r="E1375" s="26" t="n">
        <x:f>IF('Inputs'!$D$9&lt;&gt;"Ready","n.a.",IF(ISNUMBER('Inputs'!E292),IF('Inputs'!E292&gt;=0,'Inputs'!E292,"n.a."),IF('Inputs'!E292="",'Inputs'!$D$6,"n.a.")))</x:f>
        <x:v>500</x:v>
      </x:c>
      <x:c r="F1375" s="22" t="n">
        <x:f>IF(COUNT($N$1372:$N$1376)=5,SUM($N$1372:$N$1376),"n.a.")</x:f>
        <x:v>0</x:v>
      </x:c>
      <x:c r="G1375" s="22" t="n">
        <x:f>IF(COUNT(E1375:F1375)=2,MAX(0,E1375-F1375),"n.a.")</x:f>
        <x:v>500</x:v>
      </x:c>
      <x:c r="H1375" s="26" t="str">
        <x:f>'Inputs'!C14</x:f>
        <x:v>Unused 4</x:v>
      </x:c>
      <x:c r="I1375" s="26" t="n">
        <x:f>S1370</x:f>
        <x:v>0</x:v>
      </x:c>
      <x:c r="J1375" s="29" t="n">
        <x:f>IF('Inputs'!$D$9="Ready",'Inputs'!E14,"n.a.")</x:f>
        <x:v>0</x:v>
      </x:c>
      <x:c r="K1375" s="26" t="n">
        <x:f>IF('Inputs'!$D$9="Ready",'Inputs'!F14,"n.a.")</x:f>
        <x:v>0</x:v>
      </x:c>
      <x:c r="L1375" s="29" t="n">
        <x:f>IF('Inputs'!$D$9="Ready",'Inputs'!G14,"n.a.")</x:f>
        <x:v>0</x:v>
      </x:c>
      <x:c r="M1375" s="22" t="n">
        <x:f>IF(COUNT(I1375:L1375)=4,ROUND(I1375*J1375/12,2),"n.a.")</x:f>
        <x:v>0</x:v>
      </x:c>
      <x:c r="N1375" s="22" t="n">
        <x:f>IF(COUNT(I1375:M1375)=5,MIN(I1375+M1375,ROUND(MAX(K1375,I1375*L1375+M1375),2)),"n.a.")</x:f>
        <x:v>0</x:v>
      </x:c>
      <x:c r="O1375" s="30" t="n">
        <x:f>IF(COUNT($I$1372:$I$1376)&lt;&gt;5,"n.a.",IF(I1375=0,6,IF('Inputs'!$D$5=1,COUNTIFS($I$1372:$I$1376,"&gt;0",$I$1372:$I$1376,"&lt;"&amp;I1375)+COUNTIFS($I$1372:I1375,I1375),COUNTIFS($I$1372:$I$1376,"&gt;0",$J$1372:$J$1376,"&gt;"&amp;J1375)+COUNTIFS($I$1372:I1375,"&gt;0",$J$1372:J1375,J1375))))</x:f>
        <x:v>6</x:v>
      </x:c>
      <x:c r="P1375" s="22" t="n">
        <x:f>IF(T1375="Ready",MIN(U1375,MAX(0,G1375-SUMIFS($U$1372:$U$1376,$O$1372:$O$1376,"&lt;"&amp;O1375))),"n.a.")</x:f>
        <x:v>0</x:v>
      </x:c>
      <x:c r="Q1375" s="22" t="n">
        <x:f>IF(T1375="Ready",ROUND(N1375+P1375,2),"n.a.")</x:f>
        <x:v>0</x:v>
      </x:c>
      <x:c r="R1375" s="22" t="n">
        <x:f>IF(T1375="Ready",ROUND(Q1375-M1375,2),"n.a.")</x:f>
        <x:v>0</x:v>
      </x:c>
      <x:c r="S1375" s="22" t="n">
        <x:f>IF(T1375="Ready",MAX(0,ROUND(I1375+M1375-Q1375,2)),"n.a.")</x:f>
        <x:v>0</x:v>
      </x:c>
      <x:c r="T1375" s="22" t="str">
        <x:f>IF(AND(COUNT($I$1372:$I$1376)=5,COUNT(E1375:F1375)=2),IF(E1375&gt;=F1375,"Ready","Budget below minima"),"Check inputs")</x:f>
        <x:v>Ready</x:v>
      </x:c>
      <x:c r="U1375" s="22" t="n">
        <x:f>IF(COUNT(I1375,M1375,N1375)=3,MAX(0,ROUND(I1375+M1375-N1375,2)),"n.a.")</x:f>
        <x:v>0</x:v>
      </x:c>
    </x:row>
    <x:row r="1376" ht="22" customHeight="1">
      <x:c r="A1376" s="2"/>
      <x:c r="B1376" s="2"/>
      <x:c r="C1376" s="27" t="n">
        <x:f>274</x:f>
        <x:v>274</x:v>
      </x:c>
      <x:c r="D1376" s="28" t="n">
        <x:f>IF(ISNUMBER('Inputs'!$D$7),EDATE('Inputs'!$D$7,273),"n.a.")</x:f>
        <x:v>54636</x:v>
      </x:c>
      <x:c r="E1376" s="26" t="n">
        <x:f>IF('Inputs'!$D$9&lt;&gt;"Ready","n.a.",IF(ISNUMBER('Inputs'!E292),IF('Inputs'!E292&gt;=0,'Inputs'!E292,"n.a."),IF('Inputs'!E292="",'Inputs'!$D$6,"n.a.")))</x:f>
        <x:v>500</x:v>
      </x:c>
      <x:c r="F1376" s="22" t="n">
        <x:f>IF(COUNT($N$1372:$N$1376)=5,SUM($N$1372:$N$1376),"n.a.")</x:f>
        <x:v>0</x:v>
      </x:c>
      <x:c r="G1376" s="22" t="n">
        <x:f>IF(COUNT(E1376:F1376)=2,MAX(0,E1376-F1376),"n.a.")</x:f>
        <x:v>500</x:v>
      </x:c>
      <x:c r="H1376" s="26" t="str">
        <x:f>'Inputs'!C15</x:f>
        <x:v>Unused 5</x:v>
      </x:c>
      <x:c r="I1376" s="26" t="n">
        <x:f>S1371</x:f>
        <x:v>0</x:v>
      </x:c>
      <x:c r="J1376" s="29" t="n">
        <x:f>IF('Inputs'!$D$9="Ready",'Inputs'!E15,"n.a.")</x:f>
        <x:v>0</x:v>
      </x:c>
      <x:c r="K1376" s="26" t="n">
        <x:f>IF('Inputs'!$D$9="Ready",'Inputs'!F15,"n.a.")</x:f>
        <x:v>0</x:v>
      </x:c>
      <x:c r="L1376" s="29" t="n">
        <x:f>IF('Inputs'!$D$9="Ready",'Inputs'!G15,"n.a.")</x:f>
        <x:v>0</x:v>
      </x:c>
      <x:c r="M1376" s="22" t="n">
        <x:f>IF(COUNT(I1376:L1376)=4,ROUND(I1376*J1376/12,2),"n.a.")</x:f>
        <x:v>0</x:v>
      </x:c>
      <x:c r="N1376" s="22" t="n">
        <x:f>IF(COUNT(I1376:M1376)=5,MIN(I1376+M1376,ROUND(MAX(K1376,I1376*L1376+M1376),2)),"n.a.")</x:f>
        <x:v>0</x:v>
      </x:c>
      <x:c r="O1376" s="30" t="n">
        <x:f>IF(COUNT($I$1372:$I$1376)&lt;&gt;5,"n.a.",IF(I1376=0,6,IF('Inputs'!$D$5=1,COUNTIFS($I$1372:$I$1376,"&gt;0",$I$1372:$I$1376,"&lt;"&amp;I1376)+COUNTIFS($I$1372:I1376,I1376),COUNTIFS($I$1372:$I$1376,"&gt;0",$J$1372:$J$1376,"&gt;"&amp;J1376)+COUNTIFS($I$1372:I1376,"&gt;0",$J$1372:J1376,J1376))))</x:f>
        <x:v>6</x:v>
      </x:c>
      <x:c r="P1376" s="22" t="n">
        <x:f>IF(T1376="Ready",MIN(U1376,MAX(0,G1376-SUMIFS($U$1372:$U$1376,$O$1372:$O$1376,"&lt;"&amp;O1376))),"n.a.")</x:f>
        <x:v>0</x:v>
      </x:c>
      <x:c r="Q1376" s="22" t="n">
        <x:f>IF(T1376="Ready",ROUND(N1376+P1376,2),"n.a.")</x:f>
        <x:v>0</x:v>
      </x:c>
      <x:c r="R1376" s="22" t="n">
        <x:f>IF(T1376="Ready",ROUND(Q1376-M1376,2),"n.a.")</x:f>
        <x:v>0</x:v>
      </x:c>
      <x:c r="S1376" s="22" t="n">
        <x:f>IF(T1376="Ready",MAX(0,ROUND(I1376+M1376-Q1376,2)),"n.a.")</x:f>
        <x:v>0</x:v>
      </x:c>
      <x:c r="T1376" s="22" t="str">
        <x:f>IF(AND(COUNT($I$1372:$I$1376)=5,COUNT(E1376:F1376)=2),IF(E1376&gt;=F1376,"Ready","Budget below minima"),"Check inputs")</x:f>
        <x:v>Ready</x:v>
      </x:c>
      <x:c r="U1376" s="22" t="n">
        <x:f>IF(COUNT(I1376,M1376,N1376)=3,MAX(0,ROUND(I1376+M1376-N1376,2)),"n.a.")</x:f>
        <x:v>0</x:v>
      </x:c>
    </x:row>
    <x:row r="1377" ht="22" customHeight="1">
      <x:c r="A1377" s="2"/>
      <x:c r="B1377" s="2"/>
      <x:c r="C1377" s="27" t="n">
        <x:f>275</x:f>
        <x:v>275</x:v>
      </x:c>
      <x:c r="D1377" s="28" t="n">
        <x:f>IF(ISNUMBER('Inputs'!$D$7),EDATE('Inputs'!$D$7,274),"n.a.")</x:f>
        <x:v>54667</x:v>
      </x:c>
      <x:c r="E1377" s="26" t="n">
        <x:f>IF('Inputs'!$D$9&lt;&gt;"Ready","n.a.",IF(ISNUMBER('Inputs'!E293),IF('Inputs'!E293&gt;=0,'Inputs'!E293,"n.a."),IF('Inputs'!E293="",'Inputs'!$D$6,"n.a.")))</x:f>
        <x:v>500</x:v>
      </x:c>
      <x:c r="F1377" s="22" t="n">
        <x:f>IF(COUNT($N$1377:$N$1381)=5,SUM($N$1377:$N$1381),"n.a.")</x:f>
        <x:v>0</x:v>
      </x:c>
      <x:c r="G1377" s="22" t="n">
        <x:f>IF(COUNT(E1377:F1377)=2,MAX(0,E1377-F1377),"n.a.")</x:f>
        <x:v>500</x:v>
      </x:c>
      <x:c r="H1377" s="26" t="str">
        <x:f>'Inputs'!C11</x:f>
        <x:v>Card A</x:v>
      </x:c>
      <x:c r="I1377" s="26" t="n">
        <x:f>S1372</x:f>
        <x:v>0</x:v>
      </x:c>
      <x:c r="J1377" s="29" t="n">
        <x:f>IF('Inputs'!$D$9="Ready",'Inputs'!E11,"n.a.")</x:f>
        <x:v>0.24</x:v>
      </x:c>
      <x:c r="K1377" s="26" t="n">
        <x:f>IF('Inputs'!$D$9="Ready",'Inputs'!F11,"n.a.")</x:f>
        <x:v>35</x:v>
      </x:c>
      <x:c r="L1377" s="29" t="n">
        <x:f>IF('Inputs'!$D$9="Ready",'Inputs'!G11,"n.a.")</x:f>
        <x:v>0.02</x:v>
      </x:c>
      <x:c r="M1377" s="22" t="n">
        <x:f>IF(COUNT(I1377:L1377)=4,ROUND(I1377*J1377/12,2),"n.a.")</x:f>
        <x:v>0</x:v>
      </x:c>
      <x:c r="N1377" s="22" t="n">
        <x:f>IF(COUNT(I1377:M1377)=5,MIN(I1377+M1377,ROUND(MAX(K1377,I1377*L1377+M1377),2)),"n.a.")</x:f>
        <x:v>0</x:v>
      </x:c>
      <x:c r="O1377" s="30" t="n">
        <x:f>IF(COUNT($I$1377:$I$1381)&lt;&gt;5,"n.a.",IF(I1377=0,6,IF('Inputs'!$D$5=1,COUNTIFS($I$1377:$I$1381,"&gt;0",$I$1377:$I$1381,"&lt;"&amp;I1377)+COUNTIFS($I$1377:I1377,I1377),COUNTIFS($I$1377:$I$1381,"&gt;0",$J$1377:$J$1381,"&gt;"&amp;J1377)+COUNTIFS($I$1377:I1377,"&gt;0",$J$1377:J1377,J1377))))</x:f>
        <x:v>6</x:v>
      </x:c>
      <x:c r="P1377" s="22" t="n">
        <x:f>IF(T1377="Ready",MIN(U1377,MAX(0,G1377-SUMIFS($U$1377:$U$1381,$O$1377:$O$1381,"&lt;"&amp;O1377))),"n.a.")</x:f>
        <x:v>0</x:v>
      </x:c>
      <x:c r="Q1377" s="22" t="n">
        <x:f>IF(T1377="Ready",ROUND(N1377+P1377,2),"n.a.")</x:f>
        <x:v>0</x:v>
      </x:c>
      <x:c r="R1377" s="22" t="n">
        <x:f>IF(T1377="Ready",ROUND(Q1377-M1377,2),"n.a.")</x:f>
        <x:v>0</x:v>
      </x:c>
      <x:c r="S1377" s="22" t="n">
        <x:f>IF(T1377="Ready",MAX(0,ROUND(I1377+M1377-Q1377,2)),"n.a.")</x:f>
        <x:v>0</x:v>
      </x:c>
      <x:c r="T1377" s="22" t="str">
        <x:f>IF(AND(COUNT($I$1377:$I$1381)=5,COUNT(E1377:F1377)=2),IF(E1377&gt;=F1377,"Ready","Budget below minima"),"Check inputs")</x:f>
        <x:v>Ready</x:v>
      </x:c>
      <x:c r="U1377" s="22" t="n">
        <x:f>IF(COUNT(I1377,M1377,N1377)=3,MAX(0,ROUND(I1377+M1377-N1377,2)),"n.a.")</x:f>
        <x:v>0</x:v>
      </x:c>
    </x:row>
    <x:row r="1378" ht="22" customHeight="1">
      <x:c r="A1378" s="2"/>
      <x:c r="B1378" s="2"/>
      <x:c r="C1378" s="27" t="n">
        <x:f>275</x:f>
        <x:v>275</x:v>
      </x:c>
      <x:c r="D1378" s="28" t="n">
        <x:f>IF(ISNUMBER('Inputs'!$D$7),EDATE('Inputs'!$D$7,274),"n.a.")</x:f>
        <x:v>54667</x:v>
      </x:c>
      <x:c r="E1378" s="26" t="n">
        <x:f>IF('Inputs'!$D$9&lt;&gt;"Ready","n.a.",IF(ISNUMBER('Inputs'!E293),IF('Inputs'!E293&gt;=0,'Inputs'!E293,"n.a."),IF('Inputs'!E293="",'Inputs'!$D$6,"n.a.")))</x:f>
        <x:v>500</x:v>
      </x:c>
      <x:c r="F1378" s="22" t="n">
        <x:f>IF(COUNT($N$1377:$N$1381)=5,SUM($N$1377:$N$1381),"n.a.")</x:f>
        <x:v>0</x:v>
      </x:c>
      <x:c r="G1378" s="22" t="n">
        <x:f>IF(COUNT(E1378:F1378)=2,MAX(0,E1378-F1378),"n.a.")</x:f>
        <x:v>500</x:v>
      </x:c>
      <x:c r="H1378" s="26" t="str">
        <x:f>'Inputs'!C12</x:f>
        <x:v>Card B</x:v>
      </x:c>
      <x:c r="I1378" s="26" t="n">
        <x:f>S1373</x:f>
        <x:v>0</x:v>
      </x:c>
      <x:c r="J1378" s="29" t="n">
        <x:f>IF('Inputs'!$D$9="Ready",'Inputs'!E12,"n.a.")</x:f>
        <x:v>0.18</x:v>
      </x:c>
      <x:c r="K1378" s="26" t="n">
        <x:f>IF('Inputs'!$D$9="Ready",'Inputs'!F12,"n.a.")</x:f>
        <x:v>60</x:v>
      </x:c>
      <x:c r="L1378" s="29" t="n">
        <x:f>IF('Inputs'!$D$9="Ready",'Inputs'!G12,"n.a.")</x:f>
        <x:v>0.02</x:v>
      </x:c>
      <x:c r="M1378" s="22" t="n">
        <x:f>IF(COUNT(I1378:L1378)=4,ROUND(I1378*J1378/12,2),"n.a.")</x:f>
        <x:v>0</x:v>
      </x:c>
      <x:c r="N1378" s="22" t="n">
        <x:f>IF(COUNT(I1378:M1378)=5,MIN(I1378+M1378,ROUND(MAX(K1378,I1378*L1378+M1378),2)),"n.a.")</x:f>
        <x:v>0</x:v>
      </x:c>
      <x:c r="O1378" s="30" t="n">
        <x:f>IF(COUNT($I$1377:$I$1381)&lt;&gt;5,"n.a.",IF(I1378=0,6,IF('Inputs'!$D$5=1,COUNTIFS($I$1377:$I$1381,"&gt;0",$I$1377:$I$1381,"&lt;"&amp;I1378)+COUNTIFS($I$1377:I1378,I1378),COUNTIFS($I$1377:$I$1381,"&gt;0",$J$1377:$J$1381,"&gt;"&amp;J1378)+COUNTIFS($I$1377:I1378,"&gt;0",$J$1377:J1378,J1378))))</x:f>
        <x:v>6</x:v>
      </x:c>
      <x:c r="P1378" s="22" t="n">
        <x:f>IF(T1378="Ready",MIN(U1378,MAX(0,G1378-SUMIFS($U$1377:$U$1381,$O$1377:$O$1381,"&lt;"&amp;O1378))),"n.a.")</x:f>
        <x:v>0</x:v>
      </x:c>
      <x:c r="Q1378" s="22" t="n">
        <x:f>IF(T1378="Ready",ROUND(N1378+P1378,2),"n.a.")</x:f>
        <x:v>0</x:v>
      </x:c>
      <x:c r="R1378" s="22" t="n">
        <x:f>IF(T1378="Ready",ROUND(Q1378-M1378,2),"n.a.")</x:f>
        <x:v>0</x:v>
      </x:c>
      <x:c r="S1378" s="22" t="n">
        <x:f>IF(T1378="Ready",MAX(0,ROUND(I1378+M1378-Q1378,2)),"n.a.")</x:f>
        <x:v>0</x:v>
      </x:c>
      <x:c r="T1378" s="22" t="str">
        <x:f>IF(AND(COUNT($I$1377:$I$1381)=5,COUNT(E1378:F1378)=2),IF(E1378&gt;=F1378,"Ready","Budget below minima"),"Check inputs")</x:f>
        <x:v>Ready</x:v>
      </x:c>
      <x:c r="U1378" s="22" t="n">
        <x:f>IF(COUNT(I1378,M1378,N1378)=3,MAX(0,ROUND(I1378+M1378-N1378,2)),"n.a.")</x:f>
        <x:v>0</x:v>
      </x:c>
    </x:row>
    <x:row r="1379" ht="22" customHeight="1">
      <x:c r="A1379" s="2"/>
      <x:c r="B1379" s="2"/>
      <x:c r="C1379" s="27" t="n">
        <x:f>275</x:f>
        <x:v>275</x:v>
      </x:c>
      <x:c r="D1379" s="28" t="n">
        <x:f>IF(ISNUMBER('Inputs'!$D$7),EDATE('Inputs'!$D$7,274),"n.a.")</x:f>
        <x:v>54667</x:v>
      </x:c>
      <x:c r="E1379" s="26" t="n">
        <x:f>IF('Inputs'!$D$9&lt;&gt;"Ready","n.a.",IF(ISNUMBER('Inputs'!E293),IF('Inputs'!E293&gt;=0,'Inputs'!E293,"n.a."),IF('Inputs'!E293="",'Inputs'!$D$6,"n.a.")))</x:f>
        <x:v>500</x:v>
      </x:c>
      <x:c r="F1379" s="22" t="n">
        <x:f>IF(COUNT($N$1377:$N$1381)=5,SUM($N$1377:$N$1381),"n.a.")</x:f>
        <x:v>0</x:v>
      </x:c>
      <x:c r="G1379" s="22" t="n">
        <x:f>IF(COUNT(E1379:F1379)=2,MAX(0,E1379-F1379),"n.a.")</x:f>
        <x:v>500</x:v>
      </x:c>
      <x:c r="H1379" s="26" t="str">
        <x:f>'Inputs'!C13</x:f>
        <x:v>Loan C</x:v>
      </x:c>
      <x:c r="I1379" s="26" t="n">
        <x:f>S1374</x:f>
        <x:v>0</x:v>
      </x:c>
      <x:c r="J1379" s="29" t="n">
        <x:f>IF('Inputs'!$D$9="Ready",'Inputs'!E13,"n.a.")</x:f>
        <x:v>0.08</x:v>
      </x:c>
      <x:c r="K1379" s="26" t="n">
        <x:f>IF('Inputs'!$D$9="Ready",'Inputs'!F13,"n.a.")</x:f>
        <x:v>150</x:v>
      </x:c>
      <x:c r="L1379" s="29" t="n">
        <x:f>IF('Inputs'!$D$9="Ready",'Inputs'!G13,"n.a.")</x:f>
        <x:v>0</x:v>
      </x:c>
      <x:c r="M1379" s="22" t="n">
        <x:f>IF(COUNT(I1379:L1379)=4,ROUND(I1379*J1379/12,2),"n.a.")</x:f>
        <x:v>0</x:v>
      </x:c>
      <x:c r="N1379" s="22" t="n">
        <x:f>IF(COUNT(I1379:M1379)=5,MIN(I1379+M1379,ROUND(MAX(K1379,I1379*L1379+M1379),2)),"n.a.")</x:f>
        <x:v>0</x:v>
      </x:c>
      <x:c r="O1379" s="30" t="n">
        <x:f>IF(COUNT($I$1377:$I$1381)&lt;&gt;5,"n.a.",IF(I1379=0,6,IF('Inputs'!$D$5=1,COUNTIFS($I$1377:$I$1381,"&gt;0",$I$1377:$I$1381,"&lt;"&amp;I1379)+COUNTIFS($I$1377:I1379,I1379),COUNTIFS($I$1377:$I$1381,"&gt;0",$J$1377:$J$1381,"&gt;"&amp;J1379)+COUNTIFS($I$1377:I1379,"&gt;0",$J$1377:J1379,J1379))))</x:f>
        <x:v>6</x:v>
      </x:c>
      <x:c r="P1379" s="22" t="n">
        <x:f>IF(T1379="Ready",MIN(U1379,MAX(0,G1379-SUMIFS($U$1377:$U$1381,$O$1377:$O$1381,"&lt;"&amp;O1379))),"n.a.")</x:f>
        <x:v>0</x:v>
      </x:c>
      <x:c r="Q1379" s="22" t="n">
        <x:f>IF(T1379="Ready",ROUND(N1379+P1379,2),"n.a.")</x:f>
        <x:v>0</x:v>
      </x:c>
      <x:c r="R1379" s="22" t="n">
        <x:f>IF(T1379="Ready",ROUND(Q1379-M1379,2),"n.a.")</x:f>
        <x:v>0</x:v>
      </x:c>
      <x:c r="S1379" s="22" t="n">
        <x:f>IF(T1379="Ready",MAX(0,ROUND(I1379+M1379-Q1379,2)),"n.a.")</x:f>
        <x:v>0</x:v>
      </x:c>
      <x:c r="T1379" s="22" t="str">
        <x:f>IF(AND(COUNT($I$1377:$I$1381)=5,COUNT(E1379:F1379)=2),IF(E1379&gt;=F1379,"Ready","Budget below minima"),"Check inputs")</x:f>
        <x:v>Ready</x:v>
      </x:c>
      <x:c r="U1379" s="22" t="n">
        <x:f>IF(COUNT(I1379,M1379,N1379)=3,MAX(0,ROUND(I1379+M1379-N1379,2)),"n.a.")</x:f>
        <x:v>0</x:v>
      </x:c>
    </x:row>
    <x:row r="1380" ht="22" customHeight="1">
      <x:c r="A1380" s="2"/>
      <x:c r="B1380" s="2"/>
      <x:c r="C1380" s="27" t="n">
        <x:f>275</x:f>
        <x:v>275</x:v>
      </x:c>
      <x:c r="D1380" s="28" t="n">
        <x:f>IF(ISNUMBER('Inputs'!$D$7),EDATE('Inputs'!$D$7,274),"n.a.")</x:f>
        <x:v>54667</x:v>
      </x:c>
      <x:c r="E1380" s="26" t="n">
        <x:f>IF('Inputs'!$D$9&lt;&gt;"Ready","n.a.",IF(ISNUMBER('Inputs'!E293),IF('Inputs'!E293&gt;=0,'Inputs'!E293,"n.a."),IF('Inputs'!E293="",'Inputs'!$D$6,"n.a.")))</x:f>
        <x:v>500</x:v>
      </x:c>
      <x:c r="F1380" s="22" t="n">
        <x:f>IF(COUNT($N$1377:$N$1381)=5,SUM($N$1377:$N$1381),"n.a.")</x:f>
        <x:v>0</x:v>
      </x:c>
      <x:c r="G1380" s="22" t="n">
        <x:f>IF(COUNT(E1380:F1380)=2,MAX(0,E1380-F1380),"n.a.")</x:f>
        <x:v>500</x:v>
      </x:c>
      <x:c r="H1380" s="26" t="str">
        <x:f>'Inputs'!C14</x:f>
        <x:v>Unused 4</x:v>
      </x:c>
      <x:c r="I1380" s="26" t="n">
        <x:f>S1375</x:f>
        <x:v>0</x:v>
      </x:c>
      <x:c r="J1380" s="29" t="n">
        <x:f>IF('Inputs'!$D$9="Ready",'Inputs'!E14,"n.a.")</x:f>
        <x:v>0</x:v>
      </x:c>
      <x:c r="K1380" s="26" t="n">
        <x:f>IF('Inputs'!$D$9="Ready",'Inputs'!F14,"n.a.")</x:f>
        <x:v>0</x:v>
      </x:c>
      <x:c r="L1380" s="29" t="n">
        <x:f>IF('Inputs'!$D$9="Ready",'Inputs'!G14,"n.a.")</x:f>
        <x:v>0</x:v>
      </x:c>
      <x:c r="M1380" s="22" t="n">
        <x:f>IF(COUNT(I1380:L1380)=4,ROUND(I1380*J1380/12,2),"n.a.")</x:f>
        <x:v>0</x:v>
      </x:c>
      <x:c r="N1380" s="22" t="n">
        <x:f>IF(COUNT(I1380:M1380)=5,MIN(I1380+M1380,ROUND(MAX(K1380,I1380*L1380+M1380),2)),"n.a.")</x:f>
        <x:v>0</x:v>
      </x:c>
      <x:c r="O1380" s="30" t="n">
        <x:f>IF(COUNT($I$1377:$I$1381)&lt;&gt;5,"n.a.",IF(I1380=0,6,IF('Inputs'!$D$5=1,COUNTIFS($I$1377:$I$1381,"&gt;0",$I$1377:$I$1381,"&lt;"&amp;I1380)+COUNTIFS($I$1377:I1380,I1380),COUNTIFS($I$1377:$I$1381,"&gt;0",$J$1377:$J$1381,"&gt;"&amp;J1380)+COUNTIFS($I$1377:I1380,"&gt;0",$J$1377:J1380,J1380))))</x:f>
        <x:v>6</x:v>
      </x:c>
      <x:c r="P1380" s="22" t="n">
        <x:f>IF(T1380="Ready",MIN(U1380,MAX(0,G1380-SUMIFS($U$1377:$U$1381,$O$1377:$O$1381,"&lt;"&amp;O1380))),"n.a.")</x:f>
        <x:v>0</x:v>
      </x:c>
      <x:c r="Q1380" s="22" t="n">
        <x:f>IF(T1380="Ready",ROUND(N1380+P1380,2),"n.a.")</x:f>
        <x:v>0</x:v>
      </x:c>
      <x:c r="R1380" s="22" t="n">
        <x:f>IF(T1380="Ready",ROUND(Q1380-M1380,2),"n.a.")</x:f>
        <x:v>0</x:v>
      </x:c>
      <x:c r="S1380" s="22" t="n">
        <x:f>IF(T1380="Ready",MAX(0,ROUND(I1380+M1380-Q1380,2)),"n.a.")</x:f>
        <x:v>0</x:v>
      </x:c>
      <x:c r="T1380" s="22" t="str">
        <x:f>IF(AND(COUNT($I$1377:$I$1381)=5,COUNT(E1380:F1380)=2),IF(E1380&gt;=F1380,"Ready","Budget below minima"),"Check inputs")</x:f>
        <x:v>Ready</x:v>
      </x:c>
      <x:c r="U1380" s="22" t="n">
        <x:f>IF(COUNT(I1380,M1380,N1380)=3,MAX(0,ROUND(I1380+M1380-N1380,2)),"n.a.")</x:f>
        <x:v>0</x:v>
      </x:c>
    </x:row>
    <x:row r="1381" ht="22" customHeight="1">
      <x:c r="A1381" s="2"/>
      <x:c r="B1381" s="2"/>
      <x:c r="C1381" s="27" t="n">
        <x:f>275</x:f>
        <x:v>275</x:v>
      </x:c>
      <x:c r="D1381" s="28" t="n">
        <x:f>IF(ISNUMBER('Inputs'!$D$7),EDATE('Inputs'!$D$7,274),"n.a.")</x:f>
        <x:v>54667</x:v>
      </x:c>
      <x:c r="E1381" s="26" t="n">
        <x:f>IF('Inputs'!$D$9&lt;&gt;"Ready","n.a.",IF(ISNUMBER('Inputs'!E293),IF('Inputs'!E293&gt;=0,'Inputs'!E293,"n.a."),IF('Inputs'!E293="",'Inputs'!$D$6,"n.a.")))</x:f>
        <x:v>500</x:v>
      </x:c>
      <x:c r="F1381" s="22" t="n">
        <x:f>IF(COUNT($N$1377:$N$1381)=5,SUM($N$1377:$N$1381),"n.a.")</x:f>
        <x:v>0</x:v>
      </x:c>
      <x:c r="G1381" s="22" t="n">
        <x:f>IF(COUNT(E1381:F1381)=2,MAX(0,E1381-F1381),"n.a.")</x:f>
        <x:v>500</x:v>
      </x:c>
      <x:c r="H1381" s="26" t="str">
        <x:f>'Inputs'!C15</x:f>
        <x:v>Unused 5</x:v>
      </x:c>
      <x:c r="I1381" s="26" t="n">
        <x:f>S1376</x:f>
        <x:v>0</x:v>
      </x:c>
      <x:c r="J1381" s="29" t="n">
        <x:f>IF('Inputs'!$D$9="Ready",'Inputs'!E15,"n.a.")</x:f>
        <x:v>0</x:v>
      </x:c>
      <x:c r="K1381" s="26" t="n">
        <x:f>IF('Inputs'!$D$9="Ready",'Inputs'!F15,"n.a.")</x:f>
        <x:v>0</x:v>
      </x:c>
      <x:c r="L1381" s="29" t="n">
        <x:f>IF('Inputs'!$D$9="Ready",'Inputs'!G15,"n.a.")</x:f>
        <x:v>0</x:v>
      </x:c>
      <x:c r="M1381" s="22" t="n">
        <x:f>IF(COUNT(I1381:L1381)=4,ROUND(I1381*J1381/12,2),"n.a.")</x:f>
        <x:v>0</x:v>
      </x:c>
      <x:c r="N1381" s="22" t="n">
        <x:f>IF(COUNT(I1381:M1381)=5,MIN(I1381+M1381,ROUND(MAX(K1381,I1381*L1381+M1381),2)),"n.a.")</x:f>
        <x:v>0</x:v>
      </x:c>
      <x:c r="O1381" s="30" t="n">
        <x:f>IF(COUNT($I$1377:$I$1381)&lt;&gt;5,"n.a.",IF(I1381=0,6,IF('Inputs'!$D$5=1,COUNTIFS($I$1377:$I$1381,"&gt;0",$I$1377:$I$1381,"&lt;"&amp;I1381)+COUNTIFS($I$1377:I1381,I1381),COUNTIFS($I$1377:$I$1381,"&gt;0",$J$1377:$J$1381,"&gt;"&amp;J1381)+COUNTIFS($I$1377:I1381,"&gt;0",$J$1377:J1381,J1381))))</x:f>
        <x:v>6</x:v>
      </x:c>
      <x:c r="P1381" s="22" t="n">
        <x:f>IF(T1381="Ready",MIN(U1381,MAX(0,G1381-SUMIFS($U$1377:$U$1381,$O$1377:$O$1381,"&lt;"&amp;O1381))),"n.a.")</x:f>
        <x:v>0</x:v>
      </x:c>
      <x:c r="Q1381" s="22" t="n">
        <x:f>IF(T1381="Ready",ROUND(N1381+P1381,2),"n.a.")</x:f>
        <x:v>0</x:v>
      </x:c>
      <x:c r="R1381" s="22" t="n">
        <x:f>IF(T1381="Ready",ROUND(Q1381-M1381,2),"n.a.")</x:f>
        <x:v>0</x:v>
      </x:c>
      <x:c r="S1381" s="22" t="n">
        <x:f>IF(T1381="Ready",MAX(0,ROUND(I1381+M1381-Q1381,2)),"n.a.")</x:f>
        <x:v>0</x:v>
      </x:c>
      <x:c r="T1381" s="22" t="str">
        <x:f>IF(AND(COUNT($I$1377:$I$1381)=5,COUNT(E1381:F1381)=2),IF(E1381&gt;=F1381,"Ready","Budget below minima"),"Check inputs")</x:f>
        <x:v>Ready</x:v>
      </x:c>
      <x:c r="U1381" s="22" t="n">
        <x:f>IF(COUNT(I1381,M1381,N1381)=3,MAX(0,ROUND(I1381+M1381-N1381,2)),"n.a.")</x:f>
        <x:v>0</x:v>
      </x:c>
    </x:row>
    <x:row r="1382" ht="22" customHeight="1">
      <x:c r="A1382" s="2"/>
      <x:c r="B1382" s="2"/>
      <x:c r="C1382" s="27" t="n">
        <x:f>276</x:f>
        <x:v>276</x:v>
      </x:c>
      <x:c r="D1382" s="28" t="n">
        <x:f>IF(ISNUMBER('Inputs'!$D$7),EDATE('Inputs'!$D$7,275),"n.a.")</x:f>
        <x:v>54697</x:v>
      </x:c>
      <x:c r="E1382" s="26" t="n">
        <x:f>IF('Inputs'!$D$9&lt;&gt;"Ready","n.a.",IF(ISNUMBER('Inputs'!E294),IF('Inputs'!E294&gt;=0,'Inputs'!E294,"n.a."),IF('Inputs'!E294="",'Inputs'!$D$6,"n.a.")))</x:f>
        <x:v>500</x:v>
      </x:c>
      <x:c r="F1382" s="22" t="n">
        <x:f>IF(COUNT($N$1382:$N$1386)=5,SUM($N$1382:$N$1386),"n.a.")</x:f>
        <x:v>0</x:v>
      </x:c>
      <x:c r="G1382" s="22" t="n">
        <x:f>IF(COUNT(E1382:F1382)=2,MAX(0,E1382-F1382),"n.a.")</x:f>
        <x:v>500</x:v>
      </x:c>
      <x:c r="H1382" s="26" t="str">
        <x:f>'Inputs'!C11</x:f>
        <x:v>Card A</x:v>
      </x:c>
      <x:c r="I1382" s="26" t="n">
        <x:f>S1377</x:f>
        <x:v>0</x:v>
      </x:c>
      <x:c r="J1382" s="29" t="n">
        <x:f>IF('Inputs'!$D$9="Ready",'Inputs'!E11,"n.a.")</x:f>
        <x:v>0.24</x:v>
      </x:c>
      <x:c r="K1382" s="26" t="n">
        <x:f>IF('Inputs'!$D$9="Ready",'Inputs'!F11,"n.a.")</x:f>
        <x:v>35</x:v>
      </x:c>
      <x:c r="L1382" s="29" t="n">
        <x:f>IF('Inputs'!$D$9="Ready",'Inputs'!G11,"n.a.")</x:f>
        <x:v>0.02</x:v>
      </x:c>
      <x:c r="M1382" s="22" t="n">
        <x:f>IF(COUNT(I1382:L1382)=4,ROUND(I1382*J1382/12,2),"n.a.")</x:f>
        <x:v>0</x:v>
      </x:c>
      <x:c r="N1382" s="22" t="n">
        <x:f>IF(COUNT(I1382:M1382)=5,MIN(I1382+M1382,ROUND(MAX(K1382,I1382*L1382+M1382),2)),"n.a.")</x:f>
        <x:v>0</x:v>
      </x:c>
      <x:c r="O1382" s="30" t="n">
        <x:f>IF(COUNT($I$1382:$I$1386)&lt;&gt;5,"n.a.",IF(I1382=0,6,IF('Inputs'!$D$5=1,COUNTIFS($I$1382:$I$1386,"&gt;0",$I$1382:$I$1386,"&lt;"&amp;I1382)+COUNTIFS($I$1382:I1382,I1382),COUNTIFS($I$1382:$I$1386,"&gt;0",$J$1382:$J$1386,"&gt;"&amp;J1382)+COUNTIFS($I$1382:I1382,"&gt;0",$J$1382:J1382,J1382))))</x:f>
        <x:v>6</x:v>
      </x:c>
      <x:c r="P1382" s="22" t="n">
        <x:f>IF(T1382="Ready",MIN(U1382,MAX(0,G1382-SUMIFS($U$1382:$U$1386,$O$1382:$O$1386,"&lt;"&amp;O1382))),"n.a.")</x:f>
        <x:v>0</x:v>
      </x:c>
      <x:c r="Q1382" s="22" t="n">
        <x:f>IF(T1382="Ready",ROUND(N1382+P1382,2),"n.a.")</x:f>
        <x:v>0</x:v>
      </x:c>
      <x:c r="R1382" s="22" t="n">
        <x:f>IF(T1382="Ready",ROUND(Q1382-M1382,2),"n.a.")</x:f>
        <x:v>0</x:v>
      </x:c>
      <x:c r="S1382" s="22" t="n">
        <x:f>IF(T1382="Ready",MAX(0,ROUND(I1382+M1382-Q1382,2)),"n.a.")</x:f>
        <x:v>0</x:v>
      </x:c>
      <x:c r="T1382" s="22" t="str">
        <x:f>IF(AND(COUNT($I$1382:$I$1386)=5,COUNT(E1382:F1382)=2),IF(E1382&gt;=F1382,"Ready","Budget below minima"),"Check inputs")</x:f>
        <x:v>Ready</x:v>
      </x:c>
      <x:c r="U1382" s="22" t="n">
        <x:f>IF(COUNT(I1382,M1382,N1382)=3,MAX(0,ROUND(I1382+M1382-N1382,2)),"n.a.")</x:f>
        <x:v>0</x:v>
      </x:c>
    </x:row>
    <x:row r="1383" ht="22" customHeight="1">
      <x:c r="A1383" s="2"/>
      <x:c r="B1383" s="2"/>
      <x:c r="C1383" s="27" t="n">
        <x:f>276</x:f>
        <x:v>276</x:v>
      </x:c>
      <x:c r="D1383" s="28" t="n">
        <x:f>IF(ISNUMBER('Inputs'!$D$7),EDATE('Inputs'!$D$7,275),"n.a.")</x:f>
        <x:v>54697</x:v>
      </x:c>
      <x:c r="E1383" s="26" t="n">
        <x:f>IF('Inputs'!$D$9&lt;&gt;"Ready","n.a.",IF(ISNUMBER('Inputs'!E294),IF('Inputs'!E294&gt;=0,'Inputs'!E294,"n.a."),IF('Inputs'!E294="",'Inputs'!$D$6,"n.a.")))</x:f>
        <x:v>500</x:v>
      </x:c>
      <x:c r="F1383" s="22" t="n">
        <x:f>IF(COUNT($N$1382:$N$1386)=5,SUM($N$1382:$N$1386),"n.a.")</x:f>
        <x:v>0</x:v>
      </x:c>
      <x:c r="G1383" s="22" t="n">
        <x:f>IF(COUNT(E1383:F1383)=2,MAX(0,E1383-F1383),"n.a.")</x:f>
        <x:v>500</x:v>
      </x:c>
      <x:c r="H1383" s="26" t="str">
        <x:f>'Inputs'!C12</x:f>
        <x:v>Card B</x:v>
      </x:c>
      <x:c r="I1383" s="26" t="n">
        <x:f>S1378</x:f>
        <x:v>0</x:v>
      </x:c>
      <x:c r="J1383" s="29" t="n">
        <x:f>IF('Inputs'!$D$9="Ready",'Inputs'!E12,"n.a.")</x:f>
        <x:v>0.18</x:v>
      </x:c>
      <x:c r="K1383" s="26" t="n">
        <x:f>IF('Inputs'!$D$9="Ready",'Inputs'!F12,"n.a.")</x:f>
        <x:v>60</x:v>
      </x:c>
      <x:c r="L1383" s="29" t="n">
        <x:f>IF('Inputs'!$D$9="Ready",'Inputs'!G12,"n.a.")</x:f>
        <x:v>0.02</x:v>
      </x:c>
      <x:c r="M1383" s="22" t="n">
        <x:f>IF(COUNT(I1383:L1383)=4,ROUND(I1383*J1383/12,2),"n.a.")</x:f>
        <x:v>0</x:v>
      </x:c>
      <x:c r="N1383" s="22" t="n">
        <x:f>IF(COUNT(I1383:M1383)=5,MIN(I1383+M1383,ROUND(MAX(K1383,I1383*L1383+M1383),2)),"n.a.")</x:f>
        <x:v>0</x:v>
      </x:c>
      <x:c r="O1383" s="30" t="n">
        <x:f>IF(COUNT($I$1382:$I$1386)&lt;&gt;5,"n.a.",IF(I1383=0,6,IF('Inputs'!$D$5=1,COUNTIFS($I$1382:$I$1386,"&gt;0",$I$1382:$I$1386,"&lt;"&amp;I1383)+COUNTIFS($I$1382:I1383,I1383),COUNTIFS($I$1382:$I$1386,"&gt;0",$J$1382:$J$1386,"&gt;"&amp;J1383)+COUNTIFS($I$1382:I1383,"&gt;0",$J$1382:J1383,J1383))))</x:f>
        <x:v>6</x:v>
      </x:c>
      <x:c r="P1383" s="22" t="n">
        <x:f>IF(T1383="Ready",MIN(U1383,MAX(0,G1383-SUMIFS($U$1382:$U$1386,$O$1382:$O$1386,"&lt;"&amp;O1383))),"n.a.")</x:f>
        <x:v>0</x:v>
      </x:c>
      <x:c r="Q1383" s="22" t="n">
        <x:f>IF(T1383="Ready",ROUND(N1383+P1383,2),"n.a.")</x:f>
        <x:v>0</x:v>
      </x:c>
      <x:c r="R1383" s="22" t="n">
        <x:f>IF(T1383="Ready",ROUND(Q1383-M1383,2),"n.a.")</x:f>
        <x:v>0</x:v>
      </x:c>
      <x:c r="S1383" s="22" t="n">
        <x:f>IF(T1383="Ready",MAX(0,ROUND(I1383+M1383-Q1383,2)),"n.a.")</x:f>
        <x:v>0</x:v>
      </x:c>
      <x:c r="T1383" s="22" t="str">
        <x:f>IF(AND(COUNT($I$1382:$I$1386)=5,COUNT(E1383:F1383)=2),IF(E1383&gt;=F1383,"Ready","Budget below minima"),"Check inputs")</x:f>
        <x:v>Ready</x:v>
      </x:c>
      <x:c r="U1383" s="22" t="n">
        <x:f>IF(COUNT(I1383,M1383,N1383)=3,MAX(0,ROUND(I1383+M1383-N1383,2)),"n.a.")</x:f>
        <x:v>0</x:v>
      </x:c>
    </x:row>
    <x:row r="1384" ht="22" customHeight="1">
      <x:c r="A1384" s="2"/>
      <x:c r="B1384" s="2"/>
      <x:c r="C1384" s="27" t="n">
        <x:f>276</x:f>
        <x:v>276</x:v>
      </x:c>
      <x:c r="D1384" s="28" t="n">
        <x:f>IF(ISNUMBER('Inputs'!$D$7),EDATE('Inputs'!$D$7,275),"n.a.")</x:f>
        <x:v>54697</x:v>
      </x:c>
      <x:c r="E1384" s="26" t="n">
        <x:f>IF('Inputs'!$D$9&lt;&gt;"Ready","n.a.",IF(ISNUMBER('Inputs'!E294),IF('Inputs'!E294&gt;=0,'Inputs'!E294,"n.a."),IF('Inputs'!E294="",'Inputs'!$D$6,"n.a.")))</x:f>
        <x:v>500</x:v>
      </x:c>
      <x:c r="F1384" s="22" t="n">
        <x:f>IF(COUNT($N$1382:$N$1386)=5,SUM($N$1382:$N$1386),"n.a.")</x:f>
        <x:v>0</x:v>
      </x:c>
      <x:c r="G1384" s="22" t="n">
        <x:f>IF(COUNT(E1384:F1384)=2,MAX(0,E1384-F1384),"n.a.")</x:f>
        <x:v>500</x:v>
      </x:c>
      <x:c r="H1384" s="26" t="str">
        <x:f>'Inputs'!C13</x:f>
        <x:v>Loan C</x:v>
      </x:c>
      <x:c r="I1384" s="26" t="n">
        <x:f>S1379</x:f>
        <x:v>0</x:v>
      </x:c>
      <x:c r="J1384" s="29" t="n">
        <x:f>IF('Inputs'!$D$9="Ready",'Inputs'!E13,"n.a.")</x:f>
        <x:v>0.08</x:v>
      </x:c>
      <x:c r="K1384" s="26" t="n">
        <x:f>IF('Inputs'!$D$9="Ready",'Inputs'!F13,"n.a.")</x:f>
        <x:v>150</x:v>
      </x:c>
      <x:c r="L1384" s="29" t="n">
        <x:f>IF('Inputs'!$D$9="Ready",'Inputs'!G13,"n.a.")</x:f>
        <x:v>0</x:v>
      </x:c>
      <x:c r="M1384" s="22" t="n">
        <x:f>IF(COUNT(I1384:L1384)=4,ROUND(I1384*J1384/12,2),"n.a.")</x:f>
        <x:v>0</x:v>
      </x:c>
      <x:c r="N1384" s="22" t="n">
        <x:f>IF(COUNT(I1384:M1384)=5,MIN(I1384+M1384,ROUND(MAX(K1384,I1384*L1384+M1384),2)),"n.a.")</x:f>
        <x:v>0</x:v>
      </x:c>
      <x:c r="O1384" s="30" t="n">
        <x:f>IF(COUNT($I$1382:$I$1386)&lt;&gt;5,"n.a.",IF(I1384=0,6,IF('Inputs'!$D$5=1,COUNTIFS($I$1382:$I$1386,"&gt;0",$I$1382:$I$1386,"&lt;"&amp;I1384)+COUNTIFS($I$1382:I1384,I1384),COUNTIFS($I$1382:$I$1386,"&gt;0",$J$1382:$J$1386,"&gt;"&amp;J1384)+COUNTIFS($I$1382:I1384,"&gt;0",$J$1382:J1384,J1384))))</x:f>
        <x:v>6</x:v>
      </x:c>
      <x:c r="P1384" s="22" t="n">
        <x:f>IF(T1384="Ready",MIN(U1384,MAX(0,G1384-SUMIFS($U$1382:$U$1386,$O$1382:$O$1386,"&lt;"&amp;O1384))),"n.a.")</x:f>
        <x:v>0</x:v>
      </x:c>
      <x:c r="Q1384" s="22" t="n">
        <x:f>IF(T1384="Ready",ROUND(N1384+P1384,2),"n.a.")</x:f>
        <x:v>0</x:v>
      </x:c>
      <x:c r="R1384" s="22" t="n">
        <x:f>IF(T1384="Ready",ROUND(Q1384-M1384,2),"n.a.")</x:f>
        <x:v>0</x:v>
      </x:c>
      <x:c r="S1384" s="22" t="n">
        <x:f>IF(T1384="Ready",MAX(0,ROUND(I1384+M1384-Q1384,2)),"n.a.")</x:f>
        <x:v>0</x:v>
      </x:c>
      <x:c r="T1384" s="22" t="str">
        <x:f>IF(AND(COUNT($I$1382:$I$1386)=5,COUNT(E1384:F1384)=2),IF(E1384&gt;=F1384,"Ready","Budget below minima"),"Check inputs")</x:f>
        <x:v>Ready</x:v>
      </x:c>
      <x:c r="U1384" s="22" t="n">
        <x:f>IF(COUNT(I1384,M1384,N1384)=3,MAX(0,ROUND(I1384+M1384-N1384,2)),"n.a.")</x:f>
        <x:v>0</x:v>
      </x:c>
    </x:row>
    <x:row r="1385" ht="22" customHeight="1">
      <x:c r="A1385" s="2"/>
      <x:c r="B1385" s="2"/>
      <x:c r="C1385" s="27" t="n">
        <x:f>276</x:f>
        <x:v>276</x:v>
      </x:c>
      <x:c r="D1385" s="28" t="n">
        <x:f>IF(ISNUMBER('Inputs'!$D$7),EDATE('Inputs'!$D$7,275),"n.a.")</x:f>
        <x:v>54697</x:v>
      </x:c>
      <x:c r="E1385" s="26" t="n">
        <x:f>IF('Inputs'!$D$9&lt;&gt;"Ready","n.a.",IF(ISNUMBER('Inputs'!E294),IF('Inputs'!E294&gt;=0,'Inputs'!E294,"n.a."),IF('Inputs'!E294="",'Inputs'!$D$6,"n.a.")))</x:f>
        <x:v>500</x:v>
      </x:c>
      <x:c r="F1385" s="22" t="n">
        <x:f>IF(COUNT($N$1382:$N$1386)=5,SUM($N$1382:$N$1386),"n.a.")</x:f>
        <x:v>0</x:v>
      </x:c>
      <x:c r="G1385" s="22" t="n">
        <x:f>IF(COUNT(E1385:F1385)=2,MAX(0,E1385-F1385),"n.a.")</x:f>
        <x:v>500</x:v>
      </x:c>
      <x:c r="H1385" s="26" t="str">
        <x:f>'Inputs'!C14</x:f>
        <x:v>Unused 4</x:v>
      </x:c>
      <x:c r="I1385" s="26" t="n">
        <x:f>S1380</x:f>
        <x:v>0</x:v>
      </x:c>
      <x:c r="J1385" s="29" t="n">
        <x:f>IF('Inputs'!$D$9="Ready",'Inputs'!E14,"n.a.")</x:f>
        <x:v>0</x:v>
      </x:c>
      <x:c r="K1385" s="26" t="n">
        <x:f>IF('Inputs'!$D$9="Ready",'Inputs'!F14,"n.a.")</x:f>
        <x:v>0</x:v>
      </x:c>
      <x:c r="L1385" s="29" t="n">
        <x:f>IF('Inputs'!$D$9="Ready",'Inputs'!G14,"n.a.")</x:f>
        <x:v>0</x:v>
      </x:c>
      <x:c r="M1385" s="22" t="n">
        <x:f>IF(COUNT(I1385:L1385)=4,ROUND(I1385*J1385/12,2),"n.a.")</x:f>
        <x:v>0</x:v>
      </x:c>
      <x:c r="N1385" s="22" t="n">
        <x:f>IF(COUNT(I1385:M1385)=5,MIN(I1385+M1385,ROUND(MAX(K1385,I1385*L1385+M1385),2)),"n.a.")</x:f>
        <x:v>0</x:v>
      </x:c>
      <x:c r="O1385" s="30" t="n">
        <x:f>IF(COUNT($I$1382:$I$1386)&lt;&gt;5,"n.a.",IF(I1385=0,6,IF('Inputs'!$D$5=1,COUNTIFS($I$1382:$I$1386,"&gt;0",$I$1382:$I$1386,"&lt;"&amp;I1385)+COUNTIFS($I$1382:I1385,I1385),COUNTIFS($I$1382:$I$1386,"&gt;0",$J$1382:$J$1386,"&gt;"&amp;J1385)+COUNTIFS($I$1382:I1385,"&gt;0",$J$1382:J1385,J1385))))</x:f>
        <x:v>6</x:v>
      </x:c>
      <x:c r="P1385" s="22" t="n">
        <x:f>IF(T1385="Ready",MIN(U1385,MAX(0,G1385-SUMIFS($U$1382:$U$1386,$O$1382:$O$1386,"&lt;"&amp;O1385))),"n.a.")</x:f>
        <x:v>0</x:v>
      </x:c>
      <x:c r="Q1385" s="22" t="n">
        <x:f>IF(T1385="Ready",ROUND(N1385+P1385,2),"n.a.")</x:f>
        <x:v>0</x:v>
      </x:c>
      <x:c r="R1385" s="22" t="n">
        <x:f>IF(T1385="Ready",ROUND(Q1385-M1385,2),"n.a.")</x:f>
        <x:v>0</x:v>
      </x:c>
      <x:c r="S1385" s="22" t="n">
        <x:f>IF(T1385="Ready",MAX(0,ROUND(I1385+M1385-Q1385,2)),"n.a.")</x:f>
        <x:v>0</x:v>
      </x:c>
      <x:c r="T1385" s="22" t="str">
        <x:f>IF(AND(COUNT($I$1382:$I$1386)=5,COUNT(E1385:F1385)=2),IF(E1385&gt;=F1385,"Ready","Budget below minima"),"Check inputs")</x:f>
        <x:v>Ready</x:v>
      </x:c>
      <x:c r="U1385" s="22" t="n">
        <x:f>IF(COUNT(I1385,M1385,N1385)=3,MAX(0,ROUND(I1385+M1385-N1385,2)),"n.a.")</x:f>
        <x:v>0</x:v>
      </x:c>
    </x:row>
    <x:row r="1386" ht="22" customHeight="1">
      <x:c r="A1386" s="2"/>
      <x:c r="B1386" s="2"/>
      <x:c r="C1386" s="27" t="n">
        <x:f>276</x:f>
        <x:v>276</x:v>
      </x:c>
      <x:c r="D1386" s="28" t="n">
        <x:f>IF(ISNUMBER('Inputs'!$D$7),EDATE('Inputs'!$D$7,275),"n.a.")</x:f>
        <x:v>54697</x:v>
      </x:c>
      <x:c r="E1386" s="26" t="n">
        <x:f>IF('Inputs'!$D$9&lt;&gt;"Ready","n.a.",IF(ISNUMBER('Inputs'!E294),IF('Inputs'!E294&gt;=0,'Inputs'!E294,"n.a."),IF('Inputs'!E294="",'Inputs'!$D$6,"n.a.")))</x:f>
        <x:v>500</x:v>
      </x:c>
      <x:c r="F1386" s="22" t="n">
        <x:f>IF(COUNT($N$1382:$N$1386)=5,SUM($N$1382:$N$1386),"n.a.")</x:f>
        <x:v>0</x:v>
      </x:c>
      <x:c r="G1386" s="22" t="n">
        <x:f>IF(COUNT(E1386:F1386)=2,MAX(0,E1386-F1386),"n.a.")</x:f>
        <x:v>500</x:v>
      </x:c>
      <x:c r="H1386" s="26" t="str">
        <x:f>'Inputs'!C15</x:f>
        <x:v>Unused 5</x:v>
      </x:c>
      <x:c r="I1386" s="26" t="n">
        <x:f>S1381</x:f>
        <x:v>0</x:v>
      </x:c>
      <x:c r="J1386" s="29" t="n">
        <x:f>IF('Inputs'!$D$9="Ready",'Inputs'!E15,"n.a.")</x:f>
        <x:v>0</x:v>
      </x:c>
      <x:c r="K1386" s="26" t="n">
        <x:f>IF('Inputs'!$D$9="Ready",'Inputs'!F15,"n.a.")</x:f>
        <x:v>0</x:v>
      </x:c>
      <x:c r="L1386" s="29" t="n">
        <x:f>IF('Inputs'!$D$9="Ready",'Inputs'!G15,"n.a.")</x:f>
        <x:v>0</x:v>
      </x:c>
      <x:c r="M1386" s="22" t="n">
        <x:f>IF(COUNT(I1386:L1386)=4,ROUND(I1386*J1386/12,2),"n.a.")</x:f>
        <x:v>0</x:v>
      </x:c>
      <x:c r="N1386" s="22" t="n">
        <x:f>IF(COUNT(I1386:M1386)=5,MIN(I1386+M1386,ROUND(MAX(K1386,I1386*L1386+M1386),2)),"n.a.")</x:f>
        <x:v>0</x:v>
      </x:c>
      <x:c r="O1386" s="30" t="n">
        <x:f>IF(COUNT($I$1382:$I$1386)&lt;&gt;5,"n.a.",IF(I1386=0,6,IF('Inputs'!$D$5=1,COUNTIFS($I$1382:$I$1386,"&gt;0",$I$1382:$I$1386,"&lt;"&amp;I1386)+COUNTIFS($I$1382:I1386,I1386),COUNTIFS($I$1382:$I$1386,"&gt;0",$J$1382:$J$1386,"&gt;"&amp;J1386)+COUNTIFS($I$1382:I1386,"&gt;0",$J$1382:J1386,J1386))))</x:f>
        <x:v>6</x:v>
      </x:c>
      <x:c r="P1386" s="22" t="n">
        <x:f>IF(T1386="Ready",MIN(U1386,MAX(0,G1386-SUMIFS($U$1382:$U$1386,$O$1382:$O$1386,"&lt;"&amp;O1386))),"n.a.")</x:f>
        <x:v>0</x:v>
      </x:c>
      <x:c r="Q1386" s="22" t="n">
        <x:f>IF(T1386="Ready",ROUND(N1386+P1386,2),"n.a.")</x:f>
        <x:v>0</x:v>
      </x:c>
      <x:c r="R1386" s="22" t="n">
        <x:f>IF(T1386="Ready",ROUND(Q1386-M1386,2),"n.a.")</x:f>
        <x:v>0</x:v>
      </x:c>
      <x:c r="S1386" s="22" t="n">
        <x:f>IF(T1386="Ready",MAX(0,ROUND(I1386+M1386-Q1386,2)),"n.a.")</x:f>
        <x:v>0</x:v>
      </x:c>
      <x:c r="T1386" s="22" t="str">
        <x:f>IF(AND(COUNT($I$1382:$I$1386)=5,COUNT(E1386:F1386)=2),IF(E1386&gt;=F1386,"Ready","Budget below minima"),"Check inputs")</x:f>
        <x:v>Ready</x:v>
      </x:c>
      <x:c r="U1386" s="22" t="n">
        <x:f>IF(COUNT(I1386,M1386,N1386)=3,MAX(0,ROUND(I1386+M1386-N1386,2)),"n.a.")</x:f>
        <x:v>0</x:v>
      </x:c>
    </x:row>
    <x:row r="1387" ht="22" customHeight="1">
      <x:c r="A1387" s="2"/>
      <x:c r="B1387" s="2"/>
      <x:c r="C1387" s="27" t="n">
        <x:f>277</x:f>
        <x:v>277</x:v>
      </x:c>
      <x:c r="D1387" s="28" t="n">
        <x:f>IF(ISNUMBER('Inputs'!$D$7),EDATE('Inputs'!$D$7,276),"n.a.")</x:f>
        <x:v>54728</x:v>
      </x:c>
      <x:c r="E1387" s="26" t="n">
        <x:f>IF('Inputs'!$D$9&lt;&gt;"Ready","n.a.",IF(ISNUMBER('Inputs'!E295),IF('Inputs'!E295&gt;=0,'Inputs'!E295,"n.a."),IF('Inputs'!E295="",'Inputs'!$D$6,"n.a.")))</x:f>
        <x:v>500</x:v>
      </x:c>
      <x:c r="F1387" s="22" t="n">
        <x:f>IF(COUNT($N$1387:$N$1391)=5,SUM($N$1387:$N$1391),"n.a.")</x:f>
        <x:v>0</x:v>
      </x:c>
      <x:c r="G1387" s="22" t="n">
        <x:f>IF(COUNT(E1387:F1387)=2,MAX(0,E1387-F1387),"n.a.")</x:f>
        <x:v>500</x:v>
      </x:c>
      <x:c r="H1387" s="26" t="str">
        <x:f>'Inputs'!C11</x:f>
        <x:v>Card A</x:v>
      </x:c>
      <x:c r="I1387" s="26" t="n">
        <x:f>S1382</x:f>
        <x:v>0</x:v>
      </x:c>
      <x:c r="J1387" s="29" t="n">
        <x:f>IF('Inputs'!$D$9="Ready",'Inputs'!E11,"n.a.")</x:f>
        <x:v>0.24</x:v>
      </x:c>
      <x:c r="K1387" s="26" t="n">
        <x:f>IF('Inputs'!$D$9="Ready",'Inputs'!F11,"n.a.")</x:f>
        <x:v>35</x:v>
      </x:c>
      <x:c r="L1387" s="29" t="n">
        <x:f>IF('Inputs'!$D$9="Ready",'Inputs'!G11,"n.a.")</x:f>
        <x:v>0.02</x:v>
      </x:c>
      <x:c r="M1387" s="22" t="n">
        <x:f>IF(COUNT(I1387:L1387)=4,ROUND(I1387*J1387/12,2),"n.a.")</x:f>
        <x:v>0</x:v>
      </x:c>
      <x:c r="N1387" s="22" t="n">
        <x:f>IF(COUNT(I1387:M1387)=5,MIN(I1387+M1387,ROUND(MAX(K1387,I1387*L1387+M1387),2)),"n.a.")</x:f>
        <x:v>0</x:v>
      </x:c>
      <x:c r="O1387" s="30" t="n">
        <x:f>IF(COUNT($I$1387:$I$1391)&lt;&gt;5,"n.a.",IF(I1387=0,6,IF('Inputs'!$D$5=1,COUNTIFS($I$1387:$I$1391,"&gt;0",$I$1387:$I$1391,"&lt;"&amp;I1387)+COUNTIFS($I$1387:I1387,I1387),COUNTIFS($I$1387:$I$1391,"&gt;0",$J$1387:$J$1391,"&gt;"&amp;J1387)+COUNTIFS($I$1387:I1387,"&gt;0",$J$1387:J1387,J1387))))</x:f>
        <x:v>6</x:v>
      </x:c>
      <x:c r="P1387" s="22" t="n">
        <x:f>IF(T1387="Ready",MIN(U1387,MAX(0,G1387-SUMIFS($U$1387:$U$1391,$O$1387:$O$1391,"&lt;"&amp;O1387))),"n.a.")</x:f>
        <x:v>0</x:v>
      </x:c>
      <x:c r="Q1387" s="22" t="n">
        <x:f>IF(T1387="Ready",ROUND(N1387+P1387,2),"n.a.")</x:f>
        <x:v>0</x:v>
      </x:c>
      <x:c r="R1387" s="22" t="n">
        <x:f>IF(T1387="Ready",ROUND(Q1387-M1387,2),"n.a.")</x:f>
        <x:v>0</x:v>
      </x:c>
      <x:c r="S1387" s="22" t="n">
        <x:f>IF(T1387="Ready",MAX(0,ROUND(I1387+M1387-Q1387,2)),"n.a.")</x:f>
        <x:v>0</x:v>
      </x:c>
      <x:c r="T1387" s="22" t="str">
        <x:f>IF(AND(COUNT($I$1387:$I$1391)=5,COUNT(E1387:F1387)=2),IF(E1387&gt;=F1387,"Ready","Budget below minima"),"Check inputs")</x:f>
        <x:v>Ready</x:v>
      </x:c>
      <x:c r="U1387" s="22" t="n">
        <x:f>IF(COUNT(I1387,M1387,N1387)=3,MAX(0,ROUND(I1387+M1387-N1387,2)),"n.a.")</x:f>
        <x:v>0</x:v>
      </x:c>
    </x:row>
    <x:row r="1388" ht="22" customHeight="1">
      <x:c r="A1388" s="2"/>
      <x:c r="B1388" s="2"/>
      <x:c r="C1388" s="27" t="n">
        <x:f>277</x:f>
        <x:v>277</x:v>
      </x:c>
      <x:c r="D1388" s="28" t="n">
        <x:f>IF(ISNUMBER('Inputs'!$D$7),EDATE('Inputs'!$D$7,276),"n.a.")</x:f>
        <x:v>54728</x:v>
      </x:c>
      <x:c r="E1388" s="26" t="n">
        <x:f>IF('Inputs'!$D$9&lt;&gt;"Ready","n.a.",IF(ISNUMBER('Inputs'!E295),IF('Inputs'!E295&gt;=0,'Inputs'!E295,"n.a."),IF('Inputs'!E295="",'Inputs'!$D$6,"n.a.")))</x:f>
        <x:v>500</x:v>
      </x:c>
      <x:c r="F1388" s="22" t="n">
        <x:f>IF(COUNT($N$1387:$N$1391)=5,SUM($N$1387:$N$1391),"n.a.")</x:f>
        <x:v>0</x:v>
      </x:c>
      <x:c r="G1388" s="22" t="n">
        <x:f>IF(COUNT(E1388:F1388)=2,MAX(0,E1388-F1388),"n.a.")</x:f>
        <x:v>500</x:v>
      </x:c>
      <x:c r="H1388" s="26" t="str">
        <x:f>'Inputs'!C12</x:f>
        <x:v>Card B</x:v>
      </x:c>
      <x:c r="I1388" s="26" t="n">
        <x:f>S1383</x:f>
        <x:v>0</x:v>
      </x:c>
      <x:c r="J1388" s="29" t="n">
        <x:f>IF('Inputs'!$D$9="Ready",'Inputs'!E12,"n.a.")</x:f>
        <x:v>0.18</x:v>
      </x:c>
      <x:c r="K1388" s="26" t="n">
        <x:f>IF('Inputs'!$D$9="Ready",'Inputs'!F12,"n.a.")</x:f>
        <x:v>60</x:v>
      </x:c>
      <x:c r="L1388" s="29" t="n">
        <x:f>IF('Inputs'!$D$9="Ready",'Inputs'!G12,"n.a.")</x:f>
        <x:v>0.02</x:v>
      </x:c>
      <x:c r="M1388" s="22" t="n">
        <x:f>IF(COUNT(I1388:L1388)=4,ROUND(I1388*J1388/12,2),"n.a.")</x:f>
        <x:v>0</x:v>
      </x:c>
      <x:c r="N1388" s="22" t="n">
        <x:f>IF(COUNT(I1388:M1388)=5,MIN(I1388+M1388,ROUND(MAX(K1388,I1388*L1388+M1388),2)),"n.a.")</x:f>
        <x:v>0</x:v>
      </x:c>
      <x:c r="O1388" s="30" t="n">
        <x:f>IF(COUNT($I$1387:$I$1391)&lt;&gt;5,"n.a.",IF(I1388=0,6,IF('Inputs'!$D$5=1,COUNTIFS($I$1387:$I$1391,"&gt;0",$I$1387:$I$1391,"&lt;"&amp;I1388)+COUNTIFS($I$1387:I1388,I1388),COUNTIFS($I$1387:$I$1391,"&gt;0",$J$1387:$J$1391,"&gt;"&amp;J1388)+COUNTIFS($I$1387:I1388,"&gt;0",$J$1387:J1388,J1388))))</x:f>
        <x:v>6</x:v>
      </x:c>
      <x:c r="P1388" s="22" t="n">
        <x:f>IF(T1388="Ready",MIN(U1388,MAX(0,G1388-SUMIFS($U$1387:$U$1391,$O$1387:$O$1391,"&lt;"&amp;O1388))),"n.a.")</x:f>
        <x:v>0</x:v>
      </x:c>
      <x:c r="Q1388" s="22" t="n">
        <x:f>IF(T1388="Ready",ROUND(N1388+P1388,2),"n.a.")</x:f>
        <x:v>0</x:v>
      </x:c>
      <x:c r="R1388" s="22" t="n">
        <x:f>IF(T1388="Ready",ROUND(Q1388-M1388,2),"n.a.")</x:f>
        <x:v>0</x:v>
      </x:c>
      <x:c r="S1388" s="22" t="n">
        <x:f>IF(T1388="Ready",MAX(0,ROUND(I1388+M1388-Q1388,2)),"n.a.")</x:f>
        <x:v>0</x:v>
      </x:c>
      <x:c r="T1388" s="22" t="str">
        <x:f>IF(AND(COUNT($I$1387:$I$1391)=5,COUNT(E1388:F1388)=2),IF(E1388&gt;=F1388,"Ready","Budget below minima"),"Check inputs")</x:f>
        <x:v>Ready</x:v>
      </x:c>
      <x:c r="U1388" s="22" t="n">
        <x:f>IF(COUNT(I1388,M1388,N1388)=3,MAX(0,ROUND(I1388+M1388-N1388,2)),"n.a.")</x:f>
        <x:v>0</x:v>
      </x:c>
    </x:row>
    <x:row r="1389" ht="22" customHeight="1">
      <x:c r="A1389" s="2"/>
      <x:c r="B1389" s="2"/>
      <x:c r="C1389" s="27" t="n">
        <x:f>277</x:f>
        <x:v>277</x:v>
      </x:c>
      <x:c r="D1389" s="28" t="n">
        <x:f>IF(ISNUMBER('Inputs'!$D$7),EDATE('Inputs'!$D$7,276),"n.a.")</x:f>
        <x:v>54728</x:v>
      </x:c>
      <x:c r="E1389" s="26" t="n">
        <x:f>IF('Inputs'!$D$9&lt;&gt;"Ready","n.a.",IF(ISNUMBER('Inputs'!E295),IF('Inputs'!E295&gt;=0,'Inputs'!E295,"n.a."),IF('Inputs'!E295="",'Inputs'!$D$6,"n.a.")))</x:f>
        <x:v>500</x:v>
      </x:c>
      <x:c r="F1389" s="22" t="n">
        <x:f>IF(COUNT($N$1387:$N$1391)=5,SUM($N$1387:$N$1391),"n.a.")</x:f>
        <x:v>0</x:v>
      </x:c>
      <x:c r="G1389" s="22" t="n">
        <x:f>IF(COUNT(E1389:F1389)=2,MAX(0,E1389-F1389),"n.a.")</x:f>
        <x:v>500</x:v>
      </x:c>
      <x:c r="H1389" s="26" t="str">
        <x:f>'Inputs'!C13</x:f>
        <x:v>Loan C</x:v>
      </x:c>
      <x:c r="I1389" s="26" t="n">
        <x:f>S1384</x:f>
        <x:v>0</x:v>
      </x:c>
      <x:c r="J1389" s="29" t="n">
        <x:f>IF('Inputs'!$D$9="Ready",'Inputs'!E13,"n.a.")</x:f>
        <x:v>0.08</x:v>
      </x:c>
      <x:c r="K1389" s="26" t="n">
        <x:f>IF('Inputs'!$D$9="Ready",'Inputs'!F13,"n.a.")</x:f>
        <x:v>150</x:v>
      </x:c>
      <x:c r="L1389" s="29" t="n">
        <x:f>IF('Inputs'!$D$9="Ready",'Inputs'!G13,"n.a.")</x:f>
        <x:v>0</x:v>
      </x:c>
      <x:c r="M1389" s="22" t="n">
        <x:f>IF(COUNT(I1389:L1389)=4,ROUND(I1389*J1389/12,2),"n.a.")</x:f>
        <x:v>0</x:v>
      </x:c>
      <x:c r="N1389" s="22" t="n">
        <x:f>IF(COUNT(I1389:M1389)=5,MIN(I1389+M1389,ROUND(MAX(K1389,I1389*L1389+M1389),2)),"n.a.")</x:f>
        <x:v>0</x:v>
      </x:c>
      <x:c r="O1389" s="30" t="n">
        <x:f>IF(COUNT($I$1387:$I$1391)&lt;&gt;5,"n.a.",IF(I1389=0,6,IF('Inputs'!$D$5=1,COUNTIFS($I$1387:$I$1391,"&gt;0",$I$1387:$I$1391,"&lt;"&amp;I1389)+COUNTIFS($I$1387:I1389,I1389),COUNTIFS($I$1387:$I$1391,"&gt;0",$J$1387:$J$1391,"&gt;"&amp;J1389)+COUNTIFS($I$1387:I1389,"&gt;0",$J$1387:J1389,J1389))))</x:f>
        <x:v>6</x:v>
      </x:c>
      <x:c r="P1389" s="22" t="n">
        <x:f>IF(T1389="Ready",MIN(U1389,MAX(0,G1389-SUMIFS($U$1387:$U$1391,$O$1387:$O$1391,"&lt;"&amp;O1389))),"n.a.")</x:f>
        <x:v>0</x:v>
      </x:c>
      <x:c r="Q1389" s="22" t="n">
        <x:f>IF(T1389="Ready",ROUND(N1389+P1389,2),"n.a.")</x:f>
        <x:v>0</x:v>
      </x:c>
      <x:c r="R1389" s="22" t="n">
        <x:f>IF(T1389="Ready",ROUND(Q1389-M1389,2),"n.a.")</x:f>
        <x:v>0</x:v>
      </x:c>
      <x:c r="S1389" s="22" t="n">
        <x:f>IF(T1389="Ready",MAX(0,ROUND(I1389+M1389-Q1389,2)),"n.a.")</x:f>
        <x:v>0</x:v>
      </x:c>
      <x:c r="T1389" s="22" t="str">
        <x:f>IF(AND(COUNT($I$1387:$I$1391)=5,COUNT(E1389:F1389)=2),IF(E1389&gt;=F1389,"Ready","Budget below minima"),"Check inputs")</x:f>
        <x:v>Ready</x:v>
      </x:c>
      <x:c r="U1389" s="22" t="n">
        <x:f>IF(COUNT(I1389,M1389,N1389)=3,MAX(0,ROUND(I1389+M1389-N1389,2)),"n.a.")</x:f>
        <x:v>0</x:v>
      </x:c>
    </x:row>
    <x:row r="1390" ht="22" customHeight="1">
      <x:c r="A1390" s="2"/>
      <x:c r="B1390" s="2"/>
      <x:c r="C1390" s="27" t="n">
        <x:f>277</x:f>
        <x:v>277</x:v>
      </x:c>
      <x:c r="D1390" s="28" t="n">
        <x:f>IF(ISNUMBER('Inputs'!$D$7),EDATE('Inputs'!$D$7,276),"n.a.")</x:f>
        <x:v>54728</x:v>
      </x:c>
      <x:c r="E1390" s="26" t="n">
        <x:f>IF('Inputs'!$D$9&lt;&gt;"Ready","n.a.",IF(ISNUMBER('Inputs'!E295),IF('Inputs'!E295&gt;=0,'Inputs'!E295,"n.a."),IF('Inputs'!E295="",'Inputs'!$D$6,"n.a.")))</x:f>
        <x:v>500</x:v>
      </x:c>
      <x:c r="F1390" s="22" t="n">
        <x:f>IF(COUNT($N$1387:$N$1391)=5,SUM($N$1387:$N$1391),"n.a.")</x:f>
        <x:v>0</x:v>
      </x:c>
      <x:c r="G1390" s="22" t="n">
        <x:f>IF(COUNT(E1390:F1390)=2,MAX(0,E1390-F1390),"n.a.")</x:f>
        <x:v>500</x:v>
      </x:c>
      <x:c r="H1390" s="26" t="str">
        <x:f>'Inputs'!C14</x:f>
        <x:v>Unused 4</x:v>
      </x:c>
      <x:c r="I1390" s="26" t="n">
        <x:f>S1385</x:f>
        <x:v>0</x:v>
      </x:c>
      <x:c r="J1390" s="29" t="n">
        <x:f>IF('Inputs'!$D$9="Ready",'Inputs'!E14,"n.a.")</x:f>
        <x:v>0</x:v>
      </x:c>
      <x:c r="K1390" s="26" t="n">
        <x:f>IF('Inputs'!$D$9="Ready",'Inputs'!F14,"n.a.")</x:f>
        <x:v>0</x:v>
      </x:c>
      <x:c r="L1390" s="29" t="n">
        <x:f>IF('Inputs'!$D$9="Ready",'Inputs'!G14,"n.a.")</x:f>
        <x:v>0</x:v>
      </x:c>
      <x:c r="M1390" s="22" t="n">
        <x:f>IF(COUNT(I1390:L1390)=4,ROUND(I1390*J1390/12,2),"n.a.")</x:f>
        <x:v>0</x:v>
      </x:c>
      <x:c r="N1390" s="22" t="n">
        <x:f>IF(COUNT(I1390:M1390)=5,MIN(I1390+M1390,ROUND(MAX(K1390,I1390*L1390+M1390),2)),"n.a.")</x:f>
        <x:v>0</x:v>
      </x:c>
      <x:c r="O1390" s="30" t="n">
        <x:f>IF(COUNT($I$1387:$I$1391)&lt;&gt;5,"n.a.",IF(I1390=0,6,IF('Inputs'!$D$5=1,COUNTIFS($I$1387:$I$1391,"&gt;0",$I$1387:$I$1391,"&lt;"&amp;I1390)+COUNTIFS($I$1387:I1390,I1390),COUNTIFS($I$1387:$I$1391,"&gt;0",$J$1387:$J$1391,"&gt;"&amp;J1390)+COUNTIFS($I$1387:I1390,"&gt;0",$J$1387:J1390,J1390))))</x:f>
        <x:v>6</x:v>
      </x:c>
      <x:c r="P1390" s="22" t="n">
        <x:f>IF(T1390="Ready",MIN(U1390,MAX(0,G1390-SUMIFS($U$1387:$U$1391,$O$1387:$O$1391,"&lt;"&amp;O1390))),"n.a.")</x:f>
        <x:v>0</x:v>
      </x:c>
      <x:c r="Q1390" s="22" t="n">
        <x:f>IF(T1390="Ready",ROUND(N1390+P1390,2),"n.a.")</x:f>
        <x:v>0</x:v>
      </x:c>
      <x:c r="R1390" s="22" t="n">
        <x:f>IF(T1390="Ready",ROUND(Q1390-M1390,2),"n.a.")</x:f>
        <x:v>0</x:v>
      </x:c>
      <x:c r="S1390" s="22" t="n">
        <x:f>IF(T1390="Ready",MAX(0,ROUND(I1390+M1390-Q1390,2)),"n.a.")</x:f>
        <x:v>0</x:v>
      </x:c>
      <x:c r="T1390" s="22" t="str">
        <x:f>IF(AND(COUNT($I$1387:$I$1391)=5,COUNT(E1390:F1390)=2),IF(E1390&gt;=F1390,"Ready","Budget below minima"),"Check inputs")</x:f>
        <x:v>Ready</x:v>
      </x:c>
      <x:c r="U1390" s="22" t="n">
        <x:f>IF(COUNT(I1390,M1390,N1390)=3,MAX(0,ROUND(I1390+M1390-N1390,2)),"n.a.")</x:f>
        <x:v>0</x:v>
      </x:c>
    </x:row>
    <x:row r="1391" ht="22" customHeight="1">
      <x:c r="A1391" s="2"/>
      <x:c r="B1391" s="2"/>
      <x:c r="C1391" s="27" t="n">
        <x:f>277</x:f>
        <x:v>277</x:v>
      </x:c>
      <x:c r="D1391" s="28" t="n">
        <x:f>IF(ISNUMBER('Inputs'!$D$7),EDATE('Inputs'!$D$7,276),"n.a.")</x:f>
        <x:v>54728</x:v>
      </x:c>
      <x:c r="E1391" s="26" t="n">
        <x:f>IF('Inputs'!$D$9&lt;&gt;"Ready","n.a.",IF(ISNUMBER('Inputs'!E295),IF('Inputs'!E295&gt;=0,'Inputs'!E295,"n.a."),IF('Inputs'!E295="",'Inputs'!$D$6,"n.a.")))</x:f>
        <x:v>500</x:v>
      </x:c>
      <x:c r="F1391" s="22" t="n">
        <x:f>IF(COUNT($N$1387:$N$1391)=5,SUM($N$1387:$N$1391),"n.a.")</x:f>
        <x:v>0</x:v>
      </x:c>
      <x:c r="G1391" s="22" t="n">
        <x:f>IF(COUNT(E1391:F1391)=2,MAX(0,E1391-F1391),"n.a.")</x:f>
        <x:v>500</x:v>
      </x:c>
      <x:c r="H1391" s="26" t="str">
        <x:f>'Inputs'!C15</x:f>
        <x:v>Unused 5</x:v>
      </x:c>
      <x:c r="I1391" s="26" t="n">
        <x:f>S1386</x:f>
        <x:v>0</x:v>
      </x:c>
      <x:c r="J1391" s="29" t="n">
        <x:f>IF('Inputs'!$D$9="Ready",'Inputs'!E15,"n.a.")</x:f>
        <x:v>0</x:v>
      </x:c>
      <x:c r="K1391" s="26" t="n">
        <x:f>IF('Inputs'!$D$9="Ready",'Inputs'!F15,"n.a.")</x:f>
        <x:v>0</x:v>
      </x:c>
      <x:c r="L1391" s="29" t="n">
        <x:f>IF('Inputs'!$D$9="Ready",'Inputs'!G15,"n.a.")</x:f>
        <x:v>0</x:v>
      </x:c>
      <x:c r="M1391" s="22" t="n">
        <x:f>IF(COUNT(I1391:L1391)=4,ROUND(I1391*J1391/12,2),"n.a.")</x:f>
        <x:v>0</x:v>
      </x:c>
      <x:c r="N1391" s="22" t="n">
        <x:f>IF(COUNT(I1391:M1391)=5,MIN(I1391+M1391,ROUND(MAX(K1391,I1391*L1391+M1391),2)),"n.a.")</x:f>
        <x:v>0</x:v>
      </x:c>
      <x:c r="O1391" s="30" t="n">
        <x:f>IF(COUNT($I$1387:$I$1391)&lt;&gt;5,"n.a.",IF(I1391=0,6,IF('Inputs'!$D$5=1,COUNTIFS($I$1387:$I$1391,"&gt;0",$I$1387:$I$1391,"&lt;"&amp;I1391)+COUNTIFS($I$1387:I1391,I1391),COUNTIFS($I$1387:$I$1391,"&gt;0",$J$1387:$J$1391,"&gt;"&amp;J1391)+COUNTIFS($I$1387:I1391,"&gt;0",$J$1387:J1391,J1391))))</x:f>
        <x:v>6</x:v>
      </x:c>
      <x:c r="P1391" s="22" t="n">
        <x:f>IF(T1391="Ready",MIN(U1391,MAX(0,G1391-SUMIFS($U$1387:$U$1391,$O$1387:$O$1391,"&lt;"&amp;O1391))),"n.a.")</x:f>
        <x:v>0</x:v>
      </x:c>
      <x:c r="Q1391" s="22" t="n">
        <x:f>IF(T1391="Ready",ROUND(N1391+P1391,2),"n.a.")</x:f>
        <x:v>0</x:v>
      </x:c>
      <x:c r="R1391" s="22" t="n">
        <x:f>IF(T1391="Ready",ROUND(Q1391-M1391,2),"n.a.")</x:f>
        <x:v>0</x:v>
      </x:c>
      <x:c r="S1391" s="22" t="n">
        <x:f>IF(T1391="Ready",MAX(0,ROUND(I1391+M1391-Q1391,2)),"n.a.")</x:f>
        <x:v>0</x:v>
      </x:c>
      <x:c r="T1391" s="22" t="str">
        <x:f>IF(AND(COUNT($I$1387:$I$1391)=5,COUNT(E1391:F1391)=2),IF(E1391&gt;=F1391,"Ready","Budget below minima"),"Check inputs")</x:f>
        <x:v>Ready</x:v>
      </x:c>
      <x:c r="U1391" s="22" t="n">
        <x:f>IF(COUNT(I1391,M1391,N1391)=3,MAX(0,ROUND(I1391+M1391-N1391,2)),"n.a.")</x:f>
        <x:v>0</x:v>
      </x:c>
    </x:row>
    <x:row r="1392" ht="22" customHeight="1">
      <x:c r="A1392" s="2"/>
      <x:c r="B1392" s="2"/>
      <x:c r="C1392" s="27" t="n">
        <x:f>278</x:f>
        <x:v>278</x:v>
      </x:c>
      <x:c r="D1392" s="28" t="n">
        <x:f>IF(ISNUMBER('Inputs'!$D$7),EDATE('Inputs'!$D$7,277),"n.a.")</x:f>
        <x:v>54758</x:v>
      </x:c>
      <x:c r="E1392" s="26" t="n">
        <x:f>IF('Inputs'!$D$9&lt;&gt;"Ready","n.a.",IF(ISNUMBER('Inputs'!E296),IF('Inputs'!E296&gt;=0,'Inputs'!E296,"n.a."),IF('Inputs'!E296="",'Inputs'!$D$6,"n.a.")))</x:f>
        <x:v>500</x:v>
      </x:c>
      <x:c r="F1392" s="22" t="n">
        <x:f>IF(COUNT($N$1392:$N$1396)=5,SUM($N$1392:$N$1396),"n.a.")</x:f>
        <x:v>0</x:v>
      </x:c>
      <x:c r="G1392" s="22" t="n">
        <x:f>IF(COUNT(E1392:F1392)=2,MAX(0,E1392-F1392),"n.a.")</x:f>
        <x:v>500</x:v>
      </x:c>
      <x:c r="H1392" s="26" t="str">
        <x:f>'Inputs'!C11</x:f>
        <x:v>Card A</x:v>
      </x:c>
      <x:c r="I1392" s="26" t="n">
        <x:f>S1387</x:f>
        <x:v>0</x:v>
      </x:c>
      <x:c r="J1392" s="29" t="n">
        <x:f>IF('Inputs'!$D$9="Ready",'Inputs'!E11,"n.a.")</x:f>
        <x:v>0.24</x:v>
      </x:c>
      <x:c r="K1392" s="26" t="n">
        <x:f>IF('Inputs'!$D$9="Ready",'Inputs'!F11,"n.a.")</x:f>
        <x:v>35</x:v>
      </x:c>
      <x:c r="L1392" s="29" t="n">
        <x:f>IF('Inputs'!$D$9="Ready",'Inputs'!G11,"n.a.")</x:f>
        <x:v>0.02</x:v>
      </x:c>
      <x:c r="M1392" s="22" t="n">
        <x:f>IF(COUNT(I1392:L1392)=4,ROUND(I1392*J1392/12,2),"n.a.")</x:f>
        <x:v>0</x:v>
      </x:c>
      <x:c r="N1392" s="22" t="n">
        <x:f>IF(COUNT(I1392:M1392)=5,MIN(I1392+M1392,ROUND(MAX(K1392,I1392*L1392+M1392),2)),"n.a.")</x:f>
        <x:v>0</x:v>
      </x:c>
      <x:c r="O1392" s="30" t="n">
        <x:f>IF(COUNT($I$1392:$I$1396)&lt;&gt;5,"n.a.",IF(I1392=0,6,IF('Inputs'!$D$5=1,COUNTIFS($I$1392:$I$1396,"&gt;0",$I$1392:$I$1396,"&lt;"&amp;I1392)+COUNTIFS($I$1392:I1392,I1392),COUNTIFS($I$1392:$I$1396,"&gt;0",$J$1392:$J$1396,"&gt;"&amp;J1392)+COUNTIFS($I$1392:I1392,"&gt;0",$J$1392:J1392,J1392))))</x:f>
        <x:v>6</x:v>
      </x:c>
      <x:c r="P1392" s="22" t="n">
        <x:f>IF(T1392="Ready",MIN(U1392,MAX(0,G1392-SUMIFS($U$1392:$U$1396,$O$1392:$O$1396,"&lt;"&amp;O1392))),"n.a.")</x:f>
        <x:v>0</x:v>
      </x:c>
      <x:c r="Q1392" s="22" t="n">
        <x:f>IF(T1392="Ready",ROUND(N1392+P1392,2),"n.a.")</x:f>
        <x:v>0</x:v>
      </x:c>
      <x:c r="R1392" s="22" t="n">
        <x:f>IF(T1392="Ready",ROUND(Q1392-M1392,2),"n.a.")</x:f>
        <x:v>0</x:v>
      </x:c>
      <x:c r="S1392" s="22" t="n">
        <x:f>IF(T1392="Ready",MAX(0,ROUND(I1392+M1392-Q1392,2)),"n.a.")</x:f>
        <x:v>0</x:v>
      </x:c>
      <x:c r="T1392" s="22" t="str">
        <x:f>IF(AND(COUNT($I$1392:$I$1396)=5,COUNT(E1392:F1392)=2),IF(E1392&gt;=F1392,"Ready","Budget below minima"),"Check inputs")</x:f>
        <x:v>Ready</x:v>
      </x:c>
      <x:c r="U1392" s="22" t="n">
        <x:f>IF(COUNT(I1392,M1392,N1392)=3,MAX(0,ROUND(I1392+M1392-N1392,2)),"n.a.")</x:f>
        <x:v>0</x:v>
      </x:c>
    </x:row>
    <x:row r="1393" ht="22" customHeight="1">
      <x:c r="A1393" s="2"/>
      <x:c r="B1393" s="2"/>
      <x:c r="C1393" s="27" t="n">
        <x:f>278</x:f>
        <x:v>278</x:v>
      </x:c>
      <x:c r="D1393" s="28" t="n">
        <x:f>IF(ISNUMBER('Inputs'!$D$7),EDATE('Inputs'!$D$7,277),"n.a.")</x:f>
        <x:v>54758</x:v>
      </x:c>
      <x:c r="E1393" s="26" t="n">
        <x:f>IF('Inputs'!$D$9&lt;&gt;"Ready","n.a.",IF(ISNUMBER('Inputs'!E296),IF('Inputs'!E296&gt;=0,'Inputs'!E296,"n.a."),IF('Inputs'!E296="",'Inputs'!$D$6,"n.a.")))</x:f>
        <x:v>500</x:v>
      </x:c>
      <x:c r="F1393" s="22" t="n">
        <x:f>IF(COUNT($N$1392:$N$1396)=5,SUM($N$1392:$N$1396),"n.a.")</x:f>
        <x:v>0</x:v>
      </x:c>
      <x:c r="G1393" s="22" t="n">
        <x:f>IF(COUNT(E1393:F1393)=2,MAX(0,E1393-F1393),"n.a.")</x:f>
        <x:v>500</x:v>
      </x:c>
      <x:c r="H1393" s="26" t="str">
        <x:f>'Inputs'!C12</x:f>
        <x:v>Card B</x:v>
      </x:c>
      <x:c r="I1393" s="26" t="n">
        <x:f>S1388</x:f>
        <x:v>0</x:v>
      </x:c>
      <x:c r="J1393" s="29" t="n">
        <x:f>IF('Inputs'!$D$9="Ready",'Inputs'!E12,"n.a.")</x:f>
        <x:v>0.18</x:v>
      </x:c>
      <x:c r="K1393" s="26" t="n">
        <x:f>IF('Inputs'!$D$9="Ready",'Inputs'!F12,"n.a.")</x:f>
        <x:v>60</x:v>
      </x:c>
      <x:c r="L1393" s="29" t="n">
        <x:f>IF('Inputs'!$D$9="Ready",'Inputs'!G12,"n.a.")</x:f>
        <x:v>0.02</x:v>
      </x:c>
      <x:c r="M1393" s="22" t="n">
        <x:f>IF(COUNT(I1393:L1393)=4,ROUND(I1393*J1393/12,2),"n.a.")</x:f>
        <x:v>0</x:v>
      </x:c>
      <x:c r="N1393" s="22" t="n">
        <x:f>IF(COUNT(I1393:M1393)=5,MIN(I1393+M1393,ROUND(MAX(K1393,I1393*L1393+M1393),2)),"n.a.")</x:f>
        <x:v>0</x:v>
      </x:c>
      <x:c r="O1393" s="30" t="n">
        <x:f>IF(COUNT($I$1392:$I$1396)&lt;&gt;5,"n.a.",IF(I1393=0,6,IF('Inputs'!$D$5=1,COUNTIFS($I$1392:$I$1396,"&gt;0",$I$1392:$I$1396,"&lt;"&amp;I1393)+COUNTIFS($I$1392:I1393,I1393),COUNTIFS($I$1392:$I$1396,"&gt;0",$J$1392:$J$1396,"&gt;"&amp;J1393)+COUNTIFS($I$1392:I1393,"&gt;0",$J$1392:J1393,J1393))))</x:f>
        <x:v>6</x:v>
      </x:c>
      <x:c r="P1393" s="22" t="n">
        <x:f>IF(T1393="Ready",MIN(U1393,MAX(0,G1393-SUMIFS($U$1392:$U$1396,$O$1392:$O$1396,"&lt;"&amp;O1393))),"n.a.")</x:f>
        <x:v>0</x:v>
      </x:c>
      <x:c r="Q1393" s="22" t="n">
        <x:f>IF(T1393="Ready",ROUND(N1393+P1393,2),"n.a.")</x:f>
        <x:v>0</x:v>
      </x:c>
      <x:c r="R1393" s="22" t="n">
        <x:f>IF(T1393="Ready",ROUND(Q1393-M1393,2),"n.a.")</x:f>
        <x:v>0</x:v>
      </x:c>
      <x:c r="S1393" s="22" t="n">
        <x:f>IF(T1393="Ready",MAX(0,ROUND(I1393+M1393-Q1393,2)),"n.a.")</x:f>
        <x:v>0</x:v>
      </x:c>
      <x:c r="T1393" s="22" t="str">
        <x:f>IF(AND(COUNT($I$1392:$I$1396)=5,COUNT(E1393:F1393)=2),IF(E1393&gt;=F1393,"Ready","Budget below minima"),"Check inputs")</x:f>
        <x:v>Ready</x:v>
      </x:c>
      <x:c r="U1393" s="22" t="n">
        <x:f>IF(COUNT(I1393,M1393,N1393)=3,MAX(0,ROUND(I1393+M1393-N1393,2)),"n.a.")</x:f>
        <x:v>0</x:v>
      </x:c>
    </x:row>
    <x:row r="1394" ht="22" customHeight="1">
      <x:c r="A1394" s="2"/>
      <x:c r="B1394" s="2"/>
      <x:c r="C1394" s="27" t="n">
        <x:f>278</x:f>
        <x:v>278</x:v>
      </x:c>
      <x:c r="D1394" s="28" t="n">
        <x:f>IF(ISNUMBER('Inputs'!$D$7),EDATE('Inputs'!$D$7,277),"n.a.")</x:f>
        <x:v>54758</x:v>
      </x:c>
      <x:c r="E1394" s="26" t="n">
        <x:f>IF('Inputs'!$D$9&lt;&gt;"Ready","n.a.",IF(ISNUMBER('Inputs'!E296),IF('Inputs'!E296&gt;=0,'Inputs'!E296,"n.a."),IF('Inputs'!E296="",'Inputs'!$D$6,"n.a.")))</x:f>
        <x:v>500</x:v>
      </x:c>
      <x:c r="F1394" s="22" t="n">
        <x:f>IF(COUNT($N$1392:$N$1396)=5,SUM($N$1392:$N$1396),"n.a.")</x:f>
        <x:v>0</x:v>
      </x:c>
      <x:c r="G1394" s="22" t="n">
        <x:f>IF(COUNT(E1394:F1394)=2,MAX(0,E1394-F1394),"n.a.")</x:f>
        <x:v>500</x:v>
      </x:c>
      <x:c r="H1394" s="26" t="str">
        <x:f>'Inputs'!C13</x:f>
        <x:v>Loan C</x:v>
      </x:c>
      <x:c r="I1394" s="26" t="n">
        <x:f>S1389</x:f>
        <x:v>0</x:v>
      </x:c>
      <x:c r="J1394" s="29" t="n">
        <x:f>IF('Inputs'!$D$9="Ready",'Inputs'!E13,"n.a.")</x:f>
        <x:v>0.08</x:v>
      </x:c>
      <x:c r="K1394" s="26" t="n">
        <x:f>IF('Inputs'!$D$9="Ready",'Inputs'!F13,"n.a.")</x:f>
        <x:v>150</x:v>
      </x:c>
      <x:c r="L1394" s="29" t="n">
        <x:f>IF('Inputs'!$D$9="Ready",'Inputs'!G13,"n.a.")</x:f>
        <x:v>0</x:v>
      </x:c>
      <x:c r="M1394" s="22" t="n">
        <x:f>IF(COUNT(I1394:L1394)=4,ROUND(I1394*J1394/12,2),"n.a.")</x:f>
        <x:v>0</x:v>
      </x:c>
      <x:c r="N1394" s="22" t="n">
        <x:f>IF(COUNT(I1394:M1394)=5,MIN(I1394+M1394,ROUND(MAX(K1394,I1394*L1394+M1394),2)),"n.a.")</x:f>
        <x:v>0</x:v>
      </x:c>
      <x:c r="O1394" s="30" t="n">
        <x:f>IF(COUNT($I$1392:$I$1396)&lt;&gt;5,"n.a.",IF(I1394=0,6,IF('Inputs'!$D$5=1,COUNTIFS($I$1392:$I$1396,"&gt;0",$I$1392:$I$1396,"&lt;"&amp;I1394)+COUNTIFS($I$1392:I1394,I1394),COUNTIFS($I$1392:$I$1396,"&gt;0",$J$1392:$J$1396,"&gt;"&amp;J1394)+COUNTIFS($I$1392:I1394,"&gt;0",$J$1392:J1394,J1394))))</x:f>
        <x:v>6</x:v>
      </x:c>
      <x:c r="P1394" s="22" t="n">
        <x:f>IF(T1394="Ready",MIN(U1394,MAX(0,G1394-SUMIFS($U$1392:$U$1396,$O$1392:$O$1396,"&lt;"&amp;O1394))),"n.a.")</x:f>
        <x:v>0</x:v>
      </x:c>
      <x:c r="Q1394" s="22" t="n">
        <x:f>IF(T1394="Ready",ROUND(N1394+P1394,2),"n.a.")</x:f>
        <x:v>0</x:v>
      </x:c>
      <x:c r="R1394" s="22" t="n">
        <x:f>IF(T1394="Ready",ROUND(Q1394-M1394,2),"n.a.")</x:f>
        <x:v>0</x:v>
      </x:c>
      <x:c r="S1394" s="22" t="n">
        <x:f>IF(T1394="Ready",MAX(0,ROUND(I1394+M1394-Q1394,2)),"n.a.")</x:f>
        <x:v>0</x:v>
      </x:c>
      <x:c r="T1394" s="22" t="str">
        <x:f>IF(AND(COUNT($I$1392:$I$1396)=5,COUNT(E1394:F1394)=2),IF(E1394&gt;=F1394,"Ready","Budget below minima"),"Check inputs")</x:f>
        <x:v>Ready</x:v>
      </x:c>
      <x:c r="U1394" s="22" t="n">
        <x:f>IF(COUNT(I1394,M1394,N1394)=3,MAX(0,ROUND(I1394+M1394-N1394,2)),"n.a.")</x:f>
        <x:v>0</x:v>
      </x:c>
    </x:row>
    <x:row r="1395" ht="22" customHeight="1">
      <x:c r="A1395" s="2"/>
      <x:c r="B1395" s="2"/>
      <x:c r="C1395" s="27" t="n">
        <x:f>278</x:f>
        <x:v>278</x:v>
      </x:c>
      <x:c r="D1395" s="28" t="n">
        <x:f>IF(ISNUMBER('Inputs'!$D$7),EDATE('Inputs'!$D$7,277),"n.a.")</x:f>
        <x:v>54758</x:v>
      </x:c>
      <x:c r="E1395" s="26" t="n">
        <x:f>IF('Inputs'!$D$9&lt;&gt;"Ready","n.a.",IF(ISNUMBER('Inputs'!E296),IF('Inputs'!E296&gt;=0,'Inputs'!E296,"n.a."),IF('Inputs'!E296="",'Inputs'!$D$6,"n.a.")))</x:f>
        <x:v>500</x:v>
      </x:c>
      <x:c r="F1395" s="22" t="n">
        <x:f>IF(COUNT($N$1392:$N$1396)=5,SUM($N$1392:$N$1396),"n.a.")</x:f>
        <x:v>0</x:v>
      </x:c>
      <x:c r="G1395" s="22" t="n">
        <x:f>IF(COUNT(E1395:F1395)=2,MAX(0,E1395-F1395),"n.a.")</x:f>
        <x:v>500</x:v>
      </x:c>
      <x:c r="H1395" s="26" t="str">
        <x:f>'Inputs'!C14</x:f>
        <x:v>Unused 4</x:v>
      </x:c>
      <x:c r="I1395" s="26" t="n">
        <x:f>S1390</x:f>
        <x:v>0</x:v>
      </x:c>
      <x:c r="J1395" s="29" t="n">
        <x:f>IF('Inputs'!$D$9="Ready",'Inputs'!E14,"n.a.")</x:f>
        <x:v>0</x:v>
      </x:c>
      <x:c r="K1395" s="26" t="n">
        <x:f>IF('Inputs'!$D$9="Ready",'Inputs'!F14,"n.a.")</x:f>
        <x:v>0</x:v>
      </x:c>
      <x:c r="L1395" s="29" t="n">
        <x:f>IF('Inputs'!$D$9="Ready",'Inputs'!G14,"n.a.")</x:f>
        <x:v>0</x:v>
      </x:c>
      <x:c r="M1395" s="22" t="n">
        <x:f>IF(COUNT(I1395:L1395)=4,ROUND(I1395*J1395/12,2),"n.a.")</x:f>
        <x:v>0</x:v>
      </x:c>
      <x:c r="N1395" s="22" t="n">
        <x:f>IF(COUNT(I1395:M1395)=5,MIN(I1395+M1395,ROUND(MAX(K1395,I1395*L1395+M1395),2)),"n.a.")</x:f>
        <x:v>0</x:v>
      </x:c>
      <x:c r="O1395" s="30" t="n">
        <x:f>IF(COUNT($I$1392:$I$1396)&lt;&gt;5,"n.a.",IF(I1395=0,6,IF('Inputs'!$D$5=1,COUNTIFS($I$1392:$I$1396,"&gt;0",$I$1392:$I$1396,"&lt;"&amp;I1395)+COUNTIFS($I$1392:I1395,I1395),COUNTIFS($I$1392:$I$1396,"&gt;0",$J$1392:$J$1396,"&gt;"&amp;J1395)+COUNTIFS($I$1392:I1395,"&gt;0",$J$1392:J1395,J1395))))</x:f>
        <x:v>6</x:v>
      </x:c>
      <x:c r="P1395" s="22" t="n">
        <x:f>IF(T1395="Ready",MIN(U1395,MAX(0,G1395-SUMIFS($U$1392:$U$1396,$O$1392:$O$1396,"&lt;"&amp;O1395))),"n.a.")</x:f>
        <x:v>0</x:v>
      </x:c>
      <x:c r="Q1395" s="22" t="n">
        <x:f>IF(T1395="Ready",ROUND(N1395+P1395,2),"n.a.")</x:f>
        <x:v>0</x:v>
      </x:c>
      <x:c r="R1395" s="22" t="n">
        <x:f>IF(T1395="Ready",ROUND(Q1395-M1395,2),"n.a.")</x:f>
        <x:v>0</x:v>
      </x:c>
      <x:c r="S1395" s="22" t="n">
        <x:f>IF(T1395="Ready",MAX(0,ROUND(I1395+M1395-Q1395,2)),"n.a.")</x:f>
        <x:v>0</x:v>
      </x:c>
      <x:c r="T1395" s="22" t="str">
        <x:f>IF(AND(COUNT($I$1392:$I$1396)=5,COUNT(E1395:F1395)=2),IF(E1395&gt;=F1395,"Ready","Budget below minima"),"Check inputs")</x:f>
        <x:v>Ready</x:v>
      </x:c>
      <x:c r="U1395" s="22" t="n">
        <x:f>IF(COUNT(I1395,M1395,N1395)=3,MAX(0,ROUND(I1395+M1395-N1395,2)),"n.a.")</x:f>
        <x:v>0</x:v>
      </x:c>
    </x:row>
    <x:row r="1396" ht="22" customHeight="1">
      <x:c r="A1396" s="2"/>
      <x:c r="B1396" s="2"/>
      <x:c r="C1396" s="27" t="n">
        <x:f>278</x:f>
        <x:v>278</x:v>
      </x:c>
      <x:c r="D1396" s="28" t="n">
        <x:f>IF(ISNUMBER('Inputs'!$D$7),EDATE('Inputs'!$D$7,277),"n.a.")</x:f>
        <x:v>54758</x:v>
      </x:c>
      <x:c r="E1396" s="26" t="n">
        <x:f>IF('Inputs'!$D$9&lt;&gt;"Ready","n.a.",IF(ISNUMBER('Inputs'!E296),IF('Inputs'!E296&gt;=0,'Inputs'!E296,"n.a."),IF('Inputs'!E296="",'Inputs'!$D$6,"n.a.")))</x:f>
        <x:v>500</x:v>
      </x:c>
      <x:c r="F1396" s="22" t="n">
        <x:f>IF(COUNT($N$1392:$N$1396)=5,SUM($N$1392:$N$1396),"n.a.")</x:f>
        <x:v>0</x:v>
      </x:c>
      <x:c r="G1396" s="22" t="n">
        <x:f>IF(COUNT(E1396:F1396)=2,MAX(0,E1396-F1396),"n.a.")</x:f>
        <x:v>500</x:v>
      </x:c>
      <x:c r="H1396" s="26" t="str">
        <x:f>'Inputs'!C15</x:f>
        <x:v>Unused 5</x:v>
      </x:c>
      <x:c r="I1396" s="26" t="n">
        <x:f>S1391</x:f>
        <x:v>0</x:v>
      </x:c>
      <x:c r="J1396" s="29" t="n">
        <x:f>IF('Inputs'!$D$9="Ready",'Inputs'!E15,"n.a.")</x:f>
        <x:v>0</x:v>
      </x:c>
      <x:c r="K1396" s="26" t="n">
        <x:f>IF('Inputs'!$D$9="Ready",'Inputs'!F15,"n.a.")</x:f>
        <x:v>0</x:v>
      </x:c>
      <x:c r="L1396" s="29" t="n">
        <x:f>IF('Inputs'!$D$9="Ready",'Inputs'!G15,"n.a.")</x:f>
        <x:v>0</x:v>
      </x:c>
      <x:c r="M1396" s="22" t="n">
        <x:f>IF(COUNT(I1396:L1396)=4,ROUND(I1396*J1396/12,2),"n.a.")</x:f>
        <x:v>0</x:v>
      </x:c>
      <x:c r="N1396" s="22" t="n">
        <x:f>IF(COUNT(I1396:M1396)=5,MIN(I1396+M1396,ROUND(MAX(K1396,I1396*L1396+M1396),2)),"n.a.")</x:f>
        <x:v>0</x:v>
      </x:c>
      <x:c r="O1396" s="30" t="n">
        <x:f>IF(COUNT($I$1392:$I$1396)&lt;&gt;5,"n.a.",IF(I1396=0,6,IF('Inputs'!$D$5=1,COUNTIFS($I$1392:$I$1396,"&gt;0",$I$1392:$I$1396,"&lt;"&amp;I1396)+COUNTIFS($I$1392:I1396,I1396),COUNTIFS($I$1392:$I$1396,"&gt;0",$J$1392:$J$1396,"&gt;"&amp;J1396)+COUNTIFS($I$1392:I1396,"&gt;0",$J$1392:J1396,J1396))))</x:f>
        <x:v>6</x:v>
      </x:c>
      <x:c r="P1396" s="22" t="n">
        <x:f>IF(T1396="Ready",MIN(U1396,MAX(0,G1396-SUMIFS($U$1392:$U$1396,$O$1392:$O$1396,"&lt;"&amp;O1396))),"n.a.")</x:f>
        <x:v>0</x:v>
      </x:c>
      <x:c r="Q1396" s="22" t="n">
        <x:f>IF(T1396="Ready",ROUND(N1396+P1396,2),"n.a.")</x:f>
        <x:v>0</x:v>
      </x:c>
      <x:c r="R1396" s="22" t="n">
        <x:f>IF(T1396="Ready",ROUND(Q1396-M1396,2),"n.a.")</x:f>
        <x:v>0</x:v>
      </x:c>
      <x:c r="S1396" s="22" t="n">
        <x:f>IF(T1396="Ready",MAX(0,ROUND(I1396+M1396-Q1396,2)),"n.a.")</x:f>
        <x:v>0</x:v>
      </x:c>
      <x:c r="T1396" s="22" t="str">
        <x:f>IF(AND(COUNT($I$1392:$I$1396)=5,COUNT(E1396:F1396)=2),IF(E1396&gt;=F1396,"Ready","Budget below minima"),"Check inputs")</x:f>
        <x:v>Ready</x:v>
      </x:c>
      <x:c r="U1396" s="22" t="n">
        <x:f>IF(COUNT(I1396,M1396,N1396)=3,MAX(0,ROUND(I1396+M1396-N1396,2)),"n.a.")</x:f>
        <x:v>0</x:v>
      </x:c>
    </x:row>
    <x:row r="1397" ht="22" customHeight="1">
      <x:c r="A1397" s="2"/>
      <x:c r="B1397" s="2"/>
      <x:c r="C1397" s="27" t="n">
        <x:f>279</x:f>
        <x:v>279</x:v>
      </x:c>
      <x:c r="D1397" s="28" t="n">
        <x:f>IF(ISNUMBER('Inputs'!$D$7),EDATE('Inputs'!$D$7,278),"n.a.")</x:f>
        <x:v>54789</x:v>
      </x:c>
      <x:c r="E1397" s="26" t="n">
        <x:f>IF('Inputs'!$D$9&lt;&gt;"Ready","n.a.",IF(ISNUMBER('Inputs'!E297),IF('Inputs'!E297&gt;=0,'Inputs'!E297,"n.a."),IF('Inputs'!E297="",'Inputs'!$D$6,"n.a.")))</x:f>
        <x:v>500</x:v>
      </x:c>
      <x:c r="F1397" s="22" t="n">
        <x:f>IF(COUNT($N$1397:$N$1401)=5,SUM($N$1397:$N$1401),"n.a.")</x:f>
        <x:v>0</x:v>
      </x:c>
      <x:c r="G1397" s="22" t="n">
        <x:f>IF(COUNT(E1397:F1397)=2,MAX(0,E1397-F1397),"n.a.")</x:f>
        <x:v>500</x:v>
      </x:c>
      <x:c r="H1397" s="26" t="str">
        <x:f>'Inputs'!C11</x:f>
        <x:v>Card A</x:v>
      </x:c>
      <x:c r="I1397" s="26" t="n">
        <x:f>S1392</x:f>
        <x:v>0</x:v>
      </x:c>
      <x:c r="J1397" s="29" t="n">
        <x:f>IF('Inputs'!$D$9="Ready",'Inputs'!E11,"n.a.")</x:f>
        <x:v>0.24</x:v>
      </x:c>
      <x:c r="K1397" s="26" t="n">
        <x:f>IF('Inputs'!$D$9="Ready",'Inputs'!F11,"n.a.")</x:f>
        <x:v>35</x:v>
      </x:c>
      <x:c r="L1397" s="29" t="n">
        <x:f>IF('Inputs'!$D$9="Ready",'Inputs'!G11,"n.a.")</x:f>
        <x:v>0.02</x:v>
      </x:c>
      <x:c r="M1397" s="22" t="n">
        <x:f>IF(COUNT(I1397:L1397)=4,ROUND(I1397*J1397/12,2),"n.a.")</x:f>
        <x:v>0</x:v>
      </x:c>
      <x:c r="N1397" s="22" t="n">
        <x:f>IF(COUNT(I1397:M1397)=5,MIN(I1397+M1397,ROUND(MAX(K1397,I1397*L1397+M1397),2)),"n.a.")</x:f>
        <x:v>0</x:v>
      </x:c>
      <x:c r="O1397" s="30" t="n">
        <x:f>IF(COUNT($I$1397:$I$1401)&lt;&gt;5,"n.a.",IF(I1397=0,6,IF('Inputs'!$D$5=1,COUNTIFS($I$1397:$I$1401,"&gt;0",$I$1397:$I$1401,"&lt;"&amp;I1397)+COUNTIFS($I$1397:I1397,I1397),COUNTIFS($I$1397:$I$1401,"&gt;0",$J$1397:$J$1401,"&gt;"&amp;J1397)+COUNTIFS($I$1397:I1397,"&gt;0",$J$1397:J1397,J1397))))</x:f>
        <x:v>6</x:v>
      </x:c>
      <x:c r="P1397" s="22" t="n">
        <x:f>IF(T1397="Ready",MIN(U1397,MAX(0,G1397-SUMIFS($U$1397:$U$1401,$O$1397:$O$1401,"&lt;"&amp;O1397))),"n.a.")</x:f>
        <x:v>0</x:v>
      </x:c>
      <x:c r="Q1397" s="22" t="n">
        <x:f>IF(T1397="Ready",ROUND(N1397+P1397,2),"n.a.")</x:f>
        <x:v>0</x:v>
      </x:c>
      <x:c r="R1397" s="22" t="n">
        <x:f>IF(T1397="Ready",ROUND(Q1397-M1397,2),"n.a.")</x:f>
        <x:v>0</x:v>
      </x:c>
      <x:c r="S1397" s="22" t="n">
        <x:f>IF(T1397="Ready",MAX(0,ROUND(I1397+M1397-Q1397,2)),"n.a.")</x:f>
        <x:v>0</x:v>
      </x:c>
      <x:c r="T1397" s="22" t="str">
        <x:f>IF(AND(COUNT($I$1397:$I$1401)=5,COUNT(E1397:F1397)=2),IF(E1397&gt;=F1397,"Ready","Budget below minima"),"Check inputs")</x:f>
        <x:v>Ready</x:v>
      </x:c>
      <x:c r="U1397" s="22" t="n">
        <x:f>IF(COUNT(I1397,M1397,N1397)=3,MAX(0,ROUND(I1397+M1397-N1397,2)),"n.a.")</x:f>
        <x:v>0</x:v>
      </x:c>
    </x:row>
    <x:row r="1398" ht="22" customHeight="1">
      <x:c r="A1398" s="2"/>
      <x:c r="B1398" s="2"/>
      <x:c r="C1398" s="27" t="n">
        <x:f>279</x:f>
        <x:v>279</x:v>
      </x:c>
      <x:c r="D1398" s="28" t="n">
        <x:f>IF(ISNUMBER('Inputs'!$D$7),EDATE('Inputs'!$D$7,278),"n.a.")</x:f>
        <x:v>54789</x:v>
      </x:c>
      <x:c r="E1398" s="26" t="n">
        <x:f>IF('Inputs'!$D$9&lt;&gt;"Ready","n.a.",IF(ISNUMBER('Inputs'!E297),IF('Inputs'!E297&gt;=0,'Inputs'!E297,"n.a."),IF('Inputs'!E297="",'Inputs'!$D$6,"n.a.")))</x:f>
        <x:v>500</x:v>
      </x:c>
      <x:c r="F1398" s="22" t="n">
        <x:f>IF(COUNT($N$1397:$N$1401)=5,SUM($N$1397:$N$1401),"n.a.")</x:f>
        <x:v>0</x:v>
      </x:c>
      <x:c r="G1398" s="22" t="n">
        <x:f>IF(COUNT(E1398:F1398)=2,MAX(0,E1398-F1398),"n.a.")</x:f>
        <x:v>500</x:v>
      </x:c>
      <x:c r="H1398" s="26" t="str">
        <x:f>'Inputs'!C12</x:f>
        <x:v>Card B</x:v>
      </x:c>
      <x:c r="I1398" s="26" t="n">
        <x:f>S1393</x:f>
        <x:v>0</x:v>
      </x:c>
      <x:c r="J1398" s="29" t="n">
        <x:f>IF('Inputs'!$D$9="Ready",'Inputs'!E12,"n.a.")</x:f>
        <x:v>0.18</x:v>
      </x:c>
      <x:c r="K1398" s="26" t="n">
        <x:f>IF('Inputs'!$D$9="Ready",'Inputs'!F12,"n.a.")</x:f>
        <x:v>60</x:v>
      </x:c>
      <x:c r="L1398" s="29" t="n">
        <x:f>IF('Inputs'!$D$9="Ready",'Inputs'!G12,"n.a.")</x:f>
        <x:v>0.02</x:v>
      </x:c>
      <x:c r="M1398" s="22" t="n">
        <x:f>IF(COUNT(I1398:L1398)=4,ROUND(I1398*J1398/12,2),"n.a.")</x:f>
        <x:v>0</x:v>
      </x:c>
      <x:c r="N1398" s="22" t="n">
        <x:f>IF(COUNT(I1398:M1398)=5,MIN(I1398+M1398,ROUND(MAX(K1398,I1398*L1398+M1398),2)),"n.a.")</x:f>
        <x:v>0</x:v>
      </x:c>
      <x:c r="O1398" s="30" t="n">
        <x:f>IF(COUNT($I$1397:$I$1401)&lt;&gt;5,"n.a.",IF(I1398=0,6,IF('Inputs'!$D$5=1,COUNTIFS($I$1397:$I$1401,"&gt;0",$I$1397:$I$1401,"&lt;"&amp;I1398)+COUNTIFS($I$1397:I1398,I1398),COUNTIFS($I$1397:$I$1401,"&gt;0",$J$1397:$J$1401,"&gt;"&amp;J1398)+COUNTIFS($I$1397:I1398,"&gt;0",$J$1397:J1398,J1398))))</x:f>
        <x:v>6</x:v>
      </x:c>
      <x:c r="P1398" s="22" t="n">
        <x:f>IF(T1398="Ready",MIN(U1398,MAX(0,G1398-SUMIFS($U$1397:$U$1401,$O$1397:$O$1401,"&lt;"&amp;O1398))),"n.a.")</x:f>
        <x:v>0</x:v>
      </x:c>
      <x:c r="Q1398" s="22" t="n">
        <x:f>IF(T1398="Ready",ROUND(N1398+P1398,2),"n.a.")</x:f>
        <x:v>0</x:v>
      </x:c>
      <x:c r="R1398" s="22" t="n">
        <x:f>IF(T1398="Ready",ROUND(Q1398-M1398,2),"n.a.")</x:f>
        <x:v>0</x:v>
      </x:c>
      <x:c r="S1398" s="22" t="n">
        <x:f>IF(T1398="Ready",MAX(0,ROUND(I1398+M1398-Q1398,2)),"n.a.")</x:f>
        <x:v>0</x:v>
      </x:c>
      <x:c r="T1398" s="22" t="str">
        <x:f>IF(AND(COUNT($I$1397:$I$1401)=5,COUNT(E1398:F1398)=2),IF(E1398&gt;=F1398,"Ready","Budget below minima"),"Check inputs")</x:f>
        <x:v>Ready</x:v>
      </x:c>
      <x:c r="U1398" s="22" t="n">
        <x:f>IF(COUNT(I1398,M1398,N1398)=3,MAX(0,ROUND(I1398+M1398-N1398,2)),"n.a.")</x:f>
        <x:v>0</x:v>
      </x:c>
    </x:row>
    <x:row r="1399" ht="22" customHeight="1">
      <x:c r="A1399" s="2"/>
      <x:c r="B1399" s="2"/>
      <x:c r="C1399" s="27" t="n">
        <x:f>279</x:f>
        <x:v>279</x:v>
      </x:c>
      <x:c r="D1399" s="28" t="n">
        <x:f>IF(ISNUMBER('Inputs'!$D$7),EDATE('Inputs'!$D$7,278),"n.a.")</x:f>
        <x:v>54789</x:v>
      </x:c>
      <x:c r="E1399" s="26" t="n">
        <x:f>IF('Inputs'!$D$9&lt;&gt;"Ready","n.a.",IF(ISNUMBER('Inputs'!E297),IF('Inputs'!E297&gt;=0,'Inputs'!E297,"n.a."),IF('Inputs'!E297="",'Inputs'!$D$6,"n.a.")))</x:f>
        <x:v>500</x:v>
      </x:c>
      <x:c r="F1399" s="22" t="n">
        <x:f>IF(COUNT($N$1397:$N$1401)=5,SUM($N$1397:$N$1401),"n.a.")</x:f>
        <x:v>0</x:v>
      </x:c>
      <x:c r="G1399" s="22" t="n">
        <x:f>IF(COUNT(E1399:F1399)=2,MAX(0,E1399-F1399),"n.a.")</x:f>
        <x:v>500</x:v>
      </x:c>
      <x:c r="H1399" s="26" t="str">
        <x:f>'Inputs'!C13</x:f>
        <x:v>Loan C</x:v>
      </x:c>
      <x:c r="I1399" s="26" t="n">
        <x:f>S1394</x:f>
        <x:v>0</x:v>
      </x:c>
      <x:c r="J1399" s="29" t="n">
        <x:f>IF('Inputs'!$D$9="Ready",'Inputs'!E13,"n.a.")</x:f>
        <x:v>0.08</x:v>
      </x:c>
      <x:c r="K1399" s="26" t="n">
        <x:f>IF('Inputs'!$D$9="Ready",'Inputs'!F13,"n.a.")</x:f>
        <x:v>150</x:v>
      </x:c>
      <x:c r="L1399" s="29" t="n">
        <x:f>IF('Inputs'!$D$9="Ready",'Inputs'!G13,"n.a.")</x:f>
        <x:v>0</x:v>
      </x:c>
      <x:c r="M1399" s="22" t="n">
        <x:f>IF(COUNT(I1399:L1399)=4,ROUND(I1399*J1399/12,2),"n.a.")</x:f>
        <x:v>0</x:v>
      </x:c>
      <x:c r="N1399" s="22" t="n">
        <x:f>IF(COUNT(I1399:M1399)=5,MIN(I1399+M1399,ROUND(MAX(K1399,I1399*L1399+M1399),2)),"n.a.")</x:f>
        <x:v>0</x:v>
      </x:c>
      <x:c r="O1399" s="30" t="n">
        <x:f>IF(COUNT($I$1397:$I$1401)&lt;&gt;5,"n.a.",IF(I1399=0,6,IF('Inputs'!$D$5=1,COUNTIFS($I$1397:$I$1401,"&gt;0",$I$1397:$I$1401,"&lt;"&amp;I1399)+COUNTIFS($I$1397:I1399,I1399),COUNTIFS($I$1397:$I$1401,"&gt;0",$J$1397:$J$1401,"&gt;"&amp;J1399)+COUNTIFS($I$1397:I1399,"&gt;0",$J$1397:J1399,J1399))))</x:f>
        <x:v>6</x:v>
      </x:c>
      <x:c r="P1399" s="22" t="n">
        <x:f>IF(T1399="Ready",MIN(U1399,MAX(0,G1399-SUMIFS($U$1397:$U$1401,$O$1397:$O$1401,"&lt;"&amp;O1399))),"n.a.")</x:f>
        <x:v>0</x:v>
      </x:c>
      <x:c r="Q1399" s="22" t="n">
        <x:f>IF(T1399="Ready",ROUND(N1399+P1399,2),"n.a.")</x:f>
        <x:v>0</x:v>
      </x:c>
      <x:c r="R1399" s="22" t="n">
        <x:f>IF(T1399="Ready",ROUND(Q1399-M1399,2),"n.a.")</x:f>
        <x:v>0</x:v>
      </x:c>
      <x:c r="S1399" s="22" t="n">
        <x:f>IF(T1399="Ready",MAX(0,ROUND(I1399+M1399-Q1399,2)),"n.a.")</x:f>
        <x:v>0</x:v>
      </x:c>
      <x:c r="T1399" s="22" t="str">
        <x:f>IF(AND(COUNT($I$1397:$I$1401)=5,COUNT(E1399:F1399)=2),IF(E1399&gt;=F1399,"Ready","Budget below minima"),"Check inputs")</x:f>
        <x:v>Ready</x:v>
      </x:c>
      <x:c r="U1399" s="22" t="n">
        <x:f>IF(COUNT(I1399,M1399,N1399)=3,MAX(0,ROUND(I1399+M1399-N1399,2)),"n.a.")</x:f>
        <x:v>0</x:v>
      </x:c>
    </x:row>
    <x:row r="1400" ht="22" customHeight="1">
      <x:c r="A1400" s="2"/>
      <x:c r="B1400" s="2"/>
      <x:c r="C1400" s="27" t="n">
        <x:f>279</x:f>
        <x:v>279</x:v>
      </x:c>
      <x:c r="D1400" s="28" t="n">
        <x:f>IF(ISNUMBER('Inputs'!$D$7),EDATE('Inputs'!$D$7,278),"n.a.")</x:f>
        <x:v>54789</x:v>
      </x:c>
      <x:c r="E1400" s="26" t="n">
        <x:f>IF('Inputs'!$D$9&lt;&gt;"Ready","n.a.",IF(ISNUMBER('Inputs'!E297),IF('Inputs'!E297&gt;=0,'Inputs'!E297,"n.a."),IF('Inputs'!E297="",'Inputs'!$D$6,"n.a.")))</x:f>
        <x:v>500</x:v>
      </x:c>
      <x:c r="F1400" s="22" t="n">
        <x:f>IF(COUNT($N$1397:$N$1401)=5,SUM($N$1397:$N$1401),"n.a.")</x:f>
        <x:v>0</x:v>
      </x:c>
      <x:c r="G1400" s="22" t="n">
        <x:f>IF(COUNT(E1400:F1400)=2,MAX(0,E1400-F1400),"n.a.")</x:f>
        <x:v>500</x:v>
      </x:c>
      <x:c r="H1400" s="26" t="str">
        <x:f>'Inputs'!C14</x:f>
        <x:v>Unused 4</x:v>
      </x:c>
      <x:c r="I1400" s="26" t="n">
        <x:f>S1395</x:f>
        <x:v>0</x:v>
      </x:c>
      <x:c r="J1400" s="29" t="n">
        <x:f>IF('Inputs'!$D$9="Ready",'Inputs'!E14,"n.a.")</x:f>
        <x:v>0</x:v>
      </x:c>
      <x:c r="K1400" s="26" t="n">
        <x:f>IF('Inputs'!$D$9="Ready",'Inputs'!F14,"n.a.")</x:f>
        <x:v>0</x:v>
      </x:c>
      <x:c r="L1400" s="29" t="n">
        <x:f>IF('Inputs'!$D$9="Ready",'Inputs'!G14,"n.a.")</x:f>
        <x:v>0</x:v>
      </x:c>
      <x:c r="M1400" s="22" t="n">
        <x:f>IF(COUNT(I1400:L1400)=4,ROUND(I1400*J1400/12,2),"n.a.")</x:f>
        <x:v>0</x:v>
      </x:c>
      <x:c r="N1400" s="22" t="n">
        <x:f>IF(COUNT(I1400:M1400)=5,MIN(I1400+M1400,ROUND(MAX(K1400,I1400*L1400+M1400),2)),"n.a.")</x:f>
        <x:v>0</x:v>
      </x:c>
      <x:c r="O1400" s="30" t="n">
        <x:f>IF(COUNT($I$1397:$I$1401)&lt;&gt;5,"n.a.",IF(I1400=0,6,IF('Inputs'!$D$5=1,COUNTIFS($I$1397:$I$1401,"&gt;0",$I$1397:$I$1401,"&lt;"&amp;I1400)+COUNTIFS($I$1397:I1400,I1400),COUNTIFS($I$1397:$I$1401,"&gt;0",$J$1397:$J$1401,"&gt;"&amp;J1400)+COUNTIFS($I$1397:I1400,"&gt;0",$J$1397:J1400,J1400))))</x:f>
        <x:v>6</x:v>
      </x:c>
      <x:c r="P1400" s="22" t="n">
        <x:f>IF(T1400="Ready",MIN(U1400,MAX(0,G1400-SUMIFS($U$1397:$U$1401,$O$1397:$O$1401,"&lt;"&amp;O1400))),"n.a.")</x:f>
        <x:v>0</x:v>
      </x:c>
      <x:c r="Q1400" s="22" t="n">
        <x:f>IF(T1400="Ready",ROUND(N1400+P1400,2),"n.a.")</x:f>
        <x:v>0</x:v>
      </x:c>
      <x:c r="R1400" s="22" t="n">
        <x:f>IF(T1400="Ready",ROUND(Q1400-M1400,2),"n.a.")</x:f>
        <x:v>0</x:v>
      </x:c>
      <x:c r="S1400" s="22" t="n">
        <x:f>IF(T1400="Ready",MAX(0,ROUND(I1400+M1400-Q1400,2)),"n.a.")</x:f>
        <x:v>0</x:v>
      </x:c>
      <x:c r="T1400" s="22" t="str">
        <x:f>IF(AND(COUNT($I$1397:$I$1401)=5,COUNT(E1400:F1400)=2),IF(E1400&gt;=F1400,"Ready","Budget below minima"),"Check inputs")</x:f>
        <x:v>Ready</x:v>
      </x:c>
      <x:c r="U1400" s="22" t="n">
        <x:f>IF(COUNT(I1400,M1400,N1400)=3,MAX(0,ROUND(I1400+M1400-N1400,2)),"n.a.")</x:f>
        <x:v>0</x:v>
      </x:c>
    </x:row>
    <x:row r="1401" ht="22" customHeight="1">
      <x:c r="A1401" s="2"/>
      <x:c r="B1401" s="2"/>
      <x:c r="C1401" s="27" t="n">
        <x:f>279</x:f>
        <x:v>279</x:v>
      </x:c>
      <x:c r="D1401" s="28" t="n">
        <x:f>IF(ISNUMBER('Inputs'!$D$7),EDATE('Inputs'!$D$7,278),"n.a.")</x:f>
        <x:v>54789</x:v>
      </x:c>
      <x:c r="E1401" s="26" t="n">
        <x:f>IF('Inputs'!$D$9&lt;&gt;"Ready","n.a.",IF(ISNUMBER('Inputs'!E297),IF('Inputs'!E297&gt;=0,'Inputs'!E297,"n.a."),IF('Inputs'!E297="",'Inputs'!$D$6,"n.a.")))</x:f>
        <x:v>500</x:v>
      </x:c>
      <x:c r="F1401" s="22" t="n">
        <x:f>IF(COUNT($N$1397:$N$1401)=5,SUM($N$1397:$N$1401),"n.a.")</x:f>
        <x:v>0</x:v>
      </x:c>
      <x:c r="G1401" s="22" t="n">
        <x:f>IF(COUNT(E1401:F1401)=2,MAX(0,E1401-F1401),"n.a.")</x:f>
        <x:v>500</x:v>
      </x:c>
      <x:c r="H1401" s="26" t="str">
        <x:f>'Inputs'!C15</x:f>
        <x:v>Unused 5</x:v>
      </x:c>
      <x:c r="I1401" s="26" t="n">
        <x:f>S1396</x:f>
        <x:v>0</x:v>
      </x:c>
      <x:c r="J1401" s="29" t="n">
        <x:f>IF('Inputs'!$D$9="Ready",'Inputs'!E15,"n.a.")</x:f>
        <x:v>0</x:v>
      </x:c>
      <x:c r="K1401" s="26" t="n">
        <x:f>IF('Inputs'!$D$9="Ready",'Inputs'!F15,"n.a.")</x:f>
        <x:v>0</x:v>
      </x:c>
      <x:c r="L1401" s="29" t="n">
        <x:f>IF('Inputs'!$D$9="Ready",'Inputs'!G15,"n.a.")</x:f>
        <x:v>0</x:v>
      </x:c>
      <x:c r="M1401" s="22" t="n">
        <x:f>IF(COUNT(I1401:L1401)=4,ROUND(I1401*J1401/12,2),"n.a.")</x:f>
        <x:v>0</x:v>
      </x:c>
      <x:c r="N1401" s="22" t="n">
        <x:f>IF(COUNT(I1401:M1401)=5,MIN(I1401+M1401,ROUND(MAX(K1401,I1401*L1401+M1401),2)),"n.a.")</x:f>
        <x:v>0</x:v>
      </x:c>
      <x:c r="O1401" s="30" t="n">
        <x:f>IF(COUNT($I$1397:$I$1401)&lt;&gt;5,"n.a.",IF(I1401=0,6,IF('Inputs'!$D$5=1,COUNTIFS($I$1397:$I$1401,"&gt;0",$I$1397:$I$1401,"&lt;"&amp;I1401)+COUNTIFS($I$1397:I1401,I1401),COUNTIFS($I$1397:$I$1401,"&gt;0",$J$1397:$J$1401,"&gt;"&amp;J1401)+COUNTIFS($I$1397:I1401,"&gt;0",$J$1397:J1401,J1401))))</x:f>
        <x:v>6</x:v>
      </x:c>
      <x:c r="P1401" s="22" t="n">
        <x:f>IF(T1401="Ready",MIN(U1401,MAX(0,G1401-SUMIFS($U$1397:$U$1401,$O$1397:$O$1401,"&lt;"&amp;O1401))),"n.a.")</x:f>
        <x:v>0</x:v>
      </x:c>
      <x:c r="Q1401" s="22" t="n">
        <x:f>IF(T1401="Ready",ROUND(N1401+P1401,2),"n.a.")</x:f>
        <x:v>0</x:v>
      </x:c>
      <x:c r="R1401" s="22" t="n">
        <x:f>IF(T1401="Ready",ROUND(Q1401-M1401,2),"n.a.")</x:f>
        <x:v>0</x:v>
      </x:c>
      <x:c r="S1401" s="22" t="n">
        <x:f>IF(T1401="Ready",MAX(0,ROUND(I1401+M1401-Q1401,2)),"n.a.")</x:f>
        <x:v>0</x:v>
      </x:c>
      <x:c r="T1401" s="22" t="str">
        <x:f>IF(AND(COUNT($I$1397:$I$1401)=5,COUNT(E1401:F1401)=2),IF(E1401&gt;=F1401,"Ready","Budget below minima"),"Check inputs")</x:f>
        <x:v>Ready</x:v>
      </x:c>
      <x:c r="U1401" s="22" t="n">
        <x:f>IF(COUNT(I1401,M1401,N1401)=3,MAX(0,ROUND(I1401+M1401-N1401,2)),"n.a.")</x:f>
        <x:v>0</x:v>
      </x:c>
    </x:row>
    <x:row r="1402" ht="22" customHeight="1">
      <x:c r="A1402" s="2"/>
      <x:c r="B1402" s="2"/>
      <x:c r="C1402" s="27" t="n">
        <x:f>280</x:f>
        <x:v>280</x:v>
      </x:c>
      <x:c r="D1402" s="28" t="n">
        <x:f>IF(ISNUMBER('Inputs'!$D$7),EDATE('Inputs'!$D$7,279),"n.a.")</x:f>
        <x:v>54820</x:v>
      </x:c>
      <x:c r="E1402" s="26" t="n">
        <x:f>IF('Inputs'!$D$9&lt;&gt;"Ready","n.a.",IF(ISNUMBER('Inputs'!E298),IF('Inputs'!E298&gt;=0,'Inputs'!E298,"n.a."),IF('Inputs'!E298="",'Inputs'!$D$6,"n.a.")))</x:f>
        <x:v>500</x:v>
      </x:c>
      <x:c r="F1402" s="22" t="n">
        <x:f>IF(COUNT($N$1402:$N$1406)=5,SUM($N$1402:$N$1406),"n.a.")</x:f>
        <x:v>0</x:v>
      </x:c>
      <x:c r="G1402" s="22" t="n">
        <x:f>IF(COUNT(E1402:F1402)=2,MAX(0,E1402-F1402),"n.a.")</x:f>
        <x:v>500</x:v>
      </x:c>
      <x:c r="H1402" s="26" t="str">
        <x:f>'Inputs'!C11</x:f>
        <x:v>Card A</x:v>
      </x:c>
      <x:c r="I1402" s="26" t="n">
        <x:f>S1397</x:f>
        <x:v>0</x:v>
      </x:c>
      <x:c r="J1402" s="29" t="n">
        <x:f>IF('Inputs'!$D$9="Ready",'Inputs'!E11,"n.a.")</x:f>
        <x:v>0.24</x:v>
      </x:c>
      <x:c r="K1402" s="26" t="n">
        <x:f>IF('Inputs'!$D$9="Ready",'Inputs'!F11,"n.a.")</x:f>
        <x:v>35</x:v>
      </x:c>
      <x:c r="L1402" s="29" t="n">
        <x:f>IF('Inputs'!$D$9="Ready",'Inputs'!G11,"n.a.")</x:f>
        <x:v>0.02</x:v>
      </x:c>
      <x:c r="M1402" s="22" t="n">
        <x:f>IF(COUNT(I1402:L1402)=4,ROUND(I1402*J1402/12,2),"n.a.")</x:f>
        <x:v>0</x:v>
      </x:c>
      <x:c r="N1402" s="22" t="n">
        <x:f>IF(COUNT(I1402:M1402)=5,MIN(I1402+M1402,ROUND(MAX(K1402,I1402*L1402+M1402),2)),"n.a.")</x:f>
        <x:v>0</x:v>
      </x:c>
      <x:c r="O1402" s="30" t="n">
        <x:f>IF(COUNT($I$1402:$I$1406)&lt;&gt;5,"n.a.",IF(I1402=0,6,IF('Inputs'!$D$5=1,COUNTIFS($I$1402:$I$1406,"&gt;0",$I$1402:$I$1406,"&lt;"&amp;I1402)+COUNTIFS($I$1402:I1402,I1402),COUNTIFS($I$1402:$I$1406,"&gt;0",$J$1402:$J$1406,"&gt;"&amp;J1402)+COUNTIFS($I$1402:I1402,"&gt;0",$J$1402:J1402,J1402))))</x:f>
        <x:v>6</x:v>
      </x:c>
      <x:c r="P1402" s="22" t="n">
        <x:f>IF(T1402="Ready",MIN(U1402,MAX(0,G1402-SUMIFS($U$1402:$U$1406,$O$1402:$O$1406,"&lt;"&amp;O1402))),"n.a.")</x:f>
        <x:v>0</x:v>
      </x:c>
      <x:c r="Q1402" s="22" t="n">
        <x:f>IF(T1402="Ready",ROUND(N1402+P1402,2),"n.a.")</x:f>
        <x:v>0</x:v>
      </x:c>
      <x:c r="R1402" s="22" t="n">
        <x:f>IF(T1402="Ready",ROUND(Q1402-M1402,2),"n.a.")</x:f>
        <x:v>0</x:v>
      </x:c>
      <x:c r="S1402" s="22" t="n">
        <x:f>IF(T1402="Ready",MAX(0,ROUND(I1402+M1402-Q1402,2)),"n.a.")</x:f>
        <x:v>0</x:v>
      </x:c>
      <x:c r="T1402" s="22" t="str">
        <x:f>IF(AND(COUNT($I$1402:$I$1406)=5,COUNT(E1402:F1402)=2),IF(E1402&gt;=F1402,"Ready","Budget below minima"),"Check inputs")</x:f>
        <x:v>Ready</x:v>
      </x:c>
      <x:c r="U1402" s="22" t="n">
        <x:f>IF(COUNT(I1402,M1402,N1402)=3,MAX(0,ROUND(I1402+M1402-N1402,2)),"n.a.")</x:f>
        <x:v>0</x:v>
      </x:c>
    </x:row>
    <x:row r="1403" ht="22" customHeight="1">
      <x:c r="A1403" s="2"/>
      <x:c r="B1403" s="2"/>
      <x:c r="C1403" s="27" t="n">
        <x:f>280</x:f>
        <x:v>280</x:v>
      </x:c>
      <x:c r="D1403" s="28" t="n">
        <x:f>IF(ISNUMBER('Inputs'!$D$7),EDATE('Inputs'!$D$7,279),"n.a.")</x:f>
        <x:v>54820</x:v>
      </x:c>
      <x:c r="E1403" s="26" t="n">
        <x:f>IF('Inputs'!$D$9&lt;&gt;"Ready","n.a.",IF(ISNUMBER('Inputs'!E298),IF('Inputs'!E298&gt;=0,'Inputs'!E298,"n.a."),IF('Inputs'!E298="",'Inputs'!$D$6,"n.a.")))</x:f>
        <x:v>500</x:v>
      </x:c>
      <x:c r="F1403" s="22" t="n">
        <x:f>IF(COUNT($N$1402:$N$1406)=5,SUM($N$1402:$N$1406),"n.a.")</x:f>
        <x:v>0</x:v>
      </x:c>
      <x:c r="G1403" s="22" t="n">
        <x:f>IF(COUNT(E1403:F1403)=2,MAX(0,E1403-F1403),"n.a.")</x:f>
        <x:v>500</x:v>
      </x:c>
      <x:c r="H1403" s="26" t="str">
        <x:f>'Inputs'!C12</x:f>
        <x:v>Card B</x:v>
      </x:c>
      <x:c r="I1403" s="26" t="n">
        <x:f>S1398</x:f>
        <x:v>0</x:v>
      </x:c>
      <x:c r="J1403" s="29" t="n">
        <x:f>IF('Inputs'!$D$9="Ready",'Inputs'!E12,"n.a.")</x:f>
        <x:v>0.18</x:v>
      </x:c>
      <x:c r="K1403" s="26" t="n">
        <x:f>IF('Inputs'!$D$9="Ready",'Inputs'!F12,"n.a.")</x:f>
        <x:v>60</x:v>
      </x:c>
      <x:c r="L1403" s="29" t="n">
        <x:f>IF('Inputs'!$D$9="Ready",'Inputs'!G12,"n.a.")</x:f>
        <x:v>0.02</x:v>
      </x:c>
      <x:c r="M1403" s="22" t="n">
        <x:f>IF(COUNT(I1403:L1403)=4,ROUND(I1403*J1403/12,2),"n.a.")</x:f>
        <x:v>0</x:v>
      </x:c>
      <x:c r="N1403" s="22" t="n">
        <x:f>IF(COUNT(I1403:M1403)=5,MIN(I1403+M1403,ROUND(MAX(K1403,I1403*L1403+M1403),2)),"n.a.")</x:f>
        <x:v>0</x:v>
      </x:c>
      <x:c r="O1403" s="30" t="n">
        <x:f>IF(COUNT($I$1402:$I$1406)&lt;&gt;5,"n.a.",IF(I1403=0,6,IF('Inputs'!$D$5=1,COUNTIFS($I$1402:$I$1406,"&gt;0",$I$1402:$I$1406,"&lt;"&amp;I1403)+COUNTIFS($I$1402:I1403,I1403),COUNTIFS($I$1402:$I$1406,"&gt;0",$J$1402:$J$1406,"&gt;"&amp;J1403)+COUNTIFS($I$1402:I1403,"&gt;0",$J$1402:J1403,J1403))))</x:f>
        <x:v>6</x:v>
      </x:c>
      <x:c r="P1403" s="22" t="n">
        <x:f>IF(T1403="Ready",MIN(U1403,MAX(0,G1403-SUMIFS($U$1402:$U$1406,$O$1402:$O$1406,"&lt;"&amp;O1403))),"n.a.")</x:f>
        <x:v>0</x:v>
      </x:c>
      <x:c r="Q1403" s="22" t="n">
        <x:f>IF(T1403="Ready",ROUND(N1403+P1403,2),"n.a.")</x:f>
        <x:v>0</x:v>
      </x:c>
      <x:c r="R1403" s="22" t="n">
        <x:f>IF(T1403="Ready",ROUND(Q1403-M1403,2),"n.a.")</x:f>
        <x:v>0</x:v>
      </x:c>
      <x:c r="S1403" s="22" t="n">
        <x:f>IF(T1403="Ready",MAX(0,ROUND(I1403+M1403-Q1403,2)),"n.a.")</x:f>
        <x:v>0</x:v>
      </x:c>
      <x:c r="T1403" s="22" t="str">
        <x:f>IF(AND(COUNT($I$1402:$I$1406)=5,COUNT(E1403:F1403)=2),IF(E1403&gt;=F1403,"Ready","Budget below minima"),"Check inputs")</x:f>
        <x:v>Ready</x:v>
      </x:c>
      <x:c r="U1403" s="22" t="n">
        <x:f>IF(COUNT(I1403,M1403,N1403)=3,MAX(0,ROUND(I1403+M1403-N1403,2)),"n.a.")</x:f>
        <x:v>0</x:v>
      </x:c>
    </x:row>
    <x:row r="1404" ht="22" customHeight="1">
      <x:c r="A1404" s="2"/>
      <x:c r="B1404" s="2"/>
      <x:c r="C1404" s="27" t="n">
        <x:f>280</x:f>
        <x:v>280</x:v>
      </x:c>
      <x:c r="D1404" s="28" t="n">
        <x:f>IF(ISNUMBER('Inputs'!$D$7),EDATE('Inputs'!$D$7,279),"n.a.")</x:f>
        <x:v>54820</x:v>
      </x:c>
      <x:c r="E1404" s="26" t="n">
        <x:f>IF('Inputs'!$D$9&lt;&gt;"Ready","n.a.",IF(ISNUMBER('Inputs'!E298),IF('Inputs'!E298&gt;=0,'Inputs'!E298,"n.a."),IF('Inputs'!E298="",'Inputs'!$D$6,"n.a.")))</x:f>
        <x:v>500</x:v>
      </x:c>
      <x:c r="F1404" s="22" t="n">
        <x:f>IF(COUNT($N$1402:$N$1406)=5,SUM($N$1402:$N$1406),"n.a.")</x:f>
        <x:v>0</x:v>
      </x:c>
      <x:c r="G1404" s="22" t="n">
        <x:f>IF(COUNT(E1404:F1404)=2,MAX(0,E1404-F1404),"n.a.")</x:f>
        <x:v>500</x:v>
      </x:c>
      <x:c r="H1404" s="26" t="str">
        <x:f>'Inputs'!C13</x:f>
        <x:v>Loan C</x:v>
      </x:c>
      <x:c r="I1404" s="26" t="n">
        <x:f>S1399</x:f>
        <x:v>0</x:v>
      </x:c>
      <x:c r="J1404" s="29" t="n">
        <x:f>IF('Inputs'!$D$9="Ready",'Inputs'!E13,"n.a.")</x:f>
        <x:v>0.08</x:v>
      </x:c>
      <x:c r="K1404" s="26" t="n">
        <x:f>IF('Inputs'!$D$9="Ready",'Inputs'!F13,"n.a.")</x:f>
        <x:v>150</x:v>
      </x:c>
      <x:c r="L1404" s="29" t="n">
        <x:f>IF('Inputs'!$D$9="Ready",'Inputs'!G13,"n.a.")</x:f>
        <x:v>0</x:v>
      </x:c>
      <x:c r="M1404" s="22" t="n">
        <x:f>IF(COUNT(I1404:L1404)=4,ROUND(I1404*J1404/12,2),"n.a.")</x:f>
        <x:v>0</x:v>
      </x:c>
      <x:c r="N1404" s="22" t="n">
        <x:f>IF(COUNT(I1404:M1404)=5,MIN(I1404+M1404,ROUND(MAX(K1404,I1404*L1404+M1404),2)),"n.a.")</x:f>
        <x:v>0</x:v>
      </x:c>
      <x:c r="O1404" s="30" t="n">
        <x:f>IF(COUNT($I$1402:$I$1406)&lt;&gt;5,"n.a.",IF(I1404=0,6,IF('Inputs'!$D$5=1,COUNTIFS($I$1402:$I$1406,"&gt;0",$I$1402:$I$1406,"&lt;"&amp;I1404)+COUNTIFS($I$1402:I1404,I1404),COUNTIFS($I$1402:$I$1406,"&gt;0",$J$1402:$J$1406,"&gt;"&amp;J1404)+COUNTIFS($I$1402:I1404,"&gt;0",$J$1402:J1404,J1404))))</x:f>
        <x:v>6</x:v>
      </x:c>
      <x:c r="P1404" s="22" t="n">
        <x:f>IF(T1404="Ready",MIN(U1404,MAX(0,G1404-SUMIFS($U$1402:$U$1406,$O$1402:$O$1406,"&lt;"&amp;O1404))),"n.a.")</x:f>
        <x:v>0</x:v>
      </x:c>
      <x:c r="Q1404" s="22" t="n">
        <x:f>IF(T1404="Ready",ROUND(N1404+P1404,2),"n.a.")</x:f>
        <x:v>0</x:v>
      </x:c>
      <x:c r="R1404" s="22" t="n">
        <x:f>IF(T1404="Ready",ROUND(Q1404-M1404,2),"n.a.")</x:f>
        <x:v>0</x:v>
      </x:c>
      <x:c r="S1404" s="22" t="n">
        <x:f>IF(T1404="Ready",MAX(0,ROUND(I1404+M1404-Q1404,2)),"n.a.")</x:f>
        <x:v>0</x:v>
      </x:c>
      <x:c r="T1404" s="22" t="str">
        <x:f>IF(AND(COUNT($I$1402:$I$1406)=5,COUNT(E1404:F1404)=2),IF(E1404&gt;=F1404,"Ready","Budget below minima"),"Check inputs")</x:f>
        <x:v>Ready</x:v>
      </x:c>
      <x:c r="U1404" s="22" t="n">
        <x:f>IF(COUNT(I1404,M1404,N1404)=3,MAX(0,ROUND(I1404+M1404-N1404,2)),"n.a.")</x:f>
        <x:v>0</x:v>
      </x:c>
    </x:row>
    <x:row r="1405" ht="22" customHeight="1">
      <x:c r="A1405" s="2"/>
      <x:c r="B1405" s="2"/>
      <x:c r="C1405" s="27" t="n">
        <x:f>280</x:f>
        <x:v>280</x:v>
      </x:c>
      <x:c r="D1405" s="28" t="n">
        <x:f>IF(ISNUMBER('Inputs'!$D$7),EDATE('Inputs'!$D$7,279),"n.a.")</x:f>
        <x:v>54820</x:v>
      </x:c>
      <x:c r="E1405" s="26" t="n">
        <x:f>IF('Inputs'!$D$9&lt;&gt;"Ready","n.a.",IF(ISNUMBER('Inputs'!E298),IF('Inputs'!E298&gt;=0,'Inputs'!E298,"n.a."),IF('Inputs'!E298="",'Inputs'!$D$6,"n.a.")))</x:f>
        <x:v>500</x:v>
      </x:c>
      <x:c r="F1405" s="22" t="n">
        <x:f>IF(COUNT($N$1402:$N$1406)=5,SUM($N$1402:$N$1406),"n.a.")</x:f>
        <x:v>0</x:v>
      </x:c>
      <x:c r="G1405" s="22" t="n">
        <x:f>IF(COUNT(E1405:F1405)=2,MAX(0,E1405-F1405),"n.a.")</x:f>
        <x:v>500</x:v>
      </x:c>
      <x:c r="H1405" s="26" t="str">
        <x:f>'Inputs'!C14</x:f>
        <x:v>Unused 4</x:v>
      </x:c>
      <x:c r="I1405" s="26" t="n">
        <x:f>S1400</x:f>
        <x:v>0</x:v>
      </x:c>
      <x:c r="J1405" s="29" t="n">
        <x:f>IF('Inputs'!$D$9="Ready",'Inputs'!E14,"n.a.")</x:f>
        <x:v>0</x:v>
      </x:c>
      <x:c r="K1405" s="26" t="n">
        <x:f>IF('Inputs'!$D$9="Ready",'Inputs'!F14,"n.a.")</x:f>
        <x:v>0</x:v>
      </x:c>
      <x:c r="L1405" s="29" t="n">
        <x:f>IF('Inputs'!$D$9="Ready",'Inputs'!G14,"n.a.")</x:f>
        <x:v>0</x:v>
      </x:c>
      <x:c r="M1405" s="22" t="n">
        <x:f>IF(COUNT(I1405:L1405)=4,ROUND(I1405*J1405/12,2),"n.a.")</x:f>
        <x:v>0</x:v>
      </x:c>
      <x:c r="N1405" s="22" t="n">
        <x:f>IF(COUNT(I1405:M1405)=5,MIN(I1405+M1405,ROUND(MAX(K1405,I1405*L1405+M1405),2)),"n.a.")</x:f>
        <x:v>0</x:v>
      </x:c>
      <x:c r="O1405" s="30" t="n">
        <x:f>IF(COUNT($I$1402:$I$1406)&lt;&gt;5,"n.a.",IF(I1405=0,6,IF('Inputs'!$D$5=1,COUNTIFS($I$1402:$I$1406,"&gt;0",$I$1402:$I$1406,"&lt;"&amp;I1405)+COUNTIFS($I$1402:I1405,I1405),COUNTIFS($I$1402:$I$1406,"&gt;0",$J$1402:$J$1406,"&gt;"&amp;J1405)+COUNTIFS($I$1402:I1405,"&gt;0",$J$1402:J1405,J1405))))</x:f>
        <x:v>6</x:v>
      </x:c>
      <x:c r="P1405" s="22" t="n">
        <x:f>IF(T1405="Ready",MIN(U1405,MAX(0,G1405-SUMIFS($U$1402:$U$1406,$O$1402:$O$1406,"&lt;"&amp;O1405))),"n.a.")</x:f>
        <x:v>0</x:v>
      </x:c>
      <x:c r="Q1405" s="22" t="n">
        <x:f>IF(T1405="Ready",ROUND(N1405+P1405,2),"n.a.")</x:f>
        <x:v>0</x:v>
      </x:c>
      <x:c r="R1405" s="22" t="n">
        <x:f>IF(T1405="Ready",ROUND(Q1405-M1405,2),"n.a.")</x:f>
        <x:v>0</x:v>
      </x:c>
      <x:c r="S1405" s="22" t="n">
        <x:f>IF(T1405="Ready",MAX(0,ROUND(I1405+M1405-Q1405,2)),"n.a.")</x:f>
        <x:v>0</x:v>
      </x:c>
      <x:c r="T1405" s="22" t="str">
        <x:f>IF(AND(COUNT($I$1402:$I$1406)=5,COUNT(E1405:F1405)=2),IF(E1405&gt;=F1405,"Ready","Budget below minima"),"Check inputs")</x:f>
        <x:v>Ready</x:v>
      </x:c>
      <x:c r="U1405" s="22" t="n">
        <x:f>IF(COUNT(I1405,M1405,N1405)=3,MAX(0,ROUND(I1405+M1405-N1405,2)),"n.a.")</x:f>
        <x:v>0</x:v>
      </x:c>
    </x:row>
    <x:row r="1406" ht="22" customHeight="1">
      <x:c r="A1406" s="2"/>
      <x:c r="B1406" s="2"/>
      <x:c r="C1406" s="27" t="n">
        <x:f>280</x:f>
        <x:v>280</x:v>
      </x:c>
      <x:c r="D1406" s="28" t="n">
        <x:f>IF(ISNUMBER('Inputs'!$D$7),EDATE('Inputs'!$D$7,279),"n.a.")</x:f>
        <x:v>54820</x:v>
      </x:c>
      <x:c r="E1406" s="26" t="n">
        <x:f>IF('Inputs'!$D$9&lt;&gt;"Ready","n.a.",IF(ISNUMBER('Inputs'!E298),IF('Inputs'!E298&gt;=0,'Inputs'!E298,"n.a."),IF('Inputs'!E298="",'Inputs'!$D$6,"n.a.")))</x:f>
        <x:v>500</x:v>
      </x:c>
      <x:c r="F1406" s="22" t="n">
        <x:f>IF(COUNT($N$1402:$N$1406)=5,SUM($N$1402:$N$1406),"n.a.")</x:f>
        <x:v>0</x:v>
      </x:c>
      <x:c r="G1406" s="22" t="n">
        <x:f>IF(COUNT(E1406:F1406)=2,MAX(0,E1406-F1406),"n.a.")</x:f>
        <x:v>500</x:v>
      </x:c>
      <x:c r="H1406" s="26" t="str">
        <x:f>'Inputs'!C15</x:f>
        <x:v>Unused 5</x:v>
      </x:c>
      <x:c r="I1406" s="26" t="n">
        <x:f>S1401</x:f>
        <x:v>0</x:v>
      </x:c>
      <x:c r="J1406" s="29" t="n">
        <x:f>IF('Inputs'!$D$9="Ready",'Inputs'!E15,"n.a.")</x:f>
        <x:v>0</x:v>
      </x:c>
      <x:c r="K1406" s="26" t="n">
        <x:f>IF('Inputs'!$D$9="Ready",'Inputs'!F15,"n.a.")</x:f>
        <x:v>0</x:v>
      </x:c>
      <x:c r="L1406" s="29" t="n">
        <x:f>IF('Inputs'!$D$9="Ready",'Inputs'!G15,"n.a.")</x:f>
        <x:v>0</x:v>
      </x:c>
      <x:c r="M1406" s="22" t="n">
        <x:f>IF(COUNT(I1406:L1406)=4,ROUND(I1406*J1406/12,2),"n.a.")</x:f>
        <x:v>0</x:v>
      </x:c>
      <x:c r="N1406" s="22" t="n">
        <x:f>IF(COUNT(I1406:M1406)=5,MIN(I1406+M1406,ROUND(MAX(K1406,I1406*L1406+M1406),2)),"n.a.")</x:f>
        <x:v>0</x:v>
      </x:c>
      <x:c r="O1406" s="30" t="n">
        <x:f>IF(COUNT($I$1402:$I$1406)&lt;&gt;5,"n.a.",IF(I1406=0,6,IF('Inputs'!$D$5=1,COUNTIFS($I$1402:$I$1406,"&gt;0",$I$1402:$I$1406,"&lt;"&amp;I1406)+COUNTIFS($I$1402:I1406,I1406),COUNTIFS($I$1402:$I$1406,"&gt;0",$J$1402:$J$1406,"&gt;"&amp;J1406)+COUNTIFS($I$1402:I1406,"&gt;0",$J$1402:J1406,J1406))))</x:f>
        <x:v>6</x:v>
      </x:c>
      <x:c r="P1406" s="22" t="n">
        <x:f>IF(T1406="Ready",MIN(U1406,MAX(0,G1406-SUMIFS($U$1402:$U$1406,$O$1402:$O$1406,"&lt;"&amp;O1406))),"n.a.")</x:f>
        <x:v>0</x:v>
      </x:c>
      <x:c r="Q1406" s="22" t="n">
        <x:f>IF(T1406="Ready",ROUND(N1406+P1406,2),"n.a.")</x:f>
        <x:v>0</x:v>
      </x:c>
      <x:c r="R1406" s="22" t="n">
        <x:f>IF(T1406="Ready",ROUND(Q1406-M1406,2),"n.a.")</x:f>
        <x:v>0</x:v>
      </x:c>
      <x:c r="S1406" s="22" t="n">
        <x:f>IF(T1406="Ready",MAX(0,ROUND(I1406+M1406-Q1406,2)),"n.a.")</x:f>
        <x:v>0</x:v>
      </x:c>
      <x:c r="T1406" s="22" t="str">
        <x:f>IF(AND(COUNT($I$1402:$I$1406)=5,COUNT(E1406:F1406)=2),IF(E1406&gt;=F1406,"Ready","Budget below minima"),"Check inputs")</x:f>
        <x:v>Ready</x:v>
      </x:c>
      <x:c r="U1406" s="22" t="n">
        <x:f>IF(COUNT(I1406,M1406,N1406)=3,MAX(0,ROUND(I1406+M1406-N1406,2)),"n.a.")</x:f>
        <x:v>0</x:v>
      </x:c>
    </x:row>
    <x:row r="1407" ht="22" customHeight="1">
      <x:c r="A1407" s="2"/>
      <x:c r="B1407" s="2"/>
      <x:c r="C1407" s="27" t="n">
        <x:f>281</x:f>
        <x:v>281</x:v>
      </x:c>
      <x:c r="D1407" s="28" t="n">
        <x:f>IF(ISNUMBER('Inputs'!$D$7),EDATE('Inputs'!$D$7,280),"n.a.")</x:f>
        <x:v>54848</x:v>
      </x:c>
      <x:c r="E1407" s="26" t="n">
        <x:f>IF('Inputs'!$D$9&lt;&gt;"Ready","n.a.",IF(ISNUMBER('Inputs'!E299),IF('Inputs'!E299&gt;=0,'Inputs'!E299,"n.a."),IF('Inputs'!E299="",'Inputs'!$D$6,"n.a.")))</x:f>
        <x:v>500</x:v>
      </x:c>
      <x:c r="F1407" s="22" t="n">
        <x:f>IF(COUNT($N$1407:$N$1411)=5,SUM($N$1407:$N$1411),"n.a.")</x:f>
        <x:v>0</x:v>
      </x:c>
      <x:c r="G1407" s="22" t="n">
        <x:f>IF(COUNT(E1407:F1407)=2,MAX(0,E1407-F1407),"n.a.")</x:f>
        <x:v>500</x:v>
      </x:c>
      <x:c r="H1407" s="26" t="str">
        <x:f>'Inputs'!C11</x:f>
        <x:v>Card A</x:v>
      </x:c>
      <x:c r="I1407" s="26" t="n">
        <x:f>S1402</x:f>
        <x:v>0</x:v>
      </x:c>
      <x:c r="J1407" s="29" t="n">
        <x:f>IF('Inputs'!$D$9="Ready",'Inputs'!E11,"n.a.")</x:f>
        <x:v>0.24</x:v>
      </x:c>
      <x:c r="K1407" s="26" t="n">
        <x:f>IF('Inputs'!$D$9="Ready",'Inputs'!F11,"n.a.")</x:f>
        <x:v>35</x:v>
      </x:c>
      <x:c r="L1407" s="29" t="n">
        <x:f>IF('Inputs'!$D$9="Ready",'Inputs'!G11,"n.a.")</x:f>
        <x:v>0.02</x:v>
      </x:c>
      <x:c r="M1407" s="22" t="n">
        <x:f>IF(COUNT(I1407:L1407)=4,ROUND(I1407*J1407/12,2),"n.a.")</x:f>
        <x:v>0</x:v>
      </x:c>
      <x:c r="N1407" s="22" t="n">
        <x:f>IF(COUNT(I1407:M1407)=5,MIN(I1407+M1407,ROUND(MAX(K1407,I1407*L1407+M1407),2)),"n.a.")</x:f>
        <x:v>0</x:v>
      </x:c>
      <x:c r="O1407" s="30" t="n">
        <x:f>IF(COUNT($I$1407:$I$1411)&lt;&gt;5,"n.a.",IF(I1407=0,6,IF('Inputs'!$D$5=1,COUNTIFS($I$1407:$I$1411,"&gt;0",$I$1407:$I$1411,"&lt;"&amp;I1407)+COUNTIFS($I$1407:I1407,I1407),COUNTIFS($I$1407:$I$1411,"&gt;0",$J$1407:$J$1411,"&gt;"&amp;J1407)+COUNTIFS($I$1407:I1407,"&gt;0",$J$1407:J1407,J1407))))</x:f>
        <x:v>6</x:v>
      </x:c>
      <x:c r="P1407" s="22" t="n">
        <x:f>IF(T1407="Ready",MIN(U1407,MAX(0,G1407-SUMIFS($U$1407:$U$1411,$O$1407:$O$1411,"&lt;"&amp;O1407))),"n.a.")</x:f>
        <x:v>0</x:v>
      </x:c>
      <x:c r="Q1407" s="22" t="n">
        <x:f>IF(T1407="Ready",ROUND(N1407+P1407,2),"n.a.")</x:f>
        <x:v>0</x:v>
      </x:c>
      <x:c r="R1407" s="22" t="n">
        <x:f>IF(T1407="Ready",ROUND(Q1407-M1407,2),"n.a.")</x:f>
        <x:v>0</x:v>
      </x:c>
      <x:c r="S1407" s="22" t="n">
        <x:f>IF(T1407="Ready",MAX(0,ROUND(I1407+M1407-Q1407,2)),"n.a.")</x:f>
        <x:v>0</x:v>
      </x:c>
      <x:c r="T1407" s="22" t="str">
        <x:f>IF(AND(COUNT($I$1407:$I$1411)=5,COUNT(E1407:F1407)=2),IF(E1407&gt;=F1407,"Ready","Budget below minima"),"Check inputs")</x:f>
        <x:v>Ready</x:v>
      </x:c>
      <x:c r="U1407" s="22" t="n">
        <x:f>IF(COUNT(I1407,M1407,N1407)=3,MAX(0,ROUND(I1407+M1407-N1407,2)),"n.a.")</x:f>
        <x:v>0</x:v>
      </x:c>
    </x:row>
    <x:row r="1408" ht="22" customHeight="1">
      <x:c r="A1408" s="2"/>
      <x:c r="B1408" s="2"/>
      <x:c r="C1408" s="27" t="n">
        <x:f>281</x:f>
        <x:v>281</x:v>
      </x:c>
      <x:c r="D1408" s="28" t="n">
        <x:f>IF(ISNUMBER('Inputs'!$D$7),EDATE('Inputs'!$D$7,280),"n.a.")</x:f>
        <x:v>54848</x:v>
      </x:c>
      <x:c r="E1408" s="26" t="n">
        <x:f>IF('Inputs'!$D$9&lt;&gt;"Ready","n.a.",IF(ISNUMBER('Inputs'!E299),IF('Inputs'!E299&gt;=0,'Inputs'!E299,"n.a."),IF('Inputs'!E299="",'Inputs'!$D$6,"n.a.")))</x:f>
        <x:v>500</x:v>
      </x:c>
      <x:c r="F1408" s="22" t="n">
        <x:f>IF(COUNT($N$1407:$N$1411)=5,SUM($N$1407:$N$1411),"n.a.")</x:f>
        <x:v>0</x:v>
      </x:c>
      <x:c r="G1408" s="22" t="n">
        <x:f>IF(COUNT(E1408:F1408)=2,MAX(0,E1408-F1408),"n.a.")</x:f>
        <x:v>500</x:v>
      </x:c>
      <x:c r="H1408" s="26" t="str">
        <x:f>'Inputs'!C12</x:f>
        <x:v>Card B</x:v>
      </x:c>
      <x:c r="I1408" s="26" t="n">
        <x:f>S1403</x:f>
        <x:v>0</x:v>
      </x:c>
      <x:c r="J1408" s="29" t="n">
        <x:f>IF('Inputs'!$D$9="Ready",'Inputs'!E12,"n.a.")</x:f>
        <x:v>0.18</x:v>
      </x:c>
      <x:c r="K1408" s="26" t="n">
        <x:f>IF('Inputs'!$D$9="Ready",'Inputs'!F12,"n.a.")</x:f>
        <x:v>60</x:v>
      </x:c>
      <x:c r="L1408" s="29" t="n">
        <x:f>IF('Inputs'!$D$9="Ready",'Inputs'!G12,"n.a.")</x:f>
        <x:v>0.02</x:v>
      </x:c>
      <x:c r="M1408" s="22" t="n">
        <x:f>IF(COUNT(I1408:L1408)=4,ROUND(I1408*J1408/12,2),"n.a.")</x:f>
        <x:v>0</x:v>
      </x:c>
      <x:c r="N1408" s="22" t="n">
        <x:f>IF(COUNT(I1408:M1408)=5,MIN(I1408+M1408,ROUND(MAX(K1408,I1408*L1408+M1408),2)),"n.a.")</x:f>
        <x:v>0</x:v>
      </x:c>
      <x:c r="O1408" s="30" t="n">
        <x:f>IF(COUNT($I$1407:$I$1411)&lt;&gt;5,"n.a.",IF(I1408=0,6,IF('Inputs'!$D$5=1,COUNTIFS($I$1407:$I$1411,"&gt;0",$I$1407:$I$1411,"&lt;"&amp;I1408)+COUNTIFS($I$1407:I1408,I1408),COUNTIFS($I$1407:$I$1411,"&gt;0",$J$1407:$J$1411,"&gt;"&amp;J1408)+COUNTIFS($I$1407:I1408,"&gt;0",$J$1407:J1408,J1408))))</x:f>
        <x:v>6</x:v>
      </x:c>
      <x:c r="P1408" s="22" t="n">
        <x:f>IF(T1408="Ready",MIN(U1408,MAX(0,G1408-SUMIFS($U$1407:$U$1411,$O$1407:$O$1411,"&lt;"&amp;O1408))),"n.a.")</x:f>
        <x:v>0</x:v>
      </x:c>
      <x:c r="Q1408" s="22" t="n">
        <x:f>IF(T1408="Ready",ROUND(N1408+P1408,2),"n.a.")</x:f>
        <x:v>0</x:v>
      </x:c>
      <x:c r="R1408" s="22" t="n">
        <x:f>IF(T1408="Ready",ROUND(Q1408-M1408,2),"n.a.")</x:f>
        <x:v>0</x:v>
      </x:c>
      <x:c r="S1408" s="22" t="n">
        <x:f>IF(T1408="Ready",MAX(0,ROUND(I1408+M1408-Q1408,2)),"n.a.")</x:f>
        <x:v>0</x:v>
      </x:c>
      <x:c r="T1408" s="22" t="str">
        <x:f>IF(AND(COUNT($I$1407:$I$1411)=5,COUNT(E1408:F1408)=2),IF(E1408&gt;=F1408,"Ready","Budget below minima"),"Check inputs")</x:f>
        <x:v>Ready</x:v>
      </x:c>
      <x:c r="U1408" s="22" t="n">
        <x:f>IF(COUNT(I1408,M1408,N1408)=3,MAX(0,ROUND(I1408+M1408-N1408,2)),"n.a.")</x:f>
        <x:v>0</x:v>
      </x:c>
    </x:row>
    <x:row r="1409" ht="22" customHeight="1">
      <x:c r="A1409" s="2"/>
      <x:c r="B1409" s="2"/>
      <x:c r="C1409" s="27" t="n">
        <x:f>281</x:f>
        <x:v>281</x:v>
      </x:c>
      <x:c r="D1409" s="28" t="n">
        <x:f>IF(ISNUMBER('Inputs'!$D$7),EDATE('Inputs'!$D$7,280),"n.a.")</x:f>
        <x:v>54848</x:v>
      </x:c>
      <x:c r="E1409" s="26" t="n">
        <x:f>IF('Inputs'!$D$9&lt;&gt;"Ready","n.a.",IF(ISNUMBER('Inputs'!E299),IF('Inputs'!E299&gt;=0,'Inputs'!E299,"n.a."),IF('Inputs'!E299="",'Inputs'!$D$6,"n.a.")))</x:f>
        <x:v>500</x:v>
      </x:c>
      <x:c r="F1409" s="22" t="n">
        <x:f>IF(COUNT($N$1407:$N$1411)=5,SUM($N$1407:$N$1411),"n.a.")</x:f>
        <x:v>0</x:v>
      </x:c>
      <x:c r="G1409" s="22" t="n">
        <x:f>IF(COUNT(E1409:F1409)=2,MAX(0,E1409-F1409),"n.a.")</x:f>
        <x:v>500</x:v>
      </x:c>
      <x:c r="H1409" s="26" t="str">
        <x:f>'Inputs'!C13</x:f>
        <x:v>Loan C</x:v>
      </x:c>
      <x:c r="I1409" s="26" t="n">
        <x:f>S1404</x:f>
        <x:v>0</x:v>
      </x:c>
      <x:c r="J1409" s="29" t="n">
        <x:f>IF('Inputs'!$D$9="Ready",'Inputs'!E13,"n.a.")</x:f>
        <x:v>0.08</x:v>
      </x:c>
      <x:c r="K1409" s="26" t="n">
        <x:f>IF('Inputs'!$D$9="Ready",'Inputs'!F13,"n.a.")</x:f>
        <x:v>150</x:v>
      </x:c>
      <x:c r="L1409" s="29" t="n">
        <x:f>IF('Inputs'!$D$9="Ready",'Inputs'!G13,"n.a.")</x:f>
        <x:v>0</x:v>
      </x:c>
      <x:c r="M1409" s="22" t="n">
        <x:f>IF(COUNT(I1409:L1409)=4,ROUND(I1409*J1409/12,2),"n.a.")</x:f>
        <x:v>0</x:v>
      </x:c>
      <x:c r="N1409" s="22" t="n">
        <x:f>IF(COUNT(I1409:M1409)=5,MIN(I1409+M1409,ROUND(MAX(K1409,I1409*L1409+M1409),2)),"n.a.")</x:f>
        <x:v>0</x:v>
      </x:c>
      <x:c r="O1409" s="30" t="n">
        <x:f>IF(COUNT($I$1407:$I$1411)&lt;&gt;5,"n.a.",IF(I1409=0,6,IF('Inputs'!$D$5=1,COUNTIFS($I$1407:$I$1411,"&gt;0",$I$1407:$I$1411,"&lt;"&amp;I1409)+COUNTIFS($I$1407:I1409,I1409),COUNTIFS($I$1407:$I$1411,"&gt;0",$J$1407:$J$1411,"&gt;"&amp;J1409)+COUNTIFS($I$1407:I1409,"&gt;0",$J$1407:J1409,J1409))))</x:f>
        <x:v>6</x:v>
      </x:c>
      <x:c r="P1409" s="22" t="n">
        <x:f>IF(T1409="Ready",MIN(U1409,MAX(0,G1409-SUMIFS($U$1407:$U$1411,$O$1407:$O$1411,"&lt;"&amp;O1409))),"n.a.")</x:f>
        <x:v>0</x:v>
      </x:c>
      <x:c r="Q1409" s="22" t="n">
        <x:f>IF(T1409="Ready",ROUND(N1409+P1409,2),"n.a.")</x:f>
        <x:v>0</x:v>
      </x:c>
      <x:c r="R1409" s="22" t="n">
        <x:f>IF(T1409="Ready",ROUND(Q1409-M1409,2),"n.a.")</x:f>
        <x:v>0</x:v>
      </x:c>
      <x:c r="S1409" s="22" t="n">
        <x:f>IF(T1409="Ready",MAX(0,ROUND(I1409+M1409-Q1409,2)),"n.a.")</x:f>
        <x:v>0</x:v>
      </x:c>
      <x:c r="T1409" s="22" t="str">
        <x:f>IF(AND(COUNT($I$1407:$I$1411)=5,COUNT(E1409:F1409)=2),IF(E1409&gt;=F1409,"Ready","Budget below minima"),"Check inputs")</x:f>
        <x:v>Ready</x:v>
      </x:c>
      <x:c r="U1409" s="22" t="n">
        <x:f>IF(COUNT(I1409,M1409,N1409)=3,MAX(0,ROUND(I1409+M1409-N1409,2)),"n.a.")</x:f>
        <x:v>0</x:v>
      </x:c>
    </x:row>
    <x:row r="1410" ht="22" customHeight="1">
      <x:c r="A1410" s="2"/>
      <x:c r="B1410" s="2"/>
      <x:c r="C1410" s="27" t="n">
        <x:f>281</x:f>
        <x:v>281</x:v>
      </x:c>
      <x:c r="D1410" s="28" t="n">
        <x:f>IF(ISNUMBER('Inputs'!$D$7),EDATE('Inputs'!$D$7,280),"n.a.")</x:f>
        <x:v>54848</x:v>
      </x:c>
      <x:c r="E1410" s="26" t="n">
        <x:f>IF('Inputs'!$D$9&lt;&gt;"Ready","n.a.",IF(ISNUMBER('Inputs'!E299),IF('Inputs'!E299&gt;=0,'Inputs'!E299,"n.a."),IF('Inputs'!E299="",'Inputs'!$D$6,"n.a.")))</x:f>
        <x:v>500</x:v>
      </x:c>
      <x:c r="F1410" s="22" t="n">
        <x:f>IF(COUNT($N$1407:$N$1411)=5,SUM($N$1407:$N$1411),"n.a.")</x:f>
        <x:v>0</x:v>
      </x:c>
      <x:c r="G1410" s="22" t="n">
        <x:f>IF(COUNT(E1410:F1410)=2,MAX(0,E1410-F1410),"n.a.")</x:f>
        <x:v>500</x:v>
      </x:c>
      <x:c r="H1410" s="26" t="str">
        <x:f>'Inputs'!C14</x:f>
        <x:v>Unused 4</x:v>
      </x:c>
      <x:c r="I1410" s="26" t="n">
        <x:f>S1405</x:f>
        <x:v>0</x:v>
      </x:c>
      <x:c r="J1410" s="29" t="n">
        <x:f>IF('Inputs'!$D$9="Ready",'Inputs'!E14,"n.a.")</x:f>
        <x:v>0</x:v>
      </x:c>
      <x:c r="K1410" s="26" t="n">
        <x:f>IF('Inputs'!$D$9="Ready",'Inputs'!F14,"n.a.")</x:f>
        <x:v>0</x:v>
      </x:c>
      <x:c r="L1410" s="29" t="n">
        <x:f>IF('Inputs'!$D$9="Ready",'Inputs'!G14,"n.a.")</x:f>
        <x:v>0</x:v>
      </x:c>
      <x:c r="M1410" s="22" t="n">
        <x:f>IF(COUNT(I1410:L1410)=4,ROUND(I1410*J1410/12,2),"n.a.")</x:f>
        <x:v>0</x:v>
      </x:c>
      <x:c r="N1410" s="22" t="n">
        <x:f>IF(COUNT(I1410:M1410)=5,MIN(I1410+M1410,ROUND(MAX(K1410,I1410*L1410+M1410),2)),"n.a.")</x:f>
        <x:v>0</x:v>
      </x:c>
      <x:c r="O1410" s="30" t="n">
        <x:f>IF(COUNT($I$1407:$I$1411)&lt;&gt;5,"n.a.",IF(I1410=0,6,IF('Inputs'!$D$5=1,COUNTIFS($I$1407:$I$1411,"&gt;0",$I$1407:$I$1411,"&lt;"&amp;I1410)+COUNTIFS($I$1407:I1410,I1410),COUNTIFS($I$1407:$I$1411,"&gt;0",$J$1407:$J$1411,"&gt;"&amp;J1410)+COUNTIFS($I$1407:I1410,"&gt;0",$J$1407:J1410,J1410))))</x:f>
        <x:v>6</x:v>
      </x:c>
      <x:c r="P1410" s="22" t="n">
        <x:f>IF(T1410="Ready",MIN(U1410,MAX(0,G1410-SUMIFS($U$1407:$U$1411,$O$1407:$O$1411,"&lt;"&amp;O1410))),"n.a.")</x:f>
        <x:v>0</x:v>
      </x:c>
      <x:c r="Q1410" s="22" t="n">
        <x:f>IF(T1410="Ready",ROUND(N1410+P1410,2),"n.a.")</x:f>
        <x:v>0</x:v>
      </x:c>
      <x:c r="R1410" s="22" t="n">
        <x:f>IF(T1410="Ready",ROUND(Q1410-M1410,2),"n.a.")</x:f>
        <x:v>0</x:v>
      </x:c>
      <x:c r="S1410" s="22" t="n">
        <x:f>IF(T1410="Ready",MAX(0,ROUND(I1410+M1410-Q1410,2)),"n.a.")</x:f>
        <x:v>0</x:v>
      </x:c>
      <x:c r="T1410" s="22" t="str">
        <x:f>IF(AND(COUNT($I$1407:$I$1411)=5,COUNT(E1410:F1410)=2),IF(E1410&gt;=F1410,"Ready","Budget below minima"),"Check inputs")</x:f>
        <x:v>Ready</x:v>
      </x:c>
      <x:c r="U1410" s="22" t="n">
        <x:f>IF(COUNT(I1410,M1410,N1410)=3,MAX(0,ROUND(I1410+M1410-N1410,2)),"n.a.")</x:f>
        <x:v>0</x:v>
      </x:c>
    </x:row>
    <x:row r="1411" ht="22" customHeight="1">
      <x:c r="A1411" s="2"/>
      <x:c r="B1411" s="2"/>
      <x:c r="C1411" s="27" t="n">
        <x:f>281</x:f>
        <x:v>281</x:v>
      </x:c>
      <x:c r="D1411" s="28" t="n">
        <x:f>IF(ISNUMBER('Inputs'!$D$7),EDATE('Inputs'!$D$7,280),"n.a.")</x:f>
        <x:v>54848</x:v>
      </x:c>
      <x:c r="E1411" s="26" t="n">
        <x:f>IF('Inputs'!$D$9&lt;&gt;"Ready","n.a.",IF(ISNUMBER('Inputs'!E299),IF('Inputs'!E299&gt;=0,'Inputs'!E299,"n.a."),IF('Inputs'!E299="",'Inputs'!$D$6,"n.a.")))</x:f>
        <x:v>500</x:v>
      </x:c>
      <x:c r="F1411" s="22" t="n">
        <x:f>IF(COUNT($N$1407:$N$1411)=5,SUM($N$1407:$N$1411),"n.a.")</x:f>
        <x:v>0</x:v>
      </x:c>
      <x:c r="G1411" s="22" t="n">
        <x:f>IF(COUNT(E1411:F1411)=2,MAX(0,E1411-F1411),"n.a.")</x:f>
        <x:v>500</x:v>
      </x:c>
      <x:c r="H1411" s="26" t="str">
        <x:f>'Inputs'!C15</x:f>
        <x:v>Unused 5</x:v>
      </x:c>
      <x:c r="I1411" s="26" t="n">
        <x:f>S1406</x:f>
        <x:v>0</x:v>
      </x:c>
      <x:c r="J1411" s="29" t="n">
        <x:f>IF('Inputs'!$D$9="Ready",'Inputs'!E15,"n.a.")</x:f>
        <x:v>0</x:v>
      </x:c>
      <x:c r="K1411" s="26" t="n">
        <x:f>IF('Inputs'!$D$9="Ready",'Inputs'!F15,"n.a.")</x:f>
        <x:v>0</x:v>
      </x:c>
      <x:c r="L1411" s="29" t="n">
        <x:f>IF('Inputs'!$D$9="Ready",'Inputs'!G15,"n.a.")</x:f>
        <x:v>0</x:v>
      </x:c>
      <x:c r="M1411" s="22" t="n">
        <x:f>IF(COUNT(I1411:L1411)=4,ROUND(I1411*J1411/12,2),"n.a.")</x:f>
        <x:v>0</x:v>
      </x:c>
      <x:c r="N1411" s="22" t="n">
        <x:f>IF(COUNT(I1411:M1411)=5,MIN(I1411+M1411,ROUND(MAX(K1411,I1411*L1411+M1411),2)),"n.a.")</x:f>
        <x:v>0</x:v>
      </x:c>
      <x:c r="O1411" s="30" t="n">
        <x:f>IF(COUNT($I$1407:$I$1411)&lt;&gt;5,"n.a.",IF(I1411=0,6,IF('Inputs'!$D$5=1,COUNTIFS($I$1407:$I$1411,"&gt;0",$I$1407:$I$1411,"&lt;"&amp;I1411)+COUNTIFS($I$1407:I1411,I1411),COUNTIFS($I$1407:$I$1411,"&gt;0",$J$1407:$J$1411,"&gt;"&amp;J1411)+COUNTIFS($I$1407:I1411,"&gt;0",$J$1407:J1411,J1411))))</x:f>
        <x:v>6</x:v>
      </x:c>
      <x:c r="P1411" s="22" t="n">
        <x:f>IF(T1411="Ready",MIN(U1411,MAX(0,G1411-SUMIFS($U$1407:$U$1411,$O$1407:$O$1411,"&lt;"&amp;O1411))),"n.a.")</x:f>
        <x:v>0</x:v>
      </x:c>
      <x:c r="Q1411" s="22" t="n">
        <x:f>IF(T1411="Ready",ROUND(N1411+P1411,2),"n.a.")</x:f>
        <x:v>0</x:v>
      </x:c>
      <x:c r="R1411" s="22" t="n">
        <x:f>IF(T1411="Ready",ROUND(Q1411-M1411,2),"n.a.")</x:f>
        <x:v>0</x:v>
      </x:c>
      <x:c r="S1411" s="22" t="n">
        <x:f>IF(T1411="Ready",MAX(0,ROUND(I1411+M1411-Q1411,2)),"n.a.")</x:f>
        <x:v>0</x:v>
      </x:c>
      <x:c r="T1411" s="22" t="str">
        <x:f>IF(AND(COUNT($I$1407:$I$1411)=5,COUNT(E1411:F1411)=2),IF(E1411&gt;=F1411,"Ready","Budget below minima"),"Check inputs")</x:f>
        <x:v>Ready</x:v>
      </x:c>
      <x:c r="U1411" s="22" t="n">
        <x:f>IF(COUNT(I1411,M1411,N1411)=3,MAX(0,ROUND(I1411+M1411-N1411,2)),"n.a.")</x:f>
        <x:v>0</x:v>
      </x:c>
    </x:row>
    <x:row r="1412" ht="22" customHeight="1">
      <x:c r="A1412" s="2"/>
      <x:c r="B1412" s="2"/>
      <x:c r="C1412" s="27" t="n">
        <x:f>282</x:f>
        <x:v>282</x:v>
      </x:c>
      <x:c r="D1412" s="28" t="n">
        <x:f>IF(ISNUMBER('Inputs'!$D$7),EDATE('Inputs'!$D$7,281),"n.a.")</x:f>
        <x:v>54879</x:v>
      </x:c>
      <x:c r="E1412" s="26" t="n">
        <x:f>IF('Inputs'!$D$9&lt;&gt;"Ready","n.a.",IF(ISNUMBER('Inputs'!E300),IF('Inputs'!E300&gt;=0,'Inputs'!E300,"n.a."),IF('Inputs'!E300="",'Inputs'!$D$6,"n.a.")))</x:f>
        <x:v>500</x:v>
      </x:c>
      <x:c r="F1412" s="22" t="n">
        <x:f>IF(COUNT($N$1412:$N$1416)=5,SUM($N$1412:$N$1416),"n.a.")</x:f>
        <x:v>0</x:v>
      </x:c>
      <x:c r="G1412" s="22" t="n">
        <x:f>IF(COUNT(E1412:F1412)=2,MAX(0,E1412-F1412),"n.a.")</x:f>
        <x:v>500</x:v>
      </x:c>
      <x:c r="H1412" s="26" t="str">
        <x:f>'Inputs'!C11</x:f>
        <x:v>Card A</x:v>
      </x:c>
      <x:c r="I1412" s="26" t="n">
        <x:f>S1407</x:f>
        <x:v>0</x:v>
      </x:c>
      <x:c r="J1412" s="29" t="n">
        <x:f>IF('Inputs'!$D$9="Ready",'Inputs'!E11,"n.a.")</x:f>
        <x:v>0.24</x:v>
      </x:c>
      <x:c r="K1412" s="26" t="n">
        <x:f>IF('Inputs'!$D$9="Ready",'Inputs'!F11,"n.a.")</x:f>
        <x:v>35</x:v>
      </x:c>
      <x:c r="L1412" s="29" t="n">
        <x:f>IF('Inputs'!$D$9="Ready",'Inputs'!G11,"n.a.")</x:f>
        <x:v>0.02</x:v>
      </x:c>
      <x:c r="M1412" s="22" t="n">
        <x:f>IF(COUNT(I1412:L1412)=4,ROUND(I1412*J1412/12,2),"n.a.")</x:f>
        <x:v>0</x:v>
      </x:c>
      <x:c r="N1412" s="22" t="n">
        <x:f>IF(COUNT(I1412:M1412)=5,MIN(I1412+M1412,ROUND(MAX(K1412,I1412*L1412+M1412),2)),"n.a.")</x:f>
        <x:v>0</x:v>
      </x:c>
      <x:c r="O1412" s="30" t="n">
        <x:f>IF(COUNT($I$1412:$I$1416)&lt;&gt;5,"n.a.",IF(I1412=0,6,IF('Inputs'!$D$5=1,COUNTIFS($I$1412:$I$1416,"&gt;0",$I$1412:$I$1416,"&lt;"&amp;I1412)+COUNTIFS($I$1412:I1412,I1412),COUNTIFS($I$1412:$I$1416,"&gt;0",$J$1412:$J$1416,"&gt;"&amp;J1412)+COUNTIFS($I$1412:I1412,"&gt;0",$J$1412:J1412,J1412))))</x:f>
        <x:v>6</x:v>
      </x:c>
      <x:c r="P1412" s="22" t="n">
        <x:f>IF(T1412="Ready",MIN(U1412,MAX(0,G1412-SUMIFS($U$1412:$U$1416,$O$1412:$O$1416,"&lt;"&amp;O1412))),"n.a.")</x:f>
        <x:v>0</x:v>
      </x:c>
      <x:c r="Q1412" s="22" t="n">
        <x:f>IF(T1412="Ready",ROUND(N1412+P1412,2),"n.a.")</x:f>
        <x:v>0</x:v>
      </x:c>
      <x:c r="R1412" s="22" t="n">
        <x:f>IF(T1412="Ready",ROUND(Q1412-M1412,2),"n.a.")</x:f>
        <x:v>0</x:v>
      </x:c>
      <x:c r="S1412" s="22" t="n">
        <x:f>IF(T1412="Ready",MAX(0,ROUND(I1412+M1412-Q1412,2)),"n.a.")</x:f>
        <x:v>0</x:v>
      </x:c>
      <x:c r="T1412" s="22" t="str">
        <x:f>IF(AND(COUNT($I$1412:$I$1416)=5,COUNT(E1412:F1412)=2),IF(E1412&gt;=F1412,"Ready","Budget below minima"),"Check inputs")</x:f>
        <x:v>Ready</x:v>
      </x:c>
      <x:c r="U1412" s="22" t="n">
        <x:f>IF(COUNT(I1412,M1412,N1412)=3,MAX(0,ROUND(I1412+M1412-N1412,2)),"n.a.")</x:f>
        <x:v>0</x:v>
      </x:c>
    </x:row>
    <x:row r="1413" ht="22" customHeight="1">
      <x:c r="A1413" s="2"/>
      <x:c r="B1413" s="2"/>
      <x:c r="C1413" s="27" t="n">
        <x:f>282</x:f>
        <x:v>282</x:v>
      </x:c>
      <x:c r="D1413" s="28" t="n">
        <x:f>IF(ISNUMBER('Inputs'!$D$7),EDATE('Inputs'!$D$7,281),"n.a.")</x:f>
        <x:v>54879</x:v>
      </x:c>
      <x:c r="E1413" s="26" t="n">
        <x:f>IF('Inputs'!$D$9&lt;&gt;"Ready","n.a.",IF(ISNUMBER('Inputs'!E300),IF('Inputs'!E300&gt;=0,'Inputs'!E300,"n.a."),IF('Inputs'!E300="",'Inputs'!$D$6,"n.a.")))</x:f>
        <x:v>500</x:v>
      </x:c>
      <x:c r="F1413" s="22" t="n">
        <x:f>IF(COUNT($N$1412:$N$1416)=5,SUM($N$1412:$N$1416),"n.a.")</x:f>
        <x:v>0</x:v>
      </x:c>
      <x:c r="G1413" s="22" t="n">
        <x:f>IF(COUNT(E1413:F1413)=2,MAX(0,E1413-F1413),"n.a.")</x:f>
        <x:v>500</x:v>
      </x:c>
      <x:c r="H1413" s="26" t="str">
        <x:f>'Inputs'!C12</x:f>
        <x:v>Card B</x:v>
      </x:c>
      <x:c r="I1413" s="26" t="n">
        <x:f>S1408</x:f>
        <x:v>0</x:v>
      </x:c>
      <x:c r="J1413" s="29" t="n">
        <x:f>IF('Inputs'!$D$9="Ready",'Inputs'!E12,"n.a.")</x:f>
        <x:v>0.18</x:v>
      </x:c>
      <x:c r="K1413" s="26" t="n">
        <x:f>IF('Inputs'!$D$9="Ready",'Inputs'!F12,"n.a.")</x:f>
        <x:v>60</x:v>
      </x:c>
      <x:c r="L1413" s="29" t="n">
        <x:f>IF('Inputs'!$D$9="Ready",'Inputs'!G12,"n.a.")</x:f>
        <x:v>0.02</x:v>
      </x:c>
      <x:c r="M1413" s="22" t="n">
        <x:f>IF(COUNT(I1413:L1413)=4,ROUND(I1413*J1413/12,2),"n.a.")</x:f>
        <x:v>0</x:v>
      </x:c>
      <x:c r="N1413" s="22" t="n">
        <x:f>IF(COUNT(I1413:M1413)=5,MIN(I1413+M1413,ROUND(MAX(K1413,I1413*L1413+M1413),2)),"n.a.")</x:f>
        <x:v>0</x:v>
      </x:c>
      <x:c r="O1413" s="30" t="n">
        <x:f>IF(COUNT($I$1412:$I$1416)&lt;&gt;5,"n.a.",IF(I1413=0,6,IF('Inputs'!$D$5=1,COUNTIFS($I$1412:$I$1416,"&gt;0",$I$1412:$I$1416,"&lt;"&amp;I1413)+COUNTIFS($I$1412:I1413,I1413),COUNTIFS($I$1412:$I$1416,"&gt;0",$J$1412:$J$1416,"&gt;"&amp;J1413)+COUNTIFS($I$1412:I1413,"&gt;0",$J$1412:J1413,J1413))))</x:f>
        <x:v>6</x:v>
      </x:c>
      <x:c r="P1413" s="22" t="n">
        <x:f>IF(T1413="Ready",MIN(U1413,MAX(0,G1413-SUMIFS($U$1412:$U$1416,$O$1412:$O$1416,"&lt;"&amp;O1413))),"n.a.")</x:f>
        <x:v>0</x:v>
      </x:c>
      <x:c r="Q1413" s="22" t="n">
        <x:f>IF(T1413="Ready",ROUND(N1413+P1413,2),"n.a.")</x:f>
        <x:v>0</x:v>
      </x:c>
      <x:c r="R1413" s="22" t="n">
        <x:f>IF(T1413="Ready",ROUND(Q1413-M1413,2),"n.a.")</x:f>
        <x:v>0</x:v>
      </x:c>
      <x:c r="S1413" s="22" t="n">
        <x:f>IF(T1413="Ready",MAX(0,ROUND(I1413+M1413-Q1413,2)),"n.a.")</x:f>
        <x:v>0</x:v>
      </x:c>
      <x:c r="T1413" s="22" t="str">
        <x:f>IF(AND(COUNT($I$1412:$I$1416)=5,COUNT(E1413:F1413)=2),IF(E1413&gt;=F1413,"Ready","Budget below minima"),"Check inputs")</x:f>
        <x:v>Ready</x:v>
      </x:c>
      <x:c r="U1413" s="22" t="n">
        <x:f>IF(COUNT(I1413,M1413,N1413)=3,MAX(0,ROUND(I1413+M1413-N1413,2)),"n.a.")</x:f>
        <x:v>0</x:v>
      </x:c>
    </x:row>
    <x:row r="1414" ht="22" customHeight="1">
      <x:c r="A1414" s="2"/>
      <x:c r="B1414" s="2"/>
      <x:c r="C1414" s="27" t="n">
        <x:f>282</x:f>
        <x:v>282</x:v>
      </x:c>
      <x:c r="D1414" s="28" t="n">
        <x:f>IF(ISNUMBER('Inputs'!$D$7),EDATE('Inputs'!$D$7,281),"n.a.")</x:f>
        <x:v>54879</x:v>
      </x:c>
      <x:c r="E1414" s="26" t="n">
        <x:f>IF('Inputs'!$D$9&lt;&gt;"Ready","n.a.",IF(ISNUMBER('Inputs'!E300),IF('Inputs'!E300&gt;=0,'Inputs'!E300,"n.a."),IF('Inputs'!E300="",'Inputs'!$D$6,"n.a.")))</x:f>
        <x:v>500</x:v>
      </x:c>
      <x:c r="F1414" s="22" t="n">
        <x:f>IF(COUNT($N$1412:$N$1416)=5,SUM($N$1412:$N$1416),"n.a.")</x:f>
        <x:v>0</x:v>
      </x:c>
      <x:c r="G1414" s="22" t="n">
        <x:f>IF(COUNT(E1414:F1414)=2,MAX(0,E1414-F1414),"n.a.")</x:f>
        <x:v>500</x:v>
      </x:c>
      <x:c r="H1414" s="26" t="str">
        <x:f>'Inputs'!C13</x:f>
        <x:v>Loan C</x:v>
      </x:c>
      <x:c r="I1414" s="26" t="n">
        <x:f>S1409</x:f>
        <x:v>0</x:v>
      </x:c>
      <x:c r="J1414" s="29" t="n">
        <x:f>IF('Inputs'!$D$9="Ready",'Inputs'!E13,"n.a.")</x:f>
        <x:v>0.08</x:v>
      </x:c>
      <x:c r="K1414" s="26" t="n">
        <x:f>IF('Inputs'!$D$9="Ready",'Inputs'!F13,"n.a.")</x:f>
        <x:v>150</x:v>
      </x:c>
      <x:c r="L1414" s="29" t="n">
        <x:f>IF('Inputs'!$D$9="Ready",'Inputs'!G13,"n.a.")</x:f>
        <x:v>0</x:v>
      </x:c>
      <x:c r="M1414" s="22" t="n">
        <x:f>IF(COUNT(I1414:L1414)=4,ROUND(I1414*J1414/12,2),"n.a.")</x:f>
        <x:v>0</x:v>
      </x:c>
      <x:c r="N1414" s="22" t="n">
        <x:f>IF(COUNT(I1414:M1414)=5,MIN(I1414+M1414,ROUND(MAX(K1414,I1414*L1414+M1414),2)),"n.a.")</x:f>
        <x:v>0</x:v>
      </x:c>
      <x:c r="O1414" s="30" t="n">
        <x:f>IF(COUNT($I$1412:$I$1416)&lt;&gt;5,"n.a.",IF(I1414=0,6,IF('Inputs'!$D$5=1,COUNTIFS($I$1412:$I$1416,"&gt;0",$I$1412:$I$1416,"&lt;"&amp;I1414)+COUNTIFS($I$1412:I1414,I1414),COUNTIFS($I$1412:$I$1416,"&gt;0",$J$1412:$J$1416,"&gt;"&amp;J1414)+COUNTIFS($I$1412:I1414,"&gt;0",$J$1412:J1414,J1414))))</x:f>
        <x:v>6</x:v>
      </x:c>
      <x:c r="P1414" s="22" t="n">
        <x:f>IF(T1414="Ready",MIN(U1414,MAX(0,G1414-SUMIFS($U$1412:$U$1416,$O$1412:$O$1416,"&lt;"&amp;O1414))),"n.a.")</x:f>
        <x:v>0</x:v>
      </x:c>
      <x:c r="Q1414" s="22" t="n">
        <x:f>IF(T1414="Ready",ROUND(N1414+P1414,2),"n.a.")</x:f>
        <x:v>0</x:v>
      </x:c>
      <x:c r="R1414" s="22" t="n">
        <x:f>IF(T1414="Ready",ROUND(Q1414-M1414,2),"n.a.")</x:f>
        <x:v>0</x:v>
      </x:c>
      <x:c r="S1414" s="22" t="n">
        <x:f>IF(T1414="Ready",MAX(0,ROUND(I1414+M1414-Q1414,2)),"n.a.")</x:f>
        <x:v>0</x:v>
      </x:c>
      <x:c r="T1414" s="22" t="str">
        <x:f>IF(AND(COUNT($I$1412:$I$1416)=5,COUNT(E1414:F1414)=2),IF(E1414&gt;=F1414,"Ready","Budget below minima"),"Check inputs")</x:f>
        <x:v>Ready</x:v>
      </x:c>
      <x:c r="U1414" s="22" t="n">
        <x:f>IF(COUNT(I1414,M1414,N1414)=3,MAX(0,ROUND(I1414+M1414-N1414,2)),"n.a.")</x:f>
        <x:v>0</x:v>
      </x:c>
    </x:row>
    <x:row r="1415" ht="22" customHeight="1">
      <x:c r="A1415" s="2"/>
      <x:c r="B1415" s="2"/>
      <x:c r="C1415" s="27" t="n">
        <x:f>282</x:f>
        <x:v>282</x:v>
      </x:c>
      <x:c r="D1415" s="28" t="n">
        <x:f>IF(ISNUMBER('Inputs'!$D$7),EDATE('Inputs'!$D$7,281),"n.a.")</x:f>
        <x:v>54879</x:v>
      </x:c>
      <x:c r="E1415" s="26" t="n">
        <x:f>IF('Inputs'!$D$9&lt;&gt;"Ready","n.a.",IF(ISNUMBER('Inputs'!E300),IF('Inputs'!E300&gt;=0,'Inputs'!E300,"n.a."),IF('Inputs'!E300="",'Inputs'!$D$6,"n.a.")))</x:f>
        <x:v>500</x:v>
      </x:c>
      <x:c r="F1415" s="22" t="n">
        <x:f>IF(COUNT($N$1412:$N$1416)=5,SUM($N$1412:$N$1416),"n.a.")</x:f>
        <x:v>0</x:v>
      </x:c>
      <x:c r="G1415" s="22" t="n">
        <x:f>IF(COUNT(E1415:F1415)=2,MAX(0,E1415-F1415),"n.a.")</x:f>
        <x:v>500</x:v>
      </x:c>
      <x:c r="H1415" s="26" t="str">
        <x:f>'Inputs'!C14</x:f>
        <x:v>Unused 4</x:v>
      </x:c>
      <x:c r="I1415" s="26" t="n">
        <x:f>S1410</x:f>
        <x:v>0</x:v>
      </x:c>
      <x:c r="J1415" s="29" t="n">
        <x:f>IF('Inputs'!$D$9="Ready",'Inputs'!E14,"n.a.")</x:f>
        <x:v>0</x:v>
      </x:c>
      <x:c r="K1415" s="26" t="n">
        <x:f>IF('Inputs'!$D$9="Ready",'Inputs'!F14,"n.a.")</x:f>
        <x:v>0</x:v>
      </x:c>
      <x:c r="L1415" s="29" t="n">
        <x:f>IF('Inputs'!$D$9="Ready",'Inputs'!G14,"n.a.")</x:f>
        <x:v>0</x:v>
      </x:c>
      <x:c r="M1415" s="22" t="n">
        <x:f>IF(COUNT(I1415:L1415)=4,ROUND(I1415*J1415/12,2),"n.a.")</x:f>
        <x:v>0</x:v>
      </x:c>
      <x:c r="N1415" s="22" t="n">
        <x:f>IF(COUNT(I1415:M1415)=5,MIN(I1415+M1415,ROUND(MAX(K1415,I1415*L1415+M1415),2)),"n.a.")</x:f>
        <x:v>0</x:v>
      </x:c>
      <x:c r="O1415" s="30" t="n">
        <x:f>IF(COUNT($I$1412:$I$1416)&lt;&gt;5,"n.a.",IF(I1415=0,6,IF('Inputs'!$D$5=1,COUNTIFS($I$1412:$I$1416,"&gt;0",$I$1412:$I$1416,"&lt;"&amp;I1415)+COUNTIFS($I$1412:I1415,I1415),COUNTIFS($I$1412:$I$1416,"&gt;0",$J$1412:$J$1416,"&gt;"&amp;J1415)+COUNTIFS($I$1412:I1415,"&gt;0",$J$1412:J1415,J1415))))</x:f>
        <x:v>6</x:v>
      </x:c>
      <x:c r="P1415" s="22" t="n">
        <x:f>IF(T1415="Ready",MIN(U1415,MAX(0,G1415-SUMIFS($U$1412:$U$1416,$O$1412:$O$1416,"&lt;"&amp;O1415))),"n.a.")</x:f>
        <x:v>0</x:v>
      </x:c>
      <x:c r="Q1415" s="22" t="n">
        <x:f>IF(T1415="Ready",ROUND(N1415+P1415,2),"n.a.")</x:f>
        <x:v>0</x:v>
      </x:c>
      <x:c r="R1415" s="22" t="n">
        <x:f>IF(T1415="Ready",ROUND(Q1415-M1415,2),"n.a.")</x:f>
        <x:v>0</x:v>
      </x:c>
      <x:c r="S1415" s="22" t="n">
        <x:f>IF(T1415="Ready",MAX(0,ROUND(I1415+M1415-Q1415,2)),"n.a.")</x:f>
        <x:v>0</x:v>
      </x:c>
      <x:c r="T1415" s="22" t="str">
        <x:f>IF(AND(COUNT($I$1412:$I$1416)=5,COUNT(E1415:F1415)=2),IF(E1415&gt;=F1415,"Ready","Budget below minima"),"Check inputs")</x:f>
        <x:v>Ready</x:v>
      </x:c>
      <x:c r="U1415" s="22" t="n">
        <x:f>IF(COUNT(I1415,M1415,N1415)=3,MAX(0,ROUND(I1415+M1415-N1415,2)),"n.a.")</x:f>
        <x:v>0</x:v>
      </x:c>
    </x:row>
    <x:row r="1416" ht="22" customHeight="1">
      <x:c r="A1416" s="2"/>
      <x:c r="B1416" s="2"/>
      <x:c r="C1416" s="27" t="n">
        <x:f>282</x:f>
        <x:v>282</x:v>
      </x:c>
      <x:c r="D1416" s="28" t="n">
        <x:f>IF(ISNUMBER('Inputs'!$D$7),EDATE('Inputs'!$D$7,281),"n.a.")</x:f>
        <x:v>54879</x:v>
      </x:c>
      <x:c r="E1416" s="26" t="n">
        <x:f>IF('Inputs'!$D$9&lt;&gt;"Ready","n.a.",IF(ISNUMBER('Inputs'!E300),IF('Inputs'!E300&gt;=0,'Inputs'!E300,"n.a."),IF('Inputs'!E300="",'Inputs'!$D$6,"n.a.")))</x:f>
        <x:v>500</x:v>
      </x:c>
      <x:c r="F1416" s="22" t="n">
        <x:f>IF(COUNT($N$1412:$N$1416)=5,SUM($N$1412:$N$1416),"n.a.")</x:f>
        <x:v>0</x:v>
      </x:c>
      <x:c r="G1416" s="22" t="n">
        <x:f>IF(COUNT(E1416:F1416)=2,MAX(0,E1416-F1416),"n.a.")</x:f>
        <x:v>500</x:v>
      </x:c>
      <x:c r="H1416" s="26" t="str">
        <x:f>'Inputs'!C15</x:f>
        <x:v>Unused 5</x:v>
      </x:c>
      <x:c r="I1416" s="26" t="n">
        <x:f>S1411</x:f>
        <x:v>0</x:v>
      </x:c>
      <x:c r="J1416" s="29" t="n">
        <x:f>IF('Inputs'!$D$9="Ready",'Inputs'!E15,"n.a.")</x:f>
        <x:v>0</x:v>
      </x:c>
      <x:c r="K1416" s="26" t="n">
        <x:f>IF('Inputs'!$D$9="Ready",'Inputs'!F15,"n.a.")</x:f>
        <x:v>0</x:v>
      </x:c>
      <x:c r="L1416" s="29" t="n">
        <x:f>IF('Inputs'!$D$9="Ready",'Inputs'!G15,"n.a.")</x:f>
        <x:v>0</x:v>
      </x:c>
      <x:c r="M1416" s="22" t="n">
        <x:f>IF(COUNT(I1416:L1416)=4,ROUND(I1416*J1416/12,2),"n.a.")</x:f>
        <x:v>0</x:v>
      </x:c>
      <x:c r="N1416" s="22" t="n">
        <x:f>IF(COUNT(I1416:M1416)=5,MIN(I1416+M1416,ROUND(MAX(K1416,I1416*L1416+M1416),2)),"n.a.")</x:f>
        <x:v>0</x:v>
      </x:c>
      <x:c r="O1416" s="30" t="n">
        <x:f>IF(COUNT($I$1412:$I$1416)&lt;&gt;5,"n.a.",IF(I1416=0,6,IF('Inputs'!$D$5=1,COUNTIFS($I$1412:$I$1416,"&gt;0",$I$1412:$I$1416,"&lt;"&amp;I1416)+COUNTIFS($I$1412:I1416,I1416),COUNTIFS($I$1412:$I$1416,"&gt;0",$J$1412:$J$1416,"&gt;"&amp;J1416)+COUNTIFS($I$1412:I1416,"&gt;0",$J$1412:J1416,J1416))))</x:f>
        <x:v>6</x:v>
      </x:c>
      <x:c r="P1416" s="22" t="n">
        <x:f>IF(T1416="Ready",MIN(U1416,MAX(0,G1416-SUMIFS($U$1412:$U$1416,$O$1412:$O$1416,"&lt;"&amp;O1416))),"n.a.")</x:f>
        <x:v>0</x:v>
      </x:c>
      <x:c r="Q1416" s="22" t="n">
        <x:f>IF(T1416="Ready",ROUND(N1416+P1416,2),"n.a.")</x:f>
        <x:v>0</x:v>
      </x:c>
      <x:c r="R1416" s="22" t="n">
        <x:f>IF(T1416="Ready",ROUND(Q1416-M1416,2),"n.a.")</x:f>
        <x:v>0</x:v>
      </x:c>
      <x:c r="S1416" s="22" t="n">
        <x:f>IF(T1416="Ready",MAX(0,ROUND(I1416+M1416-Q1416,2)),"n.a.")</x:f>
        <x:v>0</x:v>
      </x:c>
      <x:c r="T1416" s="22" t="str">
        <x:f>IF(AND(COUNT($I$1412:$I$1416)=5,COUNT(E1416:F1416)=2),IF(E1416&gt;=F1416,"Ready","Budget below minima"),"Check inputs")</x:f>
        <x:v>Ready</x:v>
      </x:c>
      <x:c r="U1416" s="22" t="n">
        <x:f>IF(COUNT(I1416,M1416,N1416)=3,MAX(0,ROUND(I1416+M1416-N1416,2)),"n.a.")</x:f>
        <x:v>0</x:v>
      </x:c>
    </x:row>
    <x:row r="1417" ht="22" customHeight="1">
      <x:c r="A1417" s="2"/>
      <x:c r="B1417" s="2"/>
      <x:c r="C1417" s="27" t="n">
        <x:f>283</x:f>
        <x:v>283</x:v>
      </x:c>
      <x:c r="D1417" s="28" t="n">
        <x:f>IF(ISNUMBER('Inputs'!$D$7),EDATE('Inputs'!$D$7,282),"n.a.")</x:f>
        <x:v>54909</x:v>
      </x:c>
      <x:c r="E1417" s="26" t="n">
        <x:f>IF('Inputs'!$D$9&lt;&gt;"Ready","n.a.",IF(ISNUMBER('Inputs'!E301),IF('Inputs'!E301&gt;=0,'Inputs'!E301,"n.a."),IF('Inputs'!E301="",'Inputs'!$D$6,"n.a.")))</x:f>
        <x:v>500</x:v>
      </x:c>
      <x:c r="F1417" s="22" t="n">
        <x:f>IF(COUNT($N$1417:$N$1421)=5,SUM($N$1417:$N$1421),"n.a.")</x:f>
        <x:v>0</x:v>
      </x:c>
      <x:c r="G1417" s="22" t="n">
        <x:f>IF(COUNT(E1417:F1417)=2,MAX(0,E1417-F1417),"n.a.")</x:f>
        <x:v>500</x:v>
      </x:c>
      <x:c r="H1417" s="26" t="str">
        <x:f>'Inputs'!C11</x:f>
        <x:v>Card A</x:v>
      </x:c>
      <x:c r="I1417" s="26" t="n">
        <x:f>S1412</x:f>
        <x:v>0</x:v>
      </x:c>
      <x:c r="J1417" s="29" t="n">
        <x:f>IF('Inputs'!$D$9="Ready",'Inputs'!E11,"n.a.")</x:f>
        <x:v>0.24</x:v>
      </x:c>
      <x:c r="K1417" s="26" t="n">
        <x:f>IF('Inputs'!$D$9="Ready",'Inputs'!F11,"n.a.")</x:f>
        <x:v>35</x:v>
      </x:c>
      <x:c r="L1417" s="29" t="n">
        <x:f>IF('Inputs'!$D$9="Ready",'Inputs'!G11,"n.a.")</x:f>
        <x:v>0.02</x:v>
      </x:c>
      <x:c r="M1417" s="22" t="n">
        <x:f>IF(COUNT(I1417:L1417)=4,ROUND(I1417*J1417/12,2),"n.a.")</x:f>
        <x:v>0</x:v>
      </x:c>
      <x:c r="N1417" s="22" t="n">
        <x:f>IF(COUNT(I1417:M1417)=5,MIN(I1417+M1417,ROUND(MAX(K1417,I1417*L1417+M1417),2)),"n.a.")</x:f>
        <x:v>0</x:v>
      </x:c>
      <x:c r="O1417" s="30" t="n">
        <x:f>IF(COUNT($I$1417:$I$1421)&lt;&gt;5,"n.a.",IF(I1417=0,6,IF('Inputs'!$D$5=1,COUNTIFS($I$1417:$I$1421,"&gt;0",$I$1417:$I$1421,"&lt;"&amp;I1417)+COUNTIFS($I$1417:I1417,I1417),COUNTIFS($I$1417:$I$1421,"&gt;0",$J$1417:$J$1421,"&gt;"&amp;J1417)+COUNTIFS($I$1417:I1417,"&gt;0",$J$1417:J1417,J1417))))</x:f>
        <x:v>6</x:v>
      </x:c>
      <x:c r="P1417" s="22" t="n">
        <x:f>IF(T1417="Ready",MIN(U1417,MAX(0,G1417-SUMIFS($U$1417:$U$1421,$O$1417:$O$1421,"&lt;"&amp;O1417))),"n.a.")</x:f>
        <x:v>0</x:v>
      </x:c>
      <x:c r="Q1417" s="22" t="n">
        <x:f>IF(T1417="Ready",ROUND(N1417+P1417,2),"n.a.")</x:f>
        <x:v>0</x:v>
      </x:c>
      <x:c r="R1417" s="22" t="n">
        <x:f>IF(T1417="Ready",ROUND(Q1417-M1417,2),"n.a.")</x:f>
        <x:v>0</x:v>
      </x:c>
      <x:c r="S1417" s="22" t="n">
        <x:f>IF(T1417="Ready",MAX(0,ROUND(I1417+M1417-Q1417,2)),"n.a.")</x:f>
        <x:v>0</x:v>
      </x:c>
      <x:c r="T1417" s="22" t="str">
        <x:f>IF(AND(COUNT($I$1417:$I$1421)=5,COUNT(E1417:F1417)=2),IF(E1417&gt;=F1417,"Ready","Budget below minima"),"Check inputs")</x:f>
        <x:v>Ready</x:v>
      </x:c>
      <x:c r="U1417" s="22" t="n">
        <x:f>IF(COUNT(I1417,M1417,N1417)=3,MAX(0,ROUND(I1417+M1417-N1417,2)),"n.a.")</x:f>
        <x:v>0</x:v>
      </x:c>
    </x:row>
    <x:row r="1418" ht="22" customHeight="1">
      <x:c r="A1418" s="2"/>
      <x:c r="B1418" s="2"/>
      <x:c r="C1418" s="27" t="n">
        <x:f>283</x:f>
        <x:v>283</x:v>
      </x:c>
      <x:c r="D1418" s="28" t="n">
        <x:f>IF(ISNUMBER('Inputs'!$D$7),EDATE('Inputs'!$D$7,282),"n.a.")</x:f>
        <x:v>54909</x:v>
      </x:c>
      <x:c r="E1418" s="26" t="n">
        <x:f>IF('Inputs'!$D$9&lt;&gt;"Ready","n.a.",IF(ISNUMBER('Inputs'!E301),IF('Inputs'!E301&gt;=0,'Inputs'!E301,"n.a."),IF('Inputs'!E301="",'Inputs'!$D$6,"n.a.")))</x:f>
        <x:v>500</x:v>
      </x:c>
      <x:c r="F1418" s="22" t="n">
        <x:f>IF(COUNT($N$1417:$N$1421)=5,SUM($N$1417:$N$1421),"n.a.")</x:f>
        <x:v>0</x:v>
      </x:c>
      <x:c r="G1418" s="22" t="n">
        <x:f>IF(COUNT(E1418:F1418)=2,MAX(0,E1418-F1418),"n.a.")</x:f>
        <x:v>500</x:v>
      </x:c>
      <x:c r="H1418" s="26" t="str">
        <x:f>'Inputs'!C12</x:f>
        <x:v>Card B</x:v>
      </x:c>
      <x:c r="I1418" s="26" t="n">
        <x:f>S1413</x:f>
        <x:v>0</x:v>
      </x:c>
      <x:c r="J1418" s="29" t="n">
        <x:f>IF('Inputs'!$D$9="Ready",'Inputs'!E12,"n.a.")</x:f>
        <x:v>0.18</x:v>
      </x:c>
      <x:c r="K1418" s="26" t="n">
        <x:f>IF('Inputs'!$D$9="Ready",'Inputs'!F12,"n.a.")</x:f>
        <x:v>60</x:v>
      </x:c>
      <x:c r="L1418" s="29" t="n">
        <x:f>IF('Inputs'!$D$9="Ready",'Inputs'!G12,"n.a.")</x:f>
        <x:v>0.02</x:v>
      </x:c>
      <x:c r="M1418" s="22" t="n">
        <x:f>IF(COUNT(I1418:L1418)=4,ROUND(I1418*J1418/12,2),"n.a.")</x:f>
        <x:v>0</x:v>
      </x:c>
      <x:c r="N1418" s="22" t="n">
        <x:f>IF(COUNT(I1418:M1418)=5,MIN(I1418+M1418,ROUND(MAX(K1418,I1418*L1418+M1418),2)),"n.a.")</x:f>
        <x:v>0</x:v>
      </x:c>
      <x:c r="O1418" s="30" t="n">
        <x:f>IF(COUNT($I$1417:$I$1421)&lt;&gt;5,"n.a.",IF(I1418=0,6,IF('Inputs'!$D$5=1,COUNTIFS($I$1417:$I$1421,"&gt;0",$I$1417:$I$1421,"&lt;"&amp;I1418)+COUNTIFS($I$1417:I1418,I1418),COUNTIFS($I$1417:$I$1421,"&gt;0",$J$1417:$J$1421,"&gt;"&amp;J1418)+COUNTIFS($I$1417:I1418,"&gt;0",$J$1417:J1418,J1418))))</x:f>
        <x:v>6</x:v>
      </x:c>
      <x:c r="P1418" s="22" t="n">
        <x:f>IF(T1418="Ready",MIN(U1418,MAX(0,G1418-SUMIFS($U$1417:$U$1421,$O$1417:$O$1421,"&lt;"&amp;O1418))),"n.a.")</x:f>
        <x:v>0</x:v>
      </x:c>
      <x:c r="Q1418" s="22" t="n">
        <x:f>IF(T1418="Ready",ROUND(N1418+P1418,2),"n.a.")</x:f>
        <x:v>0</x:v>
      </x:c>
      <x:c r="R1418" s="22" t="n">
        <x:f>IF(T1418="Ready",ROUND(Q1418-M1418,2),"n.a.")</x:f>
        <x:v>0</x:v>
      </x:c>
      <x:c r="S1418" s="22" t="n">
        <x:f>IF(T1418="Ready",MAX(0,ROUND(I1418+M1418-Q1418,2)),"n.a.")</x:f>
        <x:v>0</x:v>
      </x:c>
      <x:c r="T1418" s="22" t="str">
        <x:f>IF(AND(COUNT($I$1417:$I$1421)=5,COUNT(E1418:F1418)=2),IF(E1418&gt;=F1418,"Ready","Budget below minima"),"Check inputs")</x:f>
        <x:v>Ready</x:v>
      </x:c>
      <x:c r="U1418" s="22" t="n">
        <x:f>IF(COUNT(I1418,M1418,N1418)=3,MAX(0,ROUND(I1418+M1418-N1418,2)),"n.a.")</x:f>
        <x:v>0</x:v>
      </x:c>
    </x:row>
    <x:row r="1419" ht="22" customHeight="1">
      <x:c r="A1419" s="2"/>
      <x:c r="B1419" s="2"/>
      <x:c r="C1419" s="27" t="n">
        <x:f>283</x:f>
        <x:v>283</x:v>
      </x:c>
      <x:c r="D1419" s="28" t="n">
        <x:f>IF(ISNUMBER('Inputs'!$D$7),EDATE('Inputs'!$D$7,282),"n.a.")</x:f>
        <x:v>54909</x:v>
      </x:c>
      <x:c r="E1419" s="26" t="n">
        <x:f>IF('Inputs'!$D$9&lt;&gt;"Ready","n.a.",IF(ISNUMBER('Inputs'!E301),IF('Inputs'!E301&gt;=0,'Inputs'!E301,"n.a."),IF('Inputs'!E301="",'Inputs'!$D$6,"n.a.")))</x:f>
        <x:v>500</x:v>
      </x:c>
      <x:c r="F1419" s="22" t="n">
        <x:f>IF(COUNT($N$1417:$N$1421)=5,SUM($N$1417:$N$1421),"n.a.")</x:f>
        <x:v>0</x:v>
      </x:c>
      <x:c r="G1419" s="22" t="n">
        <x:f>IF(COUNT(E1419:F1419)=2,MAX(0,E1419-F1419),"n.a.")</x:f>
        <x:v>500</x:v>
      </x:c>
      <x:c r="H1419" s="26" t="str">
        <x:f>'Inputs'!C13</x:f>
        <x:v>Loan C</x:v>
      </x:c>
      <x:c r="I1419" s="26" t="n">
        <x:f>S1414</x:f>
        <x:v>0</x:v>
      </x:c>
      <x:c r="J1419" s="29" t="n">
        <x:f>IF('Inputs'!$D$9="Ready",'Inputs'!E13,"n.a.")</x:f>
        <x:v>0.08</x:v>
      </x:c>
      <x:c r="K1419" s="26" t="n">
        <x:f>IF('Inputs'!$D$9="Ready",'Inputs'!F13,"n.a.")</x:f>
        <x:v>150</x:v>
      </x:c>
      <x:c r="L1419" s="29" t="n">
        <x:f>IF('Inputs'!$D$9="Ready",'Inputs'!G13,"n.a.")</x:f>
        <x:v>0</x:v>
      </x:c>
      <x:c r="M1419" s="22" t="n">
        <x:f>IF(COUNT(I1419:L1419)=4,ROUND(I1419*J1419/12,2),"n.a.")</x:f>
        <x:v>0</x:v>
      </x:c>
      <x:c r="N1419" s="22" t="n">
        <x:f>IF(COUNT(I1419:M1419)=5,MIN(I1419+M1419,ROUND(MAX(K1419,I1419*L1419+M1419),2)),"n.a.")</x:f>
        <x:v>0</x:v>
      </x:c>
      <x:c r="O1419" s="30" t="n">
        <x:f>IF(COUNT($I$1417:$I$1421)&lt;&gt;5,"n.a.",IF(I1419=0,6,IF('Inputs'!$D$5=1,COUNTIFS($I$1417:$I$1421,"&gt;0",$I$1417:$I$1421,"&lt;"&amp;I1419)+COUNTIFS($I$1417:I1419,I1419),COUNTIFS($I$1417:$I$1421,"&gt;0",$J$1417:$J$1421,"&gt;"&amp;J1419)+COUNTIFS($I$1417:I1419,"&gt;0",$J$1417:J1419,J1419))))</x:f>
        <x:v>6</x:v>
      </x:c>
      <x:c r="P1419" s="22" t="n">
        <x:f>IF(T1419="Ready",MIN(U1419,MAX(0,G1419-SUMIFS($U$1417:$U$1421,$O$1417:$O$1421,"&lt;"&amp;O1419))),"n.a.")</x:f>
        <x:v>0</x:v>
      </x:c>
      <x:c r="Q1419" s="22" t="n">
        <x:f>IF(T1419="Ready",ROUND(N1419+P1419,2),"n.a.")</x:f>
        <x:v>0</x:v>
      </x:c>
      <x:c r="R1419" s="22" t="n">
        <x:f>IF(T1419="Ready",ROUND(Q1419-M1419,2),"n.a.")</x:f>
        <x:v>0</x:v>
      </x:c>
      <x:c r="S1419" s="22" t="n">
        <x:f>IF(T1419="Ready",MAX(0,ROUND(I1419+M1419-Q1419,2)),"n.a.")</x:f>
        <x:v>0</x:v>
      </x:c>
      <x:c r="T1419" s="22" t="str">
        <x:f>IF(AND(COUNT($I$1417:$I$1421)=5,COUNT(E1419:F1419)=2),IF(E1419&gt;=F1419,"Ready","Budget below minima"),"Check inputs")</x:f>
        <x:v>Ready</x:v>
      </x:c>
      <x:c r="U1419" s="22" t="n">
        <x:f>IF(COUNT(I1419,M1419,N1419)=3,MAX(0,ROUND(I1419+M1419-N1419,2)),"n.a.")</x:f>
        <x:v>0</x:v>
      </x:c>
    </x:row>
    <x:row r="1420" ht="22" customHeight="1">
      <x:c r="A1420" s="2"/>
      <x:c r="B1420" s="2"/>
      <x:c r="C1420" s="27" t="n">
        <x:f>283</x:f>
        <x:v>283</x:v>
      </x:c>
      <x:c r="D1420" s="28" t="n">
        <x:f>IF(ISNUMBER('Inputs'!$D$7),EDATE('Inputs'!$D$7,282),"n.a.")</x:f>
        <x:v>54909</x:v>
      </x:c>
      <x:c r="E1420" s="26" t="n">
        <x:f>IF('Inputs'!$D$9&lt;&gt;"Ready","n.a.",IF(ISNUMBER('Inputs'!E301),IF('Inputs'!E301&gt;=0,'Inputs'!E301,"n.a."),IF('Inputs'!E301="",'Inputs'!$D$6,"n.a.")))</x:f>
        <x:v>500</x:v>
      </x:c>
      <x:c r="F1420" s="22" t="n">
        <x:f>IF(COUNT($N$1417:$N$1421)=5,SUM($N$1417:$N$1421),"n.a.")</x:f>
        <x:v>0</x:v>
      </x:c>
      <x:c r="G1420" s="22" t="n">
        <x:f>IF(COUNT(E1420:F1420)=2,MAX(0,E1420-F1420),"n.a.")</x:f>
        <x:v>500</x:v>
      </x:c>
      <x:c r="H1420" s="26" t="str">
        <x:f>'Inputs'!C14</x:f>
        <x:v>Unused 4</x:v>
      </x:c>
      <x:c r="I1420" s="26" t="n">
        <x:f>S1415</x:f>
        <x:v>0</x:v>
      </x:c>
      <x:c r="J1420" s="29" t="n">
        <x:f>IF('Inputs'!$D$9="Ready",'Inputs'!E14,"n.a.")</x:f>
        <x:v>0</x:v>
      </x:c>
      <x:c r="K1420" s="26" t="n">
        <x:f>IF('Inputs'!$D$9="Ready",'Inputs'!F14,"n.a.")</x:f>
        <x:v>0</x:v>
      </x:c>
      <x:c r="L1420" s="29" t="n">
        <x:f>IF('Inputs'!$D$9="Ready",'Inputs'!G14,"n.a.")</x:f>
        <x:v>0</x:v>
      </x:c>
      <x:c r="M1420" s="22" t="n">
        <x:f>IF(COUNT(I1420:L1420)=4,ROUND(I1420*J1420/12,2),"n.a.")</x:f>
        <x:v>0</x:v>
      </x:c>
      <x:c r="N1420" s="22" t="n">
        <x:f>IF(COUNT(I1420:M1420)=5,MIN(I1420+M1420,ROUND(MAX(K1420,I1420*L1420+M1420),2)),"n.a.")</x:f>
        <x:v>0</x:v>
      </x:c>
      <x:c r="O1420" s="30" t="n">
        <x:f>IF(COUNT($I$1417:$I$1421)&lt;&gt;5,"n.a.",IF(I1420=0,6,IF('Inputs'!$D$5=1,COUNTIFS($I$1417:$I$1421,"&gt;0",$I$1417:$I$1421,"&lt;"&amp;I1420)+COUNTIFS($I$1417:I1420,I1420),COUNTIFS($I$1417:$I$1421,"&gt;0",$J$1417:$J$1421,"&gt;"&amp;J1420)+COUNTIFS($I$1417:I1420,"&gt;0",$J$1417:J1420,J1420))))</x:f>
        <x:v>6</x:v>
      </x:c>
      <x:c r="P1420" s="22" t="n">
        <x:f>IF(T1420="Ready",MIN(U1420,MAX(0,G1420-SUMIFS($U$1417:$U$1421,$O$1417:$O$1421,"&lt;"&amp;O1420))),"n.a.")</x:f>
        <x:v>0</x:v>
      </x:c>
      <x:c r="Q1420" s="22" t="n">
        <x:f>IF(T1420="Ready",ROUND(N1420+P1420,2),"n.a.")</x:f>
        <x:v>0</x:v>
      </x:c>
      <x:c r="R1420" s="22" t="n">
        <x:f>IF(T1420="Ready",ROUND(Q1420-M1420,2),"n.a.")</x:f>
        <x:v>0</x:v>
      </x:c>
      <x:c r="S1420" s="22" t="n">
        <x:f>IF(T1420="Ready",MAX(0,ROUND(I1420+M1420-Q1420,2)),"n.a.")</x:f>
        <x:v>0</x:v>
      </x:c>
      <x:c r="T1420" s="22" t="str">
        <x:f>IF(AND(COUNT($I$1417:$I$1421)=5,COUNT(E1420:F1420)=2),IF(E1420&gt;=F1420,"Ready","Budget below minima"),"Check inputs")</x:f>
        <x:v>Ready</x:v>
      </x:c>
      <x:c r="U1420" s="22" t="n">
        <x:f>IF(COUNT(I1420,M1420,N1420)=3,MAX(0,ROUND(I1420+M1420-N1420,2)),"n.a.")</x:f>
        <x:v>0</x:v>
      </x:c>
    </x:row>
    <x:row r="1421" ht="22" customHeight="1">
      <x:c r="A1421" s="2"/>
      <x:c r="B1421" s="2"/>
      <x:c r="C1421" s="27" t="n">
        <x:f>283</x:f>
        <x:v>283</x:v>
      </x:c>
      <x:c r="D1421" s="28" t="n">
        <x:f>IF(ISNUMBER('Inputs'!$D$7),EDATE('Inputs'!$D$7,282),"n.a.")</x:f>
        <x:v>54909</x:v>
      </x:c>
      <x:c r="E1421" s="26" t="n">
        <x:f>IF('Inputs'!$D$9&lt;&gt;"Ready","n.a.",IF(ISNUMBER('Inputs'!E301),IF('Inputs'!E301&gt;=0,'Inputs'!E301,"n.a."),IF('Inputs'!E301="",'Inputs'!$D$6,"n.a.")))</x:f>
        <x:v>500</x:v>
      </x:c>
      <x:c r="F1421" s="22" t="n">
        <x:f>IF(COUNT($N$1417:$N$1421)=5,SUM($N$1417:$N$1421),"n.a.")</x:f>
        <x:v>0</x:v>
      </x:c>
      <x:c r="G1421" s="22" t="n">
        <x:f>IF(COUNT(E1421:F1421)=2,MAX(0,E1421-F1421),"n.a.")</x:f>
        <x:v>500</x:v>
      </x:c>
      <x:c r="H1421" s="26" t="str">
        <x:f>'Inputs'!C15</x:f>
        <x:v>Unused 5</x:v>
      </x:c>
      <x:c r="I1421" s="26" t="n">
        <x:f>S1416</x:f>
        <x:v>0</x:v>
      </x:c>
      <x:c r="J1421" s="29" t="n">
        <x:f>IF('Inputs'!$D$9="Ready",'Inputs'!E15,"n.a.")</x:f>
        <x:v>0</x:v>
      </x:c>
      <x:c r="K1421" s="26" t="n">
        <x:f>IF('Inputs'!$D$9="Ready",'Inputs'!F15,"n.a.")</x:f>
        <x:v>0</x:v>
      </x:c>
      <x:c r="L1421" s="29" t="n">
        <x:f>IF('Inputs'!$D$9="Ready",'Inputs'!G15,"n.a.")</x:f>
        <x:v>0</x:v>
      </x:c>
      <x:c r="M1421" s="22" t="n">
        <x:f>IF(COUNT(I1421:L1421)=4,ROUND(I1421*J1421/12,2),"n.a.")</x:f>
        <x:v>0</x:v>
      </x:c>
      <x:c r="N1421" s="22" t="n">
        <x:f>IF(COUNT(I1421:M1421)=5,MIN(I1421+M1421,ROUND(MAX(K1421,I1421*L1421+M1421),2)),"n.a.")</x:f>
        <x:v>0</x:v>
      </x:c>
      <x:c r="O1421" s="30" t="n">
        <x:f>IF(COUNT($I$1417:$I$1421)&lt;&gt;5,"n.a.",IF(I1421=0,6,IF('Inputs'!$D$5=1,COUNTIFS($I$1417:$I$1421,"&gt;0",$I$1417:$I$1421,"&lt;"&amp;I1421)+COUNTIFS($I$1417:I1421,I1421),COUNTIFS($I$1417:$I$1421,"&gt;0",$J$1417:$J$1421,"&gt;"&amp;J1421)+COUNTIFS($I$1417:I1421,"&gt;0",$J$1417:J1421,J1421))))</x:f>
        <x:v>6</x:v>
      </x:c>
      <x:c r="P1421" s="22" t="n">
        <x:f>IF(T1421="Ready",MIN(U1421,MAX(0,G1421-SUMIFS($U$1417:$U$1421,$O$1417:$O$1421,"&lt;"&amp;O1421))),"n.a.")</x:f>
        <x:v>0</x:v>
      </x:c>
      <x:c r="Q1421" s="22" t="n">
        <x:f>IF(T1421="Ready",ROUND(N1421+P1421,2),"n.a.")</x:f>
        <x:v>0</x:v>
      </x:c>
      <x:c r="R1421" s="22" t="n">
        <x:f>IF(T1421="Ready",ROUND(Q1421-M1421,2),"n.a.")</x:f>
        <x:v>0</x:v>
      </x:c>
      <x:c r="S1421" s="22" t="n">
        <x:f>IF(T1421="Ready",MAX(0,ROUND(I1421+M1421-Q1421,2)),"n.a.")</x:f>
        <x:v>0</x:v>
      </x:c>
      <x:c r="T1421" s="22" t="str">
        <x:f>IF(AND(COUNT($I$1417:$I$1421)=5,COUNT(E1421:F1421)=2),IF(E1421&gt;=F1421,"Ready","Budget below minima"),"Check inputs")</x:f>
        <x:v>Ready</x:v>
      </x:c>
      <x:c r="U1421" s="22" t="n">
        <x:f>IF(COUNT(I1421,M1421,N1421)=3,MAX(0,ROUND(I1421+M1421-N1421,2)),"n.a.")</x:f>
        <x:v>0</x:v>
      </x:c>
    </x:row>
    <x:row r="1422" ht="22" customHeight="1">
      <x:c r="A1422" s="2"/>
      <x:c r="B1422" s="2"/>
      <x:c r="C1422" s="27" t="n">
        <x:f>284</x:f>
        <x:v>284</x:v>
      </x:c>
      <x:c r="D1422" s="28" t="n">
        <x:f>IF(ISNUMBER('Inputs'!$D$7),EDATE('Inputs'!$D$7,283),"n.a.")</x:f>
        <x:v>54940</x:v>
      </x:c>
      <x:c r="E1422" s="26" t="n">
        <x:f>IF('Inputs'!$D$9&lt;&gt;"Ready","n.a.",IF(ISNUMBER('Inputs'!E302),IF('Inputs'!E302&gt;=0,'Inputs'!E302,"n.a."),IF('Inputs'!E302="",'Inputs'!$D$6,"n.a.")))</x:f>
        <x:v>500</x:v>
      </x:c>
      <x:c r="F1422" s="22" t="n">
        <x:f>IF(COUNT($N$1422:$N$1426)=5,SUM($N$1422:$N$1426),"n.a.")</x:f>
        <x:v>0</x:v>
      </x:c>
      <x:c r="G1422" s="22" t="n">
        <x:f>IF(COUNT(E1422:F1422)=2,MAX(0,E1422-F1422),"n.a.")</x:f>
        <x:v>500</x:v>
      </x:c>
      <x:c r="H1422" s="26" t="str">
        <x:f>'Inputs'!C11</x:f>
        <x:v>Card A</x:v>
      </x:c>
      <x:c r="I1422" s="26" t="n">
        <x:f>S1417</x:f>
        <x:v>0</x:v>
      </x:c>
      <x:c r="J1422" s="29" t="n">
        <x:f>IF('Inputs'!$D$9="Ready",'Inputs'!E11,"n.a.")</x:f>
        <x:v>0.24</x:v>
      </x:c>
      <x:c r="K1422" s="26" t="n">
        <x:f>IF('Inputs'!$D$9="Ready",'Inputs'!F11,"n.a.")</x:f>
        <x:v>35</x:v>
      </x:c>
      <x:c r="L1422" s="29" t="n">
        <x:f>IF('Inputs'!$D$9="Ready",'Inputs'!G11,"n.a.")</x:f>
        <x:v>0.02</x:v>
      </x:c>
      <x:c r="M1422" s="22" t="n">
        <x:f>IF(COUNT(I1422:L1422)=4,ROUND(I1422*J1422/12,2),"n.a.")</x:f>
        <x:v>0</x:v>
      </x:c>
      <x:c r="N1422" s="22" t="n">
        <x:f>IF(COUNT(I1422:M1422)=5,MIN(I1422+M1422,ROUND(MAX(K1422,I1422*L1422+M1422),2)),"n.a.")</x:f>
        <x:v>0</x:v>
      </x:c>
      <x:c r="O1422" s="30" t="n">
        <x:f>IF(COUNT($I$1422:$I$1426)&lt;&gt;5,"n.a.",IF(I1422=0,6,IF('Inputs'!$D$5=1,COUNTIFS($I$1422:$I$1426,"&gt;0",$I$1422:$I$1426,"&lt;"&amp;I1422)+COUNTIFS($I$1422:I1422,I1422),COUNTIFS($I$1422:$I$1426,"&gt;0",$J$1422:$J$1426,"&gt;"&amp;J1422)+COUNTIFS($I$1422:I1422,"&gt;0",$J$1422:J1422,J1422))))</x:f>
        <x:v>6</x:v>
      </x:c>
      <x:c r="P1422" s="22" t="n">
        <x:f>IF(T1422="Ready",MIN(U1422,MAX(0,G1422-SUMIFS($U$1422:$U$1426,$O$1422:$O$1426,"&lt;"&amp;O1422))),"n.a.")</x:f>
        <x:v>0</x:v>
      </x:c>
      <x:c r="Q1422" s="22" t="n">
        <x:f>IF(T1422="Ready",ROUND(N1422+P1422,2),"n.a.")</x:f>
        <x:v>0</x:v>
      </x:c>
      <x:c r="R1422" s="22" t="n">
        <x:f>IF(T1422="Ready",ROUND(Q1422-M1422,2),"n.a.")</x:f>
        <x:v>0</x:v>
      </x:c>
      <x:c r="S1422" s="22" t="n">
        <x:f>IF(T1422="Ready",MAX(0,ROUND(I1422+M1422-Q1422,2)),"n.a.")</x:f>
        <x:v>0</x:v>
      </x:c>
      <x:c r="T1422" s="22" t="str">
        <x:f>IF(AND(COUNT($I$1422:$I$1426)=5,COUNT(E1422:F1422)=2),IF(E1422&gt;=F1422,"Ready","Budget below minima"),"Check inputs")</x:f>
        <x:v>Ready</x:v>
      </x:c>
      <x:c r="U1422" s="22" t="n">
        <x:f>IF(COUNT(I1422,M1422,N1422)=3,MAX(0,ROUND(I1422+M1422-N1422,2)),"n.a.")</x:f>
        <x:v>0</x:v>
      </x:c>
    </x:row>
    <x:row r="1423" ht="22" customHeight="1">
      <x:c r="A1423" s="2"/>
      <x:c r="B1423" s="2"/>
      <x:c r="C1423" s="27" t="n">
        <x:f>284</x:f>
        <x:v>284</x:v>
      </x:c>
      <x:c r="D1423" s="28" t="n">
        <x:f>IF(ISNUMBER('Inputs'!$D$7),EDATE('Inputs'!$D$7,283),"n.a.")</x:f>
        <x:v>54940</x:v>
      </x:c>
      <x:c r="E1423" s="26" t="n">
        <x:f>IF('Inputs'!$D$9&lt;&gt;"Ready","n.a.",IF(ISNUMBER('Inputs'!E302),IF('Inputs'!E302&gt;=0,'Inputs'!E302,"n.a."),IF('Inputs'!E302="",'Inputs'!$D$6,"n.a.")))</x:f>
        <x:v>500</x:v>
      </x:c>
      <x:c r="F1423" s="22" t="n">
        <x:f>IF(COUNT($N$1422:$N$1426)=5,SUM($N$1422:$N$1426),"n.a.")</x:f>
        <x:v>0</x:v>
      </x:c>
      <x:c r="G1423" s="22" t="n">
        <x:f>IF(COUNT(E1423:F1423)=2,MAX(0,E1423-F1423),"n.a.")</x:f>
        <x:v>500</x:v>
      </x:c>
      <x:c r="H1423" s="26" t="str">
        <x:f>'Inputs'!C12</x:f>
        <x:v>Card B</x:v>
      </x:c>
      <x:c r="I1423" s="26" t="n">
        <x:f>S1418</x:f>
        <x:v>0</x:v>
      </x:c>
      <x:c r="J1423" s="29" t="n">
        <x:f>IF('Inputs'!$D$9="Ready",'Inputs'!E12,"n.a.")</x:f>
        <x:v>0.18</x:v>
      </x:c>
      <x:c r="K1423" s="26" t="n">
        <x:f>IF('Inputs'!$D$9="Ready",'Inputs'!F12,"n.a.")</x:f>
        <x:v>60</x:v>
      </x:c>
      <x:c r="L1423" s="29" t="n">
        <x:f>IF('Inputs'!$D$9="Ready",'Inputs'!G12,"n.a.")</x:f>
        <x:v>0.02</x:v>
      </x:c>
      <x:c r="M1423" s="22" t="n">
        <x:f>IF(COUNT(I1423:L1423)=4,ROUND(I1423*J1423/12,2),"n.a.")</x:f>
        <x:v>0</x:v>
      </x:c>
      <x:c r="N1423" s="22" t="n">
        <x:f>IF(COUNT(I1423:M1423)=5,MIN(I1423+M1423,ROUND(MAX(K1423,I1423*L1423+M1423),2)),"n.a.")</x:f>
        <x:v>0</x:v>
      </x:c>
      <x:c r="O1423" s="30" t="n">
        <x:f>IF(COUNT($I$1422:$I$1426)&lt;&gt;5,"n.a.",IF(I1423=0,6,IF('Inputs'!$D$5=1,COUNTIFS($I$1422:$I$1426,"&gt;0",$I$1422:$I$1426,"&lt;"&amp;I1423)+COUNTIFS($I$1422:I1423,I1423),COUNTIFS($I$1422:$I$1426,"&gt;0",$J$1422:$J$1426,"&gt;"&amp;J1423)+COUNTIFS($I$1422:I1423,"&gt;0",$J$1422:J1423,J1423))))</x:f>
        <x:v>6</x:v>
      </x:c>
      <x:c r="P1423" s="22" t="n">
        <x:f>IF(T1423="Ready",MIN(U1423,MAX(0,G1423-SUMIFS($U$1422:$U$1426,$O$1422:$O$1426,"&lt;"&amp;O1423))),"n.a.")</x:f>
        <x:v>0</x:v>
      </x:c>
      <x:c r="Q1423" s="22" t="n">
        <x:f>IF(T1423="Ready",ROUND(N1423+P1423,2),"n.a.")</x:f>
        <x:v>0</x:v>
      </x:c>
      <x:c r="R1423" s="22" t="n">
        <x:f>IF(T1423="Ready",ROUND(Q1423-M1423,2),"n.a.")</x:f>
        <x:v>0</x:v>
      </x:c>
      <x:c r="S1423" s="22" t="n">
        <x:f>IF(T1423="Ready",MAX(0,ROUND(I1423+M1423-Q1423,2)),"n.a.")</x:f>
        <x:v>0</x:v>
      </x:c>
      <x:c r="T1423" s="22" t="str">
        <x:f>IF(AND(COUNT($I$1422:$I$1426)=5,COUNT(E1423:F1423)=2),IF(E1423&gt;=F1423,"Ready","Budget below minima"),"Check inputs")</x:f>
        <x:v>Ready</x:v>
      </x:c>
      <x:c r="U1423" s="22" t="n">
        <x:f>IF(COUNT(I1423,M1423,N1423)=3,MAX(0,ROUND(I1423+M1423-N1423,2)),"n.a.")</x:f>
        <x:v>0</x:v>
      </x:c>
    </x:row>
    <x:row r="1424" ht="22" customHeight="1">
      <x:c r="A1424" s="2"/>
      <x:c r="B1424" s="2"/>
      <x:c r="C1424" s="27" t="n">
        <x:f>284</x:f>
        <x:v>284</x:v>
      </x:c>
      <x:c r="D1424" s="28" t="n">
        <x:f>IF(ISNUMBER('Inputs'!$D$7),EDATE('Inputs'!$D$7,283),"n.a.")</x:f>
        <x:v>54940</x:v>
      </x:c>
      <x:c r="E1424" s="26" t="n">
        <x:f>IF('Inputs'!$D$9&lt;&gt;"Ready","n.a.",IF(ISNUMBER('Inputs'!E302),IF('Inputs'!E302&gt;=0,'Inputs'!E302,"n.a."),IF('Inputs'!E302="",'Inputs'!$D$6,"n.a.")))</x:f>
        <x:v>500</x:v>
      </x:c>
      <x:c r="F1424" s="22" t="n">
        <x:f>IF(COUNT($N$1422:$N$1426)=5,SUM($N$1422:$N$1426),"n.a.")</x:f>
        <x:v>0</x:v>
      </x:c>
      <x:c r="G1424" s="22" t="n">
        <x:f>IF(COUNT(E1424:F1424)=2,MAX(0,E1424-F1424),"n.a.")</x:f>
        <x:v>500</x:v>
      </x:c>
      <x:c r="H1424" s="26" t="str">
        <x:f>'Inputs'!C13</x:f>
        <x:v>Loan C</x:v>
      </x:c>
      <x:c r="I1424" s="26" t="n">
        <x:f>S1419</x:f>
        <x:v>0</x:v>
      </x:c>
      <x:c r="J1424" s="29" t="n">
        <x:f>IF('Inputs'!$D$9="Ready",'Inputs'!E13,"n.a.")</x:f>
        <x:v>0.08</x:v>
      </x:c>
      <x:c r="K1424" s="26" t="n">
        <x:f>IF('Inputs'!$D$9="Ready",'Inputs'!F13,"n.a.")</x:f>
        <x:v>150</x:v>
      </x:c>
      <x:c r="L1424" s="29" t="n">
        <x:f>IF('Inputs'!$D$9="Ready",'Inputs'!G13,"n.a.")</x:f>
        <x:v>0</x:v>
      </x:c>
      <x:c r="M1424" s="22" t="n">
        <x:f>IF(COUNT(I1424:L1424)=4,ROUND(I1424*J1424/12,2),"n.a.")</x:f>
        <x:v>0</x:v>
      </x:c>
      <x:c r="N1424" s="22" t="n">
        <x:f>IF(COUNT(I1424:M1424)=5,MIN(I1424+M1424,ROUND(MAX(K1424,I1424*L1424+M1424),2)),"n.a.")</x:f>
        <x:v>0</x:v>
      </x:c>
      <x:c r="O1424" s="30" t="n">
        <x:f>IF(COUNT($I$1422:$I$1426)&lt;&gt;5,"n.a.",IF(I1424=0,6,IF('Inputs'!$D$5=1,COUNTIFS($I$1422:$I$1426,"&gt;0",$I$1422:$I$1426,"&lt;"&amp;I1424)+COUNTIFS($I$1422:I1424,I1424),COUNTIFS($I$1422:$I$1426,"&gt;0",$J$1422:$J$1426,"&gt;"&amp;J1424)+COUNTIFS($I$1422:I1424,"&gt;0",$J$1422:J1424,J1424))))</x:f>
        <x:v>6</x:v>
      </x:c>
      <x:c r="P1424" s="22" t="n">
        <x:f>IF(T1424="Ready",MIN(U1424,MAX(0,G1424-SUMIFS($U$1422:$U$1426,$O$1422:$O$1426,"&lt;"&amp;O1424))),"n.a.")</x:f>
        <x:v>0</x:v>
      </x:c>
      <x:c r="Q1424" s="22" t="n">
        <x:f>IF(T1424="Ready",ROUND(N1424+P1424,2),"n.a.")</x:f>
        <x:v>0</x:v>
      </x:c>
      <x:c r="R1424" s="22" t="n">
        <x:f>IF(T1424="Ready",ROUND(Q1424-M1424,2),"n.a.")</x:f>
        <x:v>0</x:v>
      </x:c>
      <x:c r="S1424" s="22" t="n">
        <x:f>IF(T1424="Ready",MAX(0,ROUND(I1424+M1424-Q1424,2)),"n.a.")</x:f>
        <x:v>0</x:v>
      </x:c>
      <x:c r="T1424" s="22" t="str">
        <x:f>IF(AND(COUNT($I$1422:$I$1426)=5,COUNT(E1424:F1424)=2),IF(E1424&gt;=F1424,"Ready","Budget below minima"),"Check inputs")</x:f>
        <x:v>Ready</x:v>
      </x:c>
      <x:c r="U1424" s="22" t="n">
        <x:f>IF(COUNT(I1424,M1424,N1424)=3,MAX(0,ROUND(I1424+M1424-N1424,2)),"n.a.")</x:f>
        <x:v>0</x:v>
      </x:c>
    </x:row>
    <x:row r="1425" ht="22" customHeight="1">
      <x:c r="A1425" s="2"/>
      <x:c r="B1425" s="2"/>
      <x:c r="C1425" s="27" t="n">
        <x:f>284</x:f>
        <x:v>284</x:v>
      </x:c>
      <x:c r="D1425" s="28" t="n">
        <x:f>IF(ISNUMBER('Inputs'!$D$7),EDATE('Inputs'!$D$7,283),"n.a.")</x:f>
        <x:v>54940</x:v>
      </x:c>
      <x:c r="E1425" s="26" t="n">
        <x:f>IF('Inputs'!$D$9&lt;&gt;"Ready","n.a.",IF(ISNUMBER('Inputs'!E302),IF('Inputs'!E302&gt;=0,'Inputs'!E302,"n.a."),IF('Inputs'!E302="",'Inputs'!$D$6,"n.a.")))</x:f>
        <x:v>500</x:v>
      </x:c>
      <x:c r="F1425" s="22" t="n">
        <x:f>IF(COUNT($N$1422:$N$1426)=5,SUM($N$1422:$N$1426),"n.a.")</x:f>
        <x:v>0</x:v>
      </x:c>
      <x:c r="G1425" s="22" t="n">
        <x:f>IF(COUNT(E1425:F1425)=2,MAX(0,E1425-F1425),"n.a.")</x:f>
        <x:v>500</x:v>
      </x:c>
      <x:c r="H1425" s="26" t="str">
        <x:f>'Inputs'!C14</x:f>
        <x:v>Unused 4</x:v>
      </x:c>
      <x:c r="I1425" s="26" t="n">
        <x:f>S1420</x:f>
        <x:v>0</x:v>
      </x:c>
      <x:c r="J1425" s="29" t="n">
        <x:f>IF('Inputs'!$D$9="Ready",'Inputs'!E14,"n.a.")</x:f>
        <x:v>0</x:v>
      </x:c>
      <x:c r="K1425" s="26" t="n">
        <x:f>IF('Inputs'!$D$9="Ready",'Inputs'!F14,"n.a.")</x:f>
        <x:v>0</x:v>
      </x:c>
      <x:c r="L1425" s="29" t="n">
        <x:f>IF('Inputs'!$D$9="Ready",'Inputs'!G14,"n.a.")</x:f>
        <x:v>0</x:v>
      </x:c>
      <x:c r="M1425" s="22" t="n">
        <x:f>IF(COUNT(I1425:L1425)=4,ROUND(I1425*J1425/12,2),"n.a.")</x:f>
        <x:v>0</x:v>
      </x:c>
      <x:c r="N1425" s="22" t="n">
        <x:f>IF(COUNT(I1425:M1425)=5,MIN(I1425+M1425,ROUND(MAX(K1425,I1425*L1425+M1425),2)),"n.a.")</x:f>
        <x:v>0</x:v>
      </x:c>
      <x:c r="O1425" s="30" t="n">
        <x:f>IF(COUNT($I$1422:$I$1426)&lt;&gt;5,"n.a.",IF(I1425=0,6,IF('Inputs'!$D$5=1,COUNTIFS($I$1422:$I$1426,"&gt;0",$I$1422:$I$1426,"&lt;"&amp;I1425)+COUNTIFS($I$1422:I1425,I1425),COUNTIFS($I$1422:$I$1426,"&gt;0",$J$1422:$J$1426,"&gt;"&amp;J1425)+COUNTIFS($I$1422:I1425,"&gt;0",$J$1422:J1425,J1425))))</x:f>
        <x:v>6</x:v>
      </x:c>
      <x:c r="P1425" s="22" t="n">
        <x:f>IF(T1425="Ready",MIN(U1425,MAX(0,G1425-SUMIFS($U$1422:$U$1426,$O$1422:$O$1426,"&lt;"&amp;O1425))),"n.a.")</x:f>
        <x:v>0</x:v>
      </x:c>
      <x:c r="Q1425" s="22" t="n">
        <x:f>IF(T1425="Ready",ROUND(N1425+P1425,2),"n.a.")</x:f>
        <x:v>0</x:v>
      </x:c>
      <x:c r="R1425" s="22" t="n">
        <x:f>IF(T1425="Ready",ROUND(Q1425-M1425,2),"n.a.")</x:f>
        <x:v>0</x:v>
      </x:c>
      <x:c r="S1425" s="22" t="n">
        <x:f>IF(T1425="Ready",MAX(0,ROUND(I1425+M1425-Q1425,2)),"n.a.")</x:f>
        <x:v>0</x:v>
      </x:c>
      <x:c r="T1425" s="22" t="str">
        <x:f>IF(AND(COUNT($I$1422:$I$1426)=5,COUNT(E1425:F1425)=2),IF(E1425&gt;=F1425,"Ready","Budget below minima"),"Check inputs")</x:f>
        <x:v>Ready</x:v>
      </x:c>
      <x:c r="U1425" s="22" t="n">
        <x:f>IF(COUNT(I1425,M1425,N1425)=3,MAX(0,ROUND(I1425+M1425-N1425,2)),"n.a.")</x:f>
        <x:v>0</x:v>
      </x:c>
    </x:row>
    <x:row r="1426" ht="22" customHeight="1">
      <x:c r="A1426" s="2"/>
      <x:c r="B1426" s="2"/>
      <x:c r="C1426" s="27" t="n">
        <x:f>284</x:f>
        <x:v>284</x:v>
      </x:c>
      <x:c r="D1426" s="28" t="n">
        <x:f>IF(ISNUMBER('Inputs'!$D$7),EDATE('Inputs'!$D$7,283),"n.a.")</x:f>
        <x:v>54940</x:v>
      </x:c>
      <x:c r="E1426" s="26" t="n">
        <x:f>IF('Inputs'!$D$9&lt;&gt;"Ready","n.a.",IF(ISNUMBER('Inputs'!E302),IF('Inputs'!E302&gt;=0,'Inputs'!E302,"n.a."),IF('Inputs'!E302="",'Inputs'!$D$6,"n.a.")))</x:f>
        <x:v>500</x:v>
      </x:c>
      <x:c r="F1426" s="22" t="n">
        <x:f>IF(COUNT($N$1422:$N$1426)=5,SUM($N$1422:$N$1426),"n.a.")</x:f>
        <x:v>0</x:v>
      </x:c>
      <x:c r="G1426" s="22" t="n">
        <x:f>IF(COUNT(E1426:F1426)=2,MAX(0,E1426-F1426),"n.a.")</x:f>
        <x:v>500</x:v>
      </x:c>
      <x:c r="H1426" s="26" t="str">
        <x:f>'Inputs'!C15</x:f>
        <x:v>Unused 5</x:v>
      </x:c>
      <x:c r="I1426" s="26" t="n">
        <x:f>S1421</x:f>
        <x:v>0</x:v>
      </x:c>
      <x:c r="J1426" s="29" t="n">
        <x:f>IF('Inputs'!$D$9="Ready",'Inputs'!E15,"n.a.")</x:f>
        <x:v>0</x:v>
      </x:c>
      <x:c r="K1426" s="26" t="n">
        <x:f>IF('Inputs'!$D$9="Ready",'Inputs'!F15,"n.a.")</x:f>
        <x:v>0</x:v>
      </x:c>
      <x:c r="L1426" s="29" t="n">
        <x:f>IF('Inputs'!$D$9="Ready",'Inputs'!G15,"n.a.")</x:f>
        <x:v>0</x:v>
      </x:c>
      <x:c r="M1426" s="22" t="n">
        <x:f>IF(COUNT(I1426:L1426)=4,ROUND(I1426*J1426/12,2),"n.a.")</x:f>
        <x:v>0</x:v>
      </x:c>
      <x:c r="N1426" s="22" t="n">
        <x:f>IF(COUNT(I1426:M1426)=5,MIN(I1426+M1426,ROUND(MAX(K1426,I1426*L1426+M1426),2)),"n.a.")</x:f>
        <x:v>0</x:v>
      </x:c>
      <x:c r="O1426" s="30" t="n">
        <x:f>IF(COUNT($I$1422:$I$1426)&lt;&gt;5,"n.a.",IF(I1426=0,6,IF('Inputs'!$D$5=1,COUNTIFS($I$1422:$I$1426,"&gt;0",$I$1422:$I$1426,"&lt;"&amp;I1426)+COUNTIFS($I$1422:I1426,I1426),COUNTIFS($I$1422:$I$1426,"&gt;0",$J$1422:$J$1426,"&gt;"&amp;J1426)+COUNTIFS($I$1422:I1426,"&gt;0",$J$1422:J1426,J1426))))</x:f>
        <x:v>6</x:v>
      </x:c>
      <x:c r="P1426" s="22" t="n">
        <x:f>IF(T1426="Ready",MIN(U1426,MAX(0,G1426-SUMIFS($U$1422:$U$1426,$O$1422:$O$1426,"&lt;"&amp;O1426))),"n.a.")</x:f>
        <x:v>0</x:v>
      </x:c>
      <x:c r="Q1426" s="22" t="n">
        <x:f>IF(T1426="Ready",ROUND(N1426+P1426,2),"n.a.")</x:f>
        <x:v>0</x:v>
      </x:c>
      <x:c r="R1426" s="22" t="n">
        <x:f>IF(T1426="Ready",ROUND(Q1426-M1426,2),"n.a.")</x:f>
        <x:v>0</x:v>
      </x:c>
      <x:c r="S1426" s="22" t="n">
        <x:f>IF(T1426="Ready",MAX(0,ROUND(I1426+M1426-Q1426,2)),"n.a.")</x:f>
        <x:v>0</x:v>
      </x:c>
      <x:c r="T1426" s="22" t="str">
        <x:f>IF(AND(COUNT($I$1422:$I$1426)=5,COUNT(E1426:F1426)=2),IF(E1426&gt;=F1426,"Ready","Budget below minima"),"Check inputs")</x:f>
        <x:v>Ready</x:v>
      </x:c>
      <x:c r="U1426" s="22" t="n">
        <x:f>IF(COUNT(I1426,M1426,N1426)=3,MAX(0,ROUND(I1426+M1426-N1426,2)),"n.a.")</x:f>
        <x:v>0</x:v>
      </x:c>
    </x:row>
    <x:row r="1427" ht="22" customHeight="1">
      <x:c r="A1427" s="2"/>
      <x:c r="B1427" s="2"/>
      <x:c r="C1427" s="27" t="n">
        <x:f>285</x:f>
        <x:v>285</x:v>
      </x:c>
      <x:c r="D1427" s="28" t="n">
        <x:f>IF(ISNUMBER('Inputs'!$D$7),EDATE('Inputs'!$D$7,284),"n.a.")</x:f>
        <x:v>54970</x:v>
      </x:c>
      <x:c r="E1427" s="26" t="n">
        <x:f>IF('Inputs'!$D$9&lt;&gt;"Ready","n.a.",IF(ISNUMBER('Inputs'!E303),IF('Inputs'!E303&gt;=0,'Inputs'!E303,"n.a."),IF('Inputs'!E303="",'Inputs'!$D$6,"n.a.")))</x:f>
        <x:v>500</x:v>
      </x:c>
      <x:c r="F1427" s="22" t="n">
        <x:f>IF(COUNT($N$1427:$N$1431)=5,SUM($N$1427:$N$1431),"n.a.")</x:f>
        <x:v>0</x:v>
      </x:c>
      <x:c r="G1427" s="22" t="n">
        <x:f>IF(COUNT(E1427:F1427)=2,MAX(0,E1427-F1427),"n.a.")</x:f>
        <x:v>500</x:v>
      </x:c>
      <x:c r="H1427" s="26" t="str">
        <x:f>'Inputs'!C11</x:f>
        <x:v>Card A</x:v>
      </x:c>
      <x:c r="I1427" s="26" t="n">
        <x:f>S1422</x:f>
        <x:v>0</x:v>
      </x:c>
      <x:c r="J1427" s="29" t="n">
        <x:f>IF('Inputs'!$D$9="Ready",'Inputs'!E11,"n.a.")</x:f>
        <x:v>0.24</x:v>
      </x:c>
      <x:c r="K1427" s="26" t="n">
        <x:f>IF('Inputs'!$D$9="Ready",'Inputs'!F11,"n.a.")</x:f>
        <x:v>35</x:v>
      </x:c>
      <x:c r="L1427" s="29" t="n">
        <x:f>IF('Inputs'!$D$9="Ready",'Inputs'!G11,"n.a.")</x:f>
        <x:v>0.02</x:v>
      </x:c>
      <x:c r="M1427" s="22" t="n">
        <x:f>IF(COUNT(I1427:L1427)=4,ROUND(I1427*J1427/12,2),"n.a.")</x:f>
        <x:v>0</x:v>
      </x:c>
      <x:c r="N1427" s="22" t="n">
        <x:f>IF(COUNT(I1427:M1427)=5,MIN(I1427+M1427,ROUND(MAX(K1427,I1427*L1427+M1427),2)),"n.a.")</x:f>
        <x:v>0</x:v>
      </x:c>
      <x:c r="O1427" s="30" t="n">
        <x:f>IF(COUNT($I$1427:$I$1431)&lt;&gt;5,"n.a.",IF(I1427=0,6,IF('Inputs'!$D$5=1,COUNTIFS($I$1427:$I$1431,"&gt;0",$I$1427:$I$1431,"&lt;"&amp;I1427)+COUNTIFS($I$1427:I1427,I1427),COUNTIFS($I$1427:$I$1431,"&gt;0",$J$1427:$J$1431,"&gt;"&amp;J1427)+COUNTIFS($I$1427:I1427,"&gt;0",$J$1427:J1427,J1427))))</x:f>
        <x:v>6</x:v>
      </x:c>
      <x:c r="P1427" s="22" t="n">
        <x:f>IF(T1427="Ready",MIN(U1427,MAX(0,G1427-SUMIFS($U$1427:$U$1431,$O$1427:$O$1431,"&lt;"&amp;O1427))),"n.a.")</x:f>
        <x:v>0</x:v>
      </x:c>
      <x:c r="Q1427" s="22" t="n">
        <x:f>IF(T1427="Ready",ROUND(N1427+P1427,2),"n.a.")</x:f>
        <x:v>0</x:v>
      </x:c>
      <x:c r="R1427" s="22" t="n">
        <x:f>IF(T1427="Ready",ROUND(Q1427-M1427,2),"n.a.")</x:f>
        <x:v>0</x:v>
      </x:c>
      <x:c r="S1427" s="22" t="n">
        <x:f>IF(T1427="Ready",MAX(0,ROUND(I1427+M1427-Q1427,2)),"n.a.")</x:f>
        <x:v>0</x:v>
      </x:c>
      <x:c r="T1427" s="22" t="str">
        <x:f>IF(AND(COUNT($I$1427:$I$1431)=5,COUNT(E1427:F1427)=2),IF(E1427&gt;=F1427,"Ready","Budget below minima"),"Check inputs")</x:f>
        <x:v>Ready</x:v>
      </x:c>
      <x:c r="U1427" s="22" t="n">
        <x:f>IF(COUNT(I1427,M1427,N1427)=3,MAX(0,ROUND(I1427+M1427-N1427,2)),"n.a.")</x:f>
        <x:v>0</x:v>
      </x:c>
    </x:row>
    <x:row r="1428" ht="22" customHeight="1">
      <x:c r="A1428" s="2"/>
      <x:c r="B1428" s="2"/>
      <x:c r="C1428" s="27" t="n">
        <x:f>285</x:f>
        <x:v>285</x:v>
      </x:c>
      <x:c r="D1428" s="28" t="n">
        <x:f>IF(ISNUMBER('Inputs'!$D$7),EDATE('Inputs'!$D$7,284),"n.a.")</x:f>
        <x:v>54970</x:v>
      </x:c>
      <x:c r="E1428" s="26" t="n">
        <x:f>IF('Inputs'!$D$9&lt;&gt;"Ready","n.a.",IF(ISNUMBER('Inputs'!E303),IF('Inputs'!E303&gt;=0,'Inputs'!E303,"n.a."),IF('Inputs'!E303="",'Inputs'!$D$6,"n.a.")))</x:f>
        <x:v>500</x:v>
      </x:c>
      <x:c r="F1428" s="22" t="n">
        <x:f>IF(COUNT($N$1427:$N$1431)=5,SUM($N$1427:$N$1431),"n.a.")</x:f>
        <x:v>0</x:v>
      </x:c>
      <x:c r="G1428" s="22" t="n">
        <x:f>IF(COUNT(E1428:F1428)=2,MAX(0,E1428-F1428),"n.a.")</x:f>
        <x:v>500</x:v>
      </x:c>
      <x:c r="H1428" s="26" t="str">
        <x:f>'Inputs'!C12</x:f>
        <x:v>Card B</x:v>
      </x:c>
      <x:c r="I1428" s="26" t="n">
        <x:f>S1423</x:f>
        <x:v>0</x:v>
      </x:c>
      <x:c r="J1428" s="29" t="n">
        <x:f>IF('Inputs'!$D$9="Ready",'Inputs'!E12,"n.a.")</x:f>
        <x:v>0.18</x:v>
      </x:c>
      <x:c r="K1428" s="26" t="n">
        <x:f>IF('Inputs'!$D$9="Ready",'Inputs'!F12,"n.a.")</x:f>
        <x:v>60</x:v>
      </x:c>
      <x:c r="L1428" s="29" t="n">
        <x:f>IF('Inputs'!$D$9="Ready",'Inputs'!G12,"n.a.")</x:f>
        <x:v>0.02</x:v>
      </x:c>
      <x:c r="M1428" s="22" t="n">
        <x:f>IF(COUNT(I1428:L1428)=4,ROUND(I1428*J1428/12,2),"n.a.")</x:f>
        <x:v>0</x:v>
      </x:c>
      <x:c r="N1428" s="22" t="n">
        <x:f>IF(COUNT(I1428:M1428)=5,MIN(I1428+M1428,ROUND(MAX(K1428,I1428*L1428+M1428),2)),"n.a.")</x:f>
        <x:v>0</x:v>
      </x:c>
      <x:c r="O1428" s="30" t="n">
        <x:f>IF(COUNT($I$1427:$I$1431)&lt;&gt;5,"n.a.",IF(I1428=0,6,IF('Inputs'!$D$5=1,COUNTIFS($I$1427:$I$1431,"&gt;0",$I$1427:$I$1431,"&lt;"&amp;I1428)+COUNTIFS($I$1427:I1428,I1428),COUNTIFS($I$1427:$I$1431,"&gt;0",$J$1427:$J$1431,"&gt;"&amp;J1428)+COUNTIFS($I$1427:I1428,"&gt;0",$J$1427:J1428,J1428))))</x:f>
        <x:v>6</x:v>
      </x:c>
      <x:c r="P1428" s="22" t="n">
        <x:f>IF(T1428="Ready",MIN(U1428,MAX(0,G1428-SUMIFS($U$1427:$U$1431,$O$1427:$O$1431,"&lt;"&amp;O1428))),"n.a.")</x:f>
        <x:v>0</x:v>
      </x:c>
      <x:c r="Q1428" s="22" t="n">
        <x:f>IF(T1428="Ready",ROUND(N1428+P1428,2),"n.a.")</x:f>
        <x:v>0</x:v>
      </x:c>
      <x:c r="R1428" s="22" t="n">
        <x:f>IF(T1428="Ready",ROUND(Q1428-M1428,2),"n.a.")</x:f>
        <x:v>0</x:v>
      </x:c>
      <x:c r="S1428" s="22" t="n">
        <x:f>IF(T1428="Ready",MAX(0,ROUND(I1428+M1428-Q1428,2)),"n.a.")</x:f>
        <x:v>0</x:v>
      </x:c>
      <x:c r="T1428" s="22" t="str">
        <x:f>IF(AND(COUNT($I$1427:$I$1431)=5,COUNT(E1428:F1428)=2),IF(E1428&gt;=F1428,"Ready","Budget below minima"),"Check inputs")</x:f>
        <x:v>Ready</x:v>
      </x:c>
      <x:c r="U1428" s="22" t="n">
        <x:f>IF(COUNT(I1428,M1428,N1428)=3,MAX(0,ROUND(I1428+M1428-N1428,2)),"n.a.")</x:f>
        <x:v>0</x:v>
      </x:c>
    </x:row>
    <x:row r="1429" ht="22" customHeight="1">
      <x:c r="A1429" s="2"/>
      <x:c r="B1429" s="2"/>
      <x:c r="C1429" s="27" t="n">
        <x:f>285</x:f>
        <x:v>285</x:v>
      </x:c>
      <x:c r="D1429" s="28" t="n">
        <x:f>IF(ISNUMBER('Inputs'!$D$7),EDATE('Inputs'!$D$7,284),"n.a.")</x:f>
        <x:v>54970</x:v>
      </x:c>
      <x:c r="E1429" s="26" t="n">
        <x:f>IF('Inputs'!$D$9&lt;&gt;"Ready","n.a.",IF(ISNUMBER('Inputs'!E303),IF('Inputs'!E303&gt;=0,'Inputs'!E303,"n.a."),IF('Inputs'!E303="",'Inputs'!$D$6,"n.a.")))</x:f>
        <x:v>500</x:v>
      </x:c>
      <x:c r="F1429" s="22" t="n">
        <x:f>IF(COUNT($N$1427:$N$1431)=5,SUM($N$1427:$N$1431),"n.a.")</x:f>
        <x:v>0</x:v>
      </x:c>
      <x:c r="G1429" s="22" t="n">
        <x:f>IF(COUNT(E1429:F1429)=2,MAX(0,E1429-F1429),"n.a.")</x:f>
        <x:v>500</x:v>
      </x:c>
      <x:c r="H1429" s="26" t="str">
        <x:f>'Inputs'!C13</x:f>
        <x:v>Loan C</x:v>
      </x:c>
      <x:c r="I1429" s="26" t="n">
        <x:f>S1424</x:f>
        <x:v>0</x:v>
      </x:c>
      <x:c r="J1429" s="29" t="n">
        <x:f>IF('Inputs'!$D$9="Ready",'Inputs'!E13,"n.a.")</x:f>
        <x:v>0.08</x:v>
      </x:c>
      <x:c r="K1429" s="26" t="n">
        <x:f>IF('Inputs'!$D$9="Ready",'Inputs'!F13,"n.a.")</x:f>
        <x:v>150</x:v>
      </x:c>
      <x:c r="L1429" s="29" t="n">
        <x:f>IF('Inputs'!$D$9="Ready",'Inputs'!G13,"n.a.")</x:f>
        <x:v>0</x:v>
      </x:c>
      <x:c r="M1429" s="22" t="n">
        <x:f>IF(COUNT(I1429:L1429)=4,ROUND(I1429*J1429/12,2),"n.a.")</x:f>
        <x:v>0</x:v>
      </x:c>
      <x:c r="N1429" s="22" t="n">
        <x:f>IF(COUNT(I1429:M1429)=5,MIN(I1429+M1429,ROUND(MAX(K1429,I1429*L1429+M1429),2)),"n.a.")</x:f>
        <x:v>0</x:v>
      </x:c>
      <x:c r="O1429" s="30" t="n">
        <x:f>IF(COUNT($I$1427:$I$1431)&lt;&gt;5,"n.a.",IF(I1429=0,6,IF('Inputs'!$D$5=1,COUNTIFS($I$1427:$I$1431,"&gt;0",$I$1427:$I$1431,"&lt;"&amp;I1429)+COUNTIFS($I$1427:I1429,I1429),COUNTIFS($I$1427:$I$1431,"&gt;0",$J$1427:$J$1431,"&gt;"&amp;J1429)+COUNTIFS($I$1427:I1429,"&gt;0",$J$1427:J1429,J1429))))</x:f>
        <x:v>6</x:v>
      </x:c>
      <x:c r="P1429" s="22" t="n">
        <x:f>IF(T1429="Ready",MIN(U1429,MAX(0,G1429-SUMIFS($U$1427:$U$1431,$O$1427:$O$1431,"&lt;"&amp;O1429))),"n.a.")</x:f>
        <x:v>0</x:v>
      </x:c>
      <x:c r="Q1429" s="22" t="n">
        <x:f>IF(T1429="Ready",ROUND(N1429+P1429,2),"n.a.")</x:f>
        <x:v>0</x:v>
      </x:c>
      <x:c r="R1429" s="22" t="n">
        <x:f>IF(T1429="Ready",ROUND(Q1429-M1429,2),"n.a.")</x:f>
        <x:v>0</x:v>
      </x:c>
      <x:c r="S1429" s="22" t="n">
        <x:f>IF(T1429="Ready",MAX(0,ROUND(I1429+M1429-Q1429,2)),"n.a.")</x:f>
        <x:v>0</x:v>
      </x:c>
      <x:c r="T1429" s="22" t="str">
        <x:f>IF(AND(COUNT($I$1427:$I$1431)=5,COUNT(E1429:F1429)=2),IF(E1429&gt;=F1429,"Ready","Budget below minima"),"Check inputs")</x:f>
        <x:v>Ready</x:v>
      </x:c>
      <x:c r="U1429" s="22" t="n">
        <x:f>IF(COUNT(I1429,M1429,N1429)=3,MAX(0,ROUND(I1429+M1429-N1429,2)),"n.a.")</x:f>
        <x:v>0</x:v>
      </x:c>
    </x:row>
    <x:row r="1430" ht="22" customHeight="1">
      <x:c r="A1430" s="2"/>
      <x:c r="B1430" s="2"/>
      <x:c r="C1430" s="27" t="n">
        <x:f>285</x:f>
        <x:v>285</x:v>
      </x:c>
      <x:c r="D1430" s="28" t="n">
        <x:f>IF(ISNUMBER('Inputs'!$D$7),EDATE('Inputs'!$D$7,284),"n.a.")</x:f>
        <x:v>54970</x:v>
      </x:c>
      <x:c r="E1430" s="26" t="n">
        <x:f>IF('Inputs'!$D$9&lt;&gt;"Ready","n.a.",IF(ISNUMBER('Inputs'!E303),IF('Inputs'!E303&gt;=0,'Inputs'!E303,"n.a."),IF('Inputs'!E303="",'Inputs'!$D$6,"n.a.")))</x:f>
        <x:v>500</x:v>
      </x:c>
      <x:c r="F1430" s="22" t="n">
        <x:f>IF(COUNT($N$1427:$N$1431)=5,SUM($N$1427:$N$1431),"n.a.")</x:f>
        <x:v>0</x:v>
      </x:c>
      <x:c r="G1430" s="22" t="n">
        <x:f>IF(COUNT(E1430:F1430)=2,MAX(0,E1430-F1430),"n.a.")</x:f>
        <x:v>500</x:v>
      </x:c>
      <x:c r="H1430" s="26" t="str">
        <x:f>'Inputs'!C14</x:f>
        <x:v>Unused 4</x:v>
      </x:c>
      <x:c r="I1430" s="26" t="n">
        <x:f>S1425</x:f>
        <x:v>0</x:v>
      </x:c>
      <x:c r="J1430" s="29" t="n">
        <x:f>IF('Inputs'!$D$9="Ready",'Inputs'!E14,"n.a.")</x:f>
        <x:v>0</x:v>
      </x:c>
      <x:c r="K1430" s="26" t="n">
        <x:f>IF('Inputs'!$D$9="Ready",'Inputs'!F14,"n.a.")</x:f>
        <x:v>0</x:v>
      </x:c>
      <x:c r="L1430" s="29" t="n">
        <x:f>IF('Inputs'!$D$9="Ready",'Inputs'!G14,"n.a.")</x:f>
        <x:v>0</x:v>
      </x:c>
      <x:c r="M1430" s="22" t="n">
        <x:f>IF(COUNT(I1430:L1430)=4,ROUND(I1430*J1430/12,2),"n.a.")</x:f>
        <x:v>0</x:v>
      </x:c>
      <x:c r="N1430" s="22" t="n">
        <x:f>IF(COUNT(I1430:M1430)=5,MIN(I1430+M1430,ROUND(MAX(K1430,I1430*L1430+M1430),2)),"n.a.")</x:f>
        <x:v>0</x:v>
      </x:c>
      <x:c r="O1430" s="30" t="n">
        <x:f>IF(COUNT($I$1427:$I$1431)&lt;&gt;5,"n.a.",IF(I1430=0,6,IF('Inputs'!$D$5=1,COUNTIFS($I$1427:$I$1431,"&gt;0",$I$1427:$I$1431,"&lt;"&amp;I1430)+COUNTIFS($I$1427:I1430,I1430),COUNTIFS($I$1427:$I$1431,"&gt;0",$J$1427:$J$1431,"&gt;"&amp;J1430)+COUNTIFS($I$1427:I1430,"&gt;0",$J$1427:J1430,J1430))))</x:f>
        <x:v>6</x:v>
      </x:c>
      <x:c r="P1430" s="22" t="n">
        <x:f>IF(T1430="Ready",MIN(U1430,MAX(0,G1430-SUMIFS($U$1427:$U$1431,$O$1427:$O$1431,"&lt;"&amp;O1430))),"n.a.")</x:f>
        <x:v>0</x:v>
      </x:c>
      <x:c r="Q1430" s="22" t="n">
        <x:f>IF(T1430="Ready",ROUND(N1430+P1430,2),"n.a.")</x:f>
        <x:v>0</x:v>
      </x:c>
      <x:c r="R1430" s="22" t="n">
        <x:f>IF(T1430="Ready",ROUND(Q1430-M1430,2),"n.a.")</x:f>
        <x:v>0</x:v>
      </x:c>
      <x:c r="S1430" s="22" t="n">
        <x:f>IF(T1430="Ready",MAX(0,ROUND(I1430+M1430-Q1430,2)),"n.a.")</x:f>
        <x:v>0</x:v>
      </x:c>
      <x:c r="T1430" s="22" t="str">
        <x:f>IF(AND(COUNT($I$1427:$I$1431)=5,COUNT(E1430:F1430)=2),IF(E1430&gt;=F1430,"Ready","Budget below minima"),"Check inputs")</x:f>
        <x:v>Ready</x:v>
      </x:c>
      <x:c r="U1430" s="22" t="n">
        <x:f>IF(COUNT(I1430,M1430,N1430)=3,MAX(0,ROUND(I1430+M1430-N1430,2)),"n.a.")</x:f>
        <x:v>0</x:v>
      </x:c>
    </x:row>
    <x:row r="1431" ht="22" customHeight="1">
      <x:c r="A1431" s="2"/>
      <x:c r="B1431" s="2"/>
      <x:c r="C1431" s="27" t="n">
        <x:f>285</x:f>
        <x:v>285</x:v>
      </x:c>
      <x:c r="D1431" s="28" t="n">
        <x:f>IF(ISNUMBER('Inputs'!$D$7),EDATE('Inputs'!$D$7,284),"n.a.")</x:f>
        <x:v>54970</x:v>
      </x:c>
      <x:c r="E1431" s="26" t="n">
        <x:f>IF('Inputs'!$D$9&lt;&gt;"Ready","n.a.",IF(ISNUMBER('Inputs'!E303),IF('Inputs'!E303&gt;=0,'Inputs'!E303,"n.a."),IF('Inputs'!E303="",'Inputs'!$D$6,"n.a.")))</x:f>
        <x:v>500</x:v>
      </x:c>
      <x:c r="F1431" s="22" t="n">
        <x:f>IF(COUNT($N$1427:$N$1431)=5,SUM($N$1427:$N$1431),"n.a.")</x:f>
        <x:v>0</x:v>
      </x:c>
      <x:c r="G1431" s="22" t="n">
        <x:f>IF(COUNT(E1431:F1431)=2,MAX(0,E1431-F1431),"n.a.")</x:f>
        <x:v>500</x:v>
      </x:c>
      <x:c r="H1431" s="26" t="str">
        <x:f>'Inputs'!C15</x:f>
        <x:v>Unused 5</x:v>
      </x:c>
      <x:c r="I1431" s="26" t="n">
        <x:f>S1426</x:f>
        <x:v>0</x:v>
      </x:c>
      <x:c r="J1431" s="29" t="n">
        <x:f>IF('Inputs'!$D$9="Ready",'Inputs'!E15,"n.a.")</x:f>
        <x:v>0</x:v>
      </x:c>
      <x:c r="K1431" s="26" t="n">
        <x:f>IF('Inputs'!$D$9="Ready",'Inputs'!F15,"n.a.")</x:f>
        <x:v>0</x:v>
      </x:c>
      <x:c r="L1431" s="29" t="n">
        <x:f>IF('Inputs'!$D$9="Ready",'Inputs'!G15,"n.a.")</x:f>
        <x:v>0</x:v>
      </x:c>
      <x:c r="M1431" s="22" t="n">
        <x:f>IF(COUNT(I1431:L1431)=4,ROUND(I1431*J1431/12,2),"n.a.")</x:f>
        <x:v>0</x:v>
      </x:c>
      <x:c r="N1431" s="22" t="n">
        <x:f>IF(COUNT(I1431:M1431)=5,MIN(I1431+M1431,ROUND(MAX(K1431,I1431*L1431+M1431),2)),"n.a.")</x:f>
        <x:v>0</x:v>
      </x:c>
      <x:c r="O1431" s="30" t="n">
        <x:f>IF(COUNT($I$1427:$I$1431)&lt;&gt;5,"n.a.",IF(I1431=0,6,IF('Inputs'!$D$5=1,COUNTIFS($I$1427:$I$1431,"&gt;0",$I$1427:$I$1431,"&lt;"&amp;I1431)+COUNTIFS($I$1427:I1431,I1431),COUNTIFS($I$1427:$I$1431,"&gt;0",$J$1427:$J$1431,"&gt;"&amp;J1431)+COUNTIFS($I$1427:I1431,"&gt;0",$J$1427:J1431,J1431))))</x:f>
        <x:v>6</x:v>
      </x:c>
      <x:c r="P1431" s="22" t="n">
        <x:f>IF(T1431="Ready",MIN(U1431,MAX(0,G1431-SUMIFS($U$1427:$U$1431,$O$1427:$O$1431,"&lt;"&amp;O1431))),"n.a.")</x:f>
        <x:v>0</x:v>
      </x:c>
      <x:c r="Q1431" s="22" t="n">
        <x:f>IF(T1431="Ready",ROUND(N1431+P1431,2),"n.a.")</x:f>
        <x:v>0</x:v>
      </x:c>
      <x:c r="R1431" s="22" t="n">
        <x:f>IF(T1431="Ready",ROUND(Q1431-M1431,2),"n.a.")</x:f>
        <x:v>0</x:v>
      </x:c>
      <x:c r="S1431" s="22" t="n">
        <x:f>IF(T1431="Ready",MAX(0,ROUND(I1431+M1431-Q1431,2)),"n.a.")</x:f>
        <x:v>0</x:v>
      </x:c>
      <x:c r="T1431" s="22" t="str">
        <x:f>IF(AND(COUNT($I$1427:$I$1431)=5,COUNT(E1431:F1431)=2),IF(E1431&gt;=F1431,"Ready","Budget below minima"),"Check inputs")</x:f>
        <x:v>Ready</x:v>
      </x:c>
      <x:c r="U1431" s="22" t="n">
        <x:f>IF(COUNT(I1431,M1431,N1431)=3,MAX(0,ROUND(I1431+M1431-N1431,2)),"n.a.")</x:f>
        <x:v>0</x:v>
      </x:c>
    </x:row>
    <x:row r="1432" ht="22" customHeight="1">
      <x:c r="A1432" s="2"/>
      <x:c r="B1432" s="2"/>
      <x:c r="C1432" s="27" t="n">
        <x:f>286</x:f>
        <x:v>286</x:v>
      </x:c>
      <x:c r="D1432" s="28" t="n">
        <x:f>IF(ISNUMBER('Inputs'!$D$7),EDATE('Inputs'!$D$7,285),"n.a.")</x:f>
        <x:v>55001</x:v>
      </x:c>
      <x:c r="E1432" s="26" t="n">
        <x:f>IF('Inputs'!$D$9&lt;&gt;"Ready","n.a.",IF(ISNUMBER('Inputs'!E304),IF('Inputs'!E304&gt;=0,'Inputs'!E304,"n.a."),IF('Inputs'!E304="",'Inputs'!$D$6,"n.a.")))</x:f>
        <x:v>500</x:v>
      </x:c>
      <x:c r="F1432" s="22" t="n">
        <x:f>IF(COUNT($N$1432:$N$1436)=5,SUM($N$1432:$N$1436),"n.a.")</x:f>
        <x:v>0</x:v>
      </x:c>
      <x:c r="G1432" s="22" t="n">
        <x:f>IF(COUNT(E1432:F1432)=2,MAX(0,E1432-F1432),"n.a.")</x:f>
        <x:v>500</x:v>
      </x:c>
      <x:c r="H1432" s="26" t="str">
        <x:f>'Inputs'!C11</x:f>
        <x:v>Card A</x:v>
      </x:c>
      <x:c r="I1432" s="26" t="n">
        <x:f>S1427</x:f>
        <x:v>0</x:v>
      </x:c>
      <x:c r="J1432" s="29" t="n">
        <x:f>IF('Inputs'!$D$9="Ready",'Inputs'!E11,"n.a.")</x:f>
        <x:v>0.24</x:v>
      </x:c>
      <x:c r="K1432" s="26" t="n">
        <x:f>IF('Inputs'!$D$9="Ready",'Inputs'!F11,"n.a.")</x:f>
        <x:v>35</x:v>
      </x:c>
      <x:c r="L1432" s="29" t="n">
        <x:f>IF('Inputs'!$D$9="Ready",'Inputs'!G11,"n.a.")</x:f>
        <x:v>0.02</x:v>
      </x:c>
      <x:c r="M1432" s="22" t="n">
        <x:f>IF(COUNT(I1432:L1432)=4,ROUND(I1432*J1432/12,2),"n.a.")</x:f>
        <x:v>0</x:v>
      </x:c>
      <x:c r="N1432" s="22" t="n">
        <x:f>IF(COUNT(I1432:M1432)=5,MIN(I1432+M1432,ROUND(MAX(K1432,I1432*L1432+M1432),2)),"n.a.")</x:f>
        <x:v>0</x:v>
      </x:c>
      <x:c r="O1432" s="30" t="n">
        <x:f>IF(COUNT($I$1432:$I$1436)&lt;&gt;5,"n.a.",IF(I1432=0,6,IF('Inputs'!$D$5=1,COUNTIFS($I$1432:$I$1436,"&gt;0",$I$1432:$I$1436,"&lt;"&amp;I1432)+COUNTIFS($I$1432:I1432,I1432),COUNTIFS($I$1432:$I$1436,"&gt;0",$J$1432:$J$1436,"&gt;"&amp;J1432)+COUNTIFS($I$1432:I1432,"&gt;0",$J$1432:J1432,J1432))))</x:f>
        <x:v>6</x:v>
      </x:c>
      <x:c r="P1432" s="22" t="n">
        <x:f>IF(T1432="Ready",MIN(U1432,MAX(0,G1432-SUMIFS($U$1432:$U$1436,$O$1432:$O$1436,"&lt;"&amp;O1432))),"n.a.")</x:f>
        <x:v>0</x:v>
      </x:c>
      <x:c r="Q1432" s="22" t="n">
        <x:f>IF(T1432="Ready",ROUND(N1432+P1432,2),"n.a.")</x:f>
        <x:v>0</x:v>
      </x:c>
      <x:c r="R1432" s="22" t="n">
        <x:f>IF(T1432="Ready",ROUND(Q1432-M1432,2),"n.a.")</x:f>
        <x:v>0</x:v>
      </x:c>
      <x:c r="S1432" s="22" t="n">
        <x:f>IF(T1432="Ready",MAX(0,ROUND(I1432+M1432-Q1432,2)),"n.a.")</x:f>
        <x:v>0</x:v>
      </x:c>
      <x:c r="T1432" s="22" t="str">
        <x:f>IF(AND(COUNT($I$1432:$I$1436)=5,COUNT(E1432:F1432)=2),IF(E1432&gt;=F1432,"Ready","Budget below minima"),"Check inputs")</x:f>
        <x:v>Ready</x:v>
      </x:c>
      <x:c r="U1432" s="22" t="n">
        <x:f>IF(COUNT(I1432,M1432,N1432)=3,MAX(0,ROUND(I1432+M1432-N1432,2)),"n.a.")</x:f>
        <x:v>0</x:v>
      </x:c>
    </x:row>
    <x:row r="1433" ht="22" customHeight="1">
      <x:c r="A1433" s="2"/>
      <x:c r="B1433" s="2"/>
      <x:c r="C1433" s="27" t="n">
        <x:f>286</x:f>
        <x:v>286</x:v>
      </x:c>
      <x:c r="D1433" s="28" t="n">
        <x:f>IF(ISNUMBER('Inputs'!$D$7),EDATE('Inputs'!$D$7,285),"n.a.")</x:f>
        <x:v>55001</x:v>
      </x:c>
      <x:c r="E1433" s="26" t="n">
        <x:f>IF('Inputs'!$D$9&lt;&gt;"Ready","n.a.",IF(ISNUMBER('Inputs'!E304),IF('Inputs'!E304&gt;=0,'Inputs'!E304,"n.a."),IF('Inputs'!E304="",'Inputs'!$D$6,"n.a.")))</x:f>
        <x:v>500</x:v>
      </x:c>
      <x:c r="F1433" s="22" t="n">
        <x:f>IF(COUNT($N$1432:$N$1436)=5,SUM($N$1432:$N$1436),"n.a.")</x:f>
        <x:v>0</x:v>
      </x:c>
      <x:c r="G1433" s="22" t="n">
        <x:f>IF(COUNT(E1433:F1433)=2,MAX(0,E1433-F1433),"n.a.")</x:f>
        <x:v>500</x:v>
      </x:c>
      <x:c r="H1433" s="26" t="str">
        <x:f>'Inputs'!C12</x:f>
        <x:v>Card B</x:v>
      </x:c>
      <x:c r="I1433" s="26" t="n">
        <x:f>S1428</x:f>
        <x:v>0</x:v>
      </x:c>
      <x:c r="J1433" s="29" t="n">
        <x:f>IF('Inputs'!$D$9="Ready",'Inputs'!E12,"n.a.")</x:f>
        <x:v>0.18</x:v>
      </x:c>
      <x:c r="K1433" s="26" t="n">
        <x:f>IF('Inputs'!$D$9="Ready",'Inputs'!F12,"n.a.")</x:f>
        <x:v>60</x:v>
      </x:c>
      <x:c r="L1433" s="29" t="n">
        <x:f>IF('Inputs'!$D$9="Ready",'Inputs'!G12,"n.a.")</x:f>
        <x:v>0.02</x:v>
      </x:c>
      <x:c r="M1433" s="22" t="n">
        <x:f>IF(COUNT(I1433:L1433)=4,ROUND(I1433*J1433/12,2),"n.a.")</x:f>
        <x:v>0</x:v>
      </x:c>
      <x:c r="N1433" s="22" t="n">
        <x:f>IF(COUNT(I1433:M1433)=5,MIN(I1433+M1433,ROUND(MAX(K1433,I1433*L1433+M1433),2)),"n.a.")</x:f>
        <x:v>0</x:v>
      </x:c>
      <x:c r="O1433" s="30" t="n">
        <x:f>IF(COUNT($I$1432:$I$1436)&lt;&gt;5,"n.a.",IF(I1433=0,6,IF('Inputs'!$D$5=1,COUNTIFS($I$1432:$I$1436,"&gt;0",$I$1432:$I$1436,"&lt;"&amp;I1433)+COUNTIFS($I$1432:I1433,I1433),COUNTIFS($I$1432:$I$1436,"&gt;0",$J$1432:$J$1436,"&gt;"&amp;J1433)+COUNTIFS($I$1432:I1433,"&gt;0",$J$1432:J1433,J1433))))</x:f>
        <x:v>6</x:v>
      </x:c>
      <x:c r="P1433" s="22" t="n">
        <x:f>IF(T1433="Ready",MIN(U1433,MAX(0,G1433-SUMIFS($U$1432:$U$1436,$O$1432:$O$1436,"&lt;"&amp;O1433))),"n.a.")</x:f>
        <x:v>0</x:v>
      </x:c>
      <x:c r="Q1433" s="22" t="n">
        <x:f>IF(T1433="Ready",ROUND(N1433+P1433,2),"n.a.")</x:f>
        <x:v>0</x:v>
      </x:c>
      <x:c r="R1433" s="22" t="n">
        <x:f>IF(T1433="Ready",ROUND(Q1433-M1433,2),"n.a.")</x:f>
        <x:v>0</x:v>
      </x:c>
      <x:c r="S1433" s="22" t="n">
        <x:f>IF(T1433="Ready",MAX(0,ROUND(I1433+M1433-Q1433,2)),"n.a.")</x:f>
        <x:v>0</x:v>
      </x:c>
      <x:c r="T1433" s="22" t="str">
        <x:f>IF(AND(COUNT($I$1432:$I$1436)=5,COUNT(E1433:F1433)=2),IF(E1433&gt;=F1433,"Ready","Budget below minima"),"Check inputs")</x:f>
        <x:v>Ready</x:v>
      </x:c>
      <x:c r="U1433" s="22" t="n">
        <x:f>IF(COUNT(I1433,M1433,N1433)=3,MAX(0,ROUND(I1433+M1433-N1433,2)),"n.a.")</x:f>
        <x:v>0</x:v>
      </x:c>
    </x:row>
    <x:row r="1434" ht="22" customHeight="1">
      <x:c r="A1434" s="2"/>
      <x:c r="B1434" s="2"/>
      <x:c r="C1434" s="27" t="n">
        <x:f>286</x:f>
        <x:v>286</x:v>
      </x:c>
      <x:c r="D1434" s="28" t="n">
        <x:f>IF(ISNUMBER('Inputs'!$D$7),EDATE('Inputs'!$D$7,285),"n.a.")</x:f>
        <x:v>55001</x:v>
      </x:c>
      <x:c r="E1434" s="26" t="n">
        <x:f>IF('Inputs'!$D$9&lt;&gt;"Ready","n.a.",IF(ISNUMBER('Inputs'!E304),IF('Inputs'!E304&gt;=0,'Inputs'!E304,"n.a."),IF('Inputs'!E304="",'Inputs'!$D$6,"n.a.")))</x:f>
        <x:v>500</x:v>
      </x:c>
      <x:c r="F1434" s="22" t="n">
        <x:f>IF(COUNT($N$1432:$N$1436)=5,SUM($N$1432:$N$1436),"n.a.")</x:f>
        <x:v>0</x:v>
      </x:c>
      <x:c r="G1434" s="22" t="n">
        <x:f>IF(COUNT(E1434:F1434)=2,MAX(0,E1434-F1434),"n.a.")</x:f>
        <x:v>500</x:v>
      </x:c>
      <x:c r="H1434" s="26" t="str">
        <x:f>'Inputs'!C13</x:f>
        <x:v>Loan C</x:v>
      </x:c>
      <x:c r="I1434" s="26" t="n">
        <x:f>S1429</x:f>
        <x:v>0</x:v>
      </x:c>
      <x:c r="J1434" s="29" t="n">
        <x:f>IF('Inputs'!$D$9="Ready",'Inputs'!E13,"n.a.")</x:f>
        <x:v>0.08</x:v>
      </x:c>
      <x:c r="K1434" s="26" t="n">
        <x:f>IF('Inputs'!$D$9="Ready",'Inputs'!F13,"n.a.")</x:f>
        <x:v>150</x:v>
      </x:c>
      <x:c r="L1434" s="29" t="n">
        <x:f>IF('Inputs'!$D$9="Ready",'Inputs'!G13,"n.a.")</x:f>
        <x:v>0</x:v>
      </x:c>
      <x:c r="M1434" s="22" t="n">
        <x:f>IF(COUNT(I1434:L1434)=4,ROUND(I1434*J1434/12,2),"n.a.")</x:f>
        <x:v>0</x:v>
      </x:c>
      <x:c r="N1434" s="22" t="n">
        <x:f>IF(COUNT(I1434:M1434)=5,MIN(I1434+M1434,ROUND(MAX(K1434,I1434*L1434+M1434),2)),"n.a.")</x:f>
        <x:v>0</x:v>
      </x:c>
      <x:c r="O1434" s="30" t="n">
        <x:f>IF(COUNT($I$1432:$I$1436)&lt;&gt;5,"n.a.",IF(I1434=0,6,IF('Inputs'!$D$5=1,COUNTIFS($I$1432:$I$1436,"&gt;0",$I$1432:$I$1436,"&lt;"&amp;I1434)+COUNTIFS($I$1432:I1434,I1434),COUNTIFS($I$1432:$I$1436,"&gt;0",$J$1432:$J$1436,"&gt;"&amp;J1434)+COUNTIFS($I$1432:I1434,"&gt;0",$J$1432:J1434,J1434))))</x:f>
        <x:v>6</x:v>
      </x:c>
      <x:c r="P1434" s="22" t="n">
        <x:f>IF(T1434="Ready",MIN(U1434,MAX(0,G1434-SUMIFS($U$1432:$U$1436,$O$1432:$O$1436,"&lt;"&amp;O1434))),"n.a.")</x:f>
        <x:v>0</x:v>
      </x:c>
      <x:c r="Q1434" s="22" t="n">
        <x:f>IF(T1434="Ready",ROUND(N1434+P1434,2),"n.a.")</x:f>
        <x:v>0</x:v>
      </x:c>
      <x:c r="R1434" s="22" t="n">
        <x:f>IF(T1434="Ready",ROUND(Q1434-M1434,2),"n.a.")</x:f>
        <x:v>0</x:v>
      </x:c>
      <x:c r="S1434" s="22" t="n">
        <x:f>IF(T1434="Ready",MAX(0,ROUND(I1434+M1434-Q1434,2)),"n.a.")</x:f>
        <x:v>0</x:v>
      </x:c>
      <x:c r="T1434" s="22" t="str">
        <x:f>IF(AND(COUNT($I$1432:$I$1436)=5,COUNT(E1434:F1434)=2),IF(E1434&gt;=F1434,"Ready","Budget below minima"),"Check inputs")</x:f>
        <x:v>Ready</x:v>
      </x:c>
      <x:c r="U1434" s="22" t="n">
        <x:f>IF(COUNT(I1434,M1434,N1434)=3,MAX(0,ROUND(I1434+M1434-N1434,2)),"n.a.")</x:f>
        <x:v>0</x:v>
      </x:c>
    </x:row>
    <x:row r="1435" ht="22" customHeight="1">
      <x:c r="A1435" s="2"/>
      <x:c r="B1435" s="2"/>
      <x:c r="C1435" s="27" t="n">
        <x:f>286</x:f>
        <x:v>286</x:v>
      </x:c>
      <x:c r="D1435" s="28" t="n">
        <x:f>IF(ISNUMBER('Inputs'!$D$7),EDATE('Inputs'!$D$7,285),"n.a.")</x:f>
        <x:v>55001</x:v>
      </x:c>
      <x:c r="E1435" s="26" t="n">
        <x:f>IF('Inputs'!$D$9&lt;&gt;"Ready","n.a.",IF(ISNUMBER('Inputs'!E304),IF('Inputs'!E304&gt;=0,'Inputs'!E304,"n.a."),IF('Inputs'!E304="",'Inputs'!$D$6,"n.a.")))</x:f>
        <x:v>500</x:v>
      </x:c>
      <x:c r="F1435" s="22" t="n">
        <x:f>IF(COUNT($N$1432:$N$1436)=5,SUM($N$1432:$N$1436),"n.a.")</x:f>
        <x:v>0</x:v>
      </x:c>
      <x:c r="G1435" s="22" t="n">
        <x:f>IF(COUNT(E1435:F1435)=2,MAX(0,E1435-F1435),"n.a.")</x:f>
        <x:v>500</x:v>
      </x:c>
      <x:c r="H1435" s="26" t="str">
        <x:f>'Inputs'!C14</x:f>
        <x:v>Unused 4</x:v>
      </x:c>
      <x:c r="I1435" s="26" t="n">
        <x:f>S1430</x:f>
        <x:v>0</x:v>
      </x:c>
      <x:c r="J1435" s="29" t="n">
        <x:f>IF('Inputs'!$D$9="Ready",'Inputs'!E14,"n.a.")</x:f>
        <x:v>0</x:v>
      </x:c>
      <x:c r="K1435" s="26" t="n">
        <x:f>IF('Inputs'!$D$9="Ready",'Inputs'!F14,"n.a.")</x:f>
        <x:v>0</x:v>
      </x:c>
      <x:c r="L1435" s="29" t="n">
        <x:f>IF('Inputs'!$D$9="Ready",'Inputs'!G14,"n.a.")</x:f>
        <x:v>0</x:v>
      </x:c>
      <x:c r="M1435" s="22" t="n">
        <x:f>IF(COUNT(I1435:L1435)=4,ROUND(I1435*J1435/12,2),"n.a.")</x:f>
        <x:v>0</x:v>
      </x:c>
      <x:c r="N1435" s="22" t="n">
        <x:f>IF(COUNT(I1435:M1435)=5,MIN(I1435+M1435,ROUND(MAX(K1435,I1435*L1435+M1435),2)),"n.a.")</x:f>
        <x:v>0</x:v>
      </x:c>
      <x:c r="O1435" s="30" t="n">
        <x:f>IF(COUNT($I$1432:$I$1436)&lt;&gt;5,"n.a.",IF(I1435=0,6,IF('Inputs'!$D$5=1,COUNTIFS($I$1432:$I$1436,"&gt;0",$I$1432:$I$1436,"&lt;"&amp;I1435)+COUNTIFS($I$1432:I1435,I1435),COUNTIFS($I$1432:$I$1436,"&gt;0",$J$1432:$J$1436,"&gt;"&amp;J1435)+COUNTIFS($I$1432:I1435,"&gt;0",$J$1432:J1435,J1435))))</x:f>
        <x:v>6</x:v>
      </x:c>
      <x:c r="P1435" s="22" t="n">
        <x:f>IF(T1435="Ready",MIN(U1435,MAX(0,G1435-SUMIFS($U$1432:$U$1436,$O$1432:$O$1436,"&lt;"&amp;O1435))),"n.a.")</x:f>
        <x:v>0</x:v>
      </x:c>
      <x:c r="Q1435" s="22" t="n">
        <x:f>IF(T1435="Ready",ROUND(N1435+P1435,2),"n.a.")</x:f>
        <x:v>0</x:v>
      </x:c>
      <x:c r="R1435" s="22" t="n">
        <x:f>IF(T1435="Ready",ROUND(Q1435-M1435,2),"n.a.")</x:f>
        <x:v>0</x:v>
      </x:c>
      <x:c r="S1435" s="22" t="n">
        <x:f>IF(T1435="Ready",MAX(0,ROUND(I1435+M1435-Q1435,2)),"n.a.")</x:f>
        <x:v>0</x:v>
      </x:c>
      <x:c r="T1435" s="22" t="str">
        <x:f>IF(AND(COUNT($I$1432:$I$1436)=5,COUNT(E1435:F1435)=2),IF(E1435&gt;=F1435,"Ready","Budget below minima"),"Check inputs")</x:f>
        <x:v>Ready</x:v>
      </x:c>
      <x:c r="U1435" s="22" t="n">
        <x:f>IF(COUNT(I1435,M1435,N1435)=3,MAX(0,ROUND(I1435+M1435-N1435,2)),"n.a.")</x:f>
        <x:v>0</x:v>
      </x:c>
    </x:row>
    <x:row r="1436" ht="22" customHeight="1">
      <x:c r="A1436" s="2"/>
      <x:c r="B1436" s="2"/>
      <x:c r="C1436" s="27" t="n">
        <x:f>286</x:f>
        <x:v>286</x:v>
      </x:c>
      <x:c r="D1436" s="28" t="n">
        <x:f>IF(ISNUMBER('Inputs'!$D$7),EDATE('Inputs'!$D$7,285),"n.a.")</x:f>
        <x:v>55001</x:v>
      </x:c>
      <x:c r="E1436" s="26" t="n">
        <x:f>IF('Inputs'!$D$9&lt;&gt;"Ready","n.a.",IF(ISNUMBER('Inputs'!E304),IF('Inputs'!E304&gt;=0,'Inputs'!E304,"n.a."),IF('Inputs'!E304="",'Inputs'!$D$6,"n.a.")))</x:f>
        <x:v>500</x:v>
      </x:c>
      <x:c r="F1436" s="22" t="n">
        <x:f>IF(COUNT($N$1432:$N$1436)=5,SUM($N$1432:$N$1436),"n.a.")</x:f>
        <x:v>0</x:v>
      </x:c>
      <x:c r="G1436" s="22" t="n">
        <x:f>IF(COUNT(E1436:F1436)=2,MAX(0,E1436-F1436),"n.a.")</x:f>
        <x:v>500</x:v>
      </x:c>
      <x:c r="H1436" s="26" t="str">
        <x:f>'Inputs'!C15</x:f>
        <x:v>Unused 5</x:v>
      </x:c>
      <x:c r="I1436" s="26" t="n">
        <x:f>S1431</x:f>
        <x:v>0</x:v>
      </x:c>
      <x:c r="J1436" s="29" t="n">
        <x:f>IF('Inputs'!$D$9="Ready",'Inputs'!E15,"n.a.")</x:f>
        <x:v>0</x:v>
      </x:c>
      <x:c r="K1436" s="26" t="n">
        <x:f>IF('Inputs'!$D$9="Ready",'Inputs'!F15,"n.a.")</x:f>
        <x:v>0</x:v>
      </x:c>
      <x:c r="L1436" s="29" t="n">
        <x:f>IF('Inputs'!$D$9="Ready",'Inputs'!G15,"n.a.")</x:f>
        <x:v>0</x:v>
      </x:c>
      <x:c r="M1436" s="22" t="n">
        <x:f>IF(COUNT(I1436:L1436)=4,ROUND(I1436*J1436/12,2),"n.a.")</x:f>
        <x:v>0</x:v>
      </x:c>
      <x:c r="N1436" s="22" t="n">
        <x:f>IF(COUNT(I1436:M1436)=5,MIN(I1436+M1436,ROUND(MAX(K1436,I1436*L1436+M1436),2)),"n.a.")</x:f>
        <x:v>0</x:v>
      </x:c>
      <x:c r="O1436" s="30" t="n">
        <x:f>IF(COUNT($I$1432:$I$1436)&lt;&gt;5,"n.a.",IF(I1436=0,6,IF('Inputs'!$D$5=1,COUNTIFS($I$1432:$I$1436,"&gt;0",$I$1432:$I$1436,"&lt;"&amp;I1436)+COUNTIFS($I$1432:I1436,I1436),COUNTIFS($I$1432:$I$1436,"&gt;0",$J$1432:$J$1436,"&gt;"&amp;J1436)+COUNTIFS($I$1432:I1436,"&gt;0",$J$1432:J1436,J1436))))</x:f>
        <x:v>6</x:v>
      </x:c>
      <x:c r="P1436" s="22" t="n">
        <x:f>IF(T1436="Ready",MIN(U1436,MAX(0,G1436-SUMIFS($U$1432:$U$1436,$O$1432:$O$1436,"&lt;"&amp;O1436))),"n.a.")</x:f>
        <x:v>0</x:v>
      </x:c>
      <x:c r="Q1436" s="22" t="n">
        <x:f>IF(T1436="Ready",ROUND(N1436+P1436,2),"n.a.")</x:f>
        <x:v>0</x:v>
      </x:c>
      <x:c r="R1436" s="22" t="n">
        <x:f>IF(T1436="Ready",ROUND(Q1436-M1436,2),"n.a.")</x:f>
        <x:v>0</x:v>
      </x:c>
      <x:c r="S1436" s="22" t="n">
        <x:f>IF(T1436="Ready",MAX(0,ROUND(I1436+M1436-Q1436,2)),"n.a.")</x:f>
        <x:v>0</x:v>
      </x:c>
      <x:c r="T1436" s="22" t="str">
        <x:f>IF(AND(COUNT($I$1432:$I$1436)=5,COUNT(E1436:F1436)=2),IF(E1436&gt;=F1436,"Ready","Budget below minima"),"Check inputs")</x:f>
        <x:v>Ready</x:v>
      </x:c>
      <x:c r="U1436" s="22" t="n">
        <x:f>IF(COUNT(I1436,M1436,N1436)=3,MAX(0,ROUND(I1436+M1436-N1436,2)),"n.a.")</x:f>
        <x:v>0</x:v>
      </x:c>
    </x:row>
    <x:row r="1437" ht="22" customHeight="1">
      <x:c r="A1437" s="2"/>
      <x:c r="B1437" s="2"/>
      <x:c r="C1437" s="27" t="n">
        <x:f>287</x:f>
        <x:v>287</x:v>
      </x:c>
      <x:c r="D1437" s="28" t="n">
        <x:f>IF(ISNUMBER('Inputs'!$D$7),EDATE('Inputs'!$D$7,286),"n.a.")</x:f>
        <x:v>55032</x:v>
      </x:c>
      <x:c r="E1437" s="26" t="n">
        <x:f>IF('Inputs'!$D$9&lt;&gt;"Ready","n.a.",IF(ISNUMBER('Inputs'!E305),IF('Inputs'!E305&gt;=0,'Inputs'!E305,"n.a."),IF('Inputs'!E305="",'Inputs'!$D$6,"n.a.")))</x:f>
        <x:v>500</x:v>
      </x:c>
      <x:c r="F1437" s="22" t="n">
        <x:f>IF(COUNT($N$1437:$N$1441)=5,SUM($N$1437:$N$1441),"n.a.")</x:f>
        <x:v>0</x:v>
      </x:c>
      <x:c r="G1437" s="22" t="n">
        <x:f>IF(COUNT(E1437:F1437)=2,MAX(0,E1437-F1437),"n.a.")</x:f>
        <x:v>500</x:v>
      </x:c>
      <x:c r="H1437" s="26" t="str">
        <x:f>'Inputs'!C11</x:f>
        <x:v>Card A</x:v>
      </x:c>
      <x:c r="I1437" s="26" t="n">
        <x:f>S1432</x:f>
        <x:v>0</x:v>
      </x:c>
      <x:c r="J1437" s="29" t="n">
        <x:f>IF('Inputs'!$D$9="Ready",'Inputs'!E11,"n.a.")</x:f>
        <x:v>0.24</x:v>
      </x:c>
      <x:c r="K1437" s="26" t="n">
        <x:f>IF('Inputs'!$D$9="Ready",'Inputs'!F11,"n.a.")</x:f>
        <x:v>35</x:v>
      </x:c>
      <x:c r="L1437" s="29" t="n">
        <x:f>IF('Inputs'!$D$9="Ready",'Inputs'!G11,"n.a.")</x:f>
        <x:v>0.02</x:v>
      </x:c>
      <x:c r="M1437" s="22" t="n">
        <x:f>IF(COUNT(I1437:L1437)=4,ROUND(I1437*J1437/12,2),"n.a.")</x:f>
        <x:v>0</x:v>
      </x:c>
      <x:c r="N1437" s="22" t="n">
        <x:f>IF(COUNT(I1437:M1437)=5,MIN(I1437+M1437,ROUND(MAX(K1437,I1437*L1437+M1437),2)),"n.a.")</x:f>
        <x:v>0</x:v>
      </x:c>
      <x:c r="O1437" s="30" t="n">
        <x:f>IF(COUNT($I$1437:$I$1441)&lt;&gt;5,"n.a.",IF(I1437=0,6,IF('Inputs'!$D$5=1,COUNTIFS($I$1437:$I$1441,"&gt;0",$I$1437:$I$1441,"&lt;"&amp;I1437)+COUNTIFS($I$1437:I1437,I1437),COUNTIFS($I$1437:$I$1441,"&gt;0",$J$1437:$J$1441,"&gt;"&amp;J1437)+COUNTIFS($I$1437:I1437,"&gt;0",$J$1437:J1437,J1437))))</x:f>
        <x:v>6</x:v>
      </x:c>
      <x:c r="P1437" s="22" t="n">
        <x:f>IF(T1437="Ready",MIN(U1437,MAX(0,G1437-SUMIFS($U$1437:$U$1441,$O$1437:$O$1441,"&lt;"&amp;O1437))),"n.a.")</x:f>
        <x:v>0</x:v>
      </x:c>
      <x:c r="Q1437" s="22" t="n">
        <x:f>IF(T1437="Ready",ROUND(N1437+P1437,2),"n.a.")</x:f>
        <x:v>0</x:v>
      </x:c>
      <x:c r="R1437" s="22" t="n">
        <x:f>IF(T1437="Ready",ROUND(Q1437-M1437,2),"n.a.")</x:f>
        <x:v>0</x:v>
      </x:c>
      <x:c r="S1437" s="22" t="n">
        <x:f>IF(T1437="Ready",MAX(0,ROUND(I1437+M1437-Q1437,2)),"n.a.")</x:f>
        <x:v>0</x:v>
      </x:c>
      <x:c r="T1437" s="22" t="str">
        <x:f>IF(AND(COUNT($I$1437:$I$1441)=5,COUNT(E1437:F1437)=2),IF(E1437&gt;=F1437,"Ready","Budget below minima"),"Check inputs")</x:f>
        <x:v>Ready</x:v>
      </x:c>
      <x:c r="U1437" s="22" t="n">
        <x:f>IF(COUNT(I1437,M1437,N1437)=3,MAX(0,ROUND(I1437+M1437-N1437,2)),"n.a.")</x:f>
        <x:v>0</x:v>
      </x:c>
    </x:row>
    <x:row r="1438" ht="22" customHeight="1">
      <x:c r="A1438" s="2"/>
      <x:c r="B1438" s="2"/>
      <x:c r="C1438" s="27" t="n">
        <x:f>287</x:f>
        <x:v>287</x:v>
      </x:c>
      <x:c r="D1438" s="28" t="n">
        <x:f>IF(ISNUMBER('Inputs'!$D$7),EDATE('Inputs'!$D$7,286),"n.a.")</x:f>
        <x:v>55032</x:v>
      </x:c>
      <x:c r="E1438" s="26" t="n">
        <x:f>IF('Inputs'!$D$9&lt;&gt;"Ready","n.a.",IF(ISNUMBER('Inputs'!E305),IF('Inputs'!E305&gt;=0,'Inputs'!E305,"n.a."),IF('Inputs'!E305="",'Inputs'!$D$6,"n.a.")))</x:f>
        <x:v>500</x:v>
      </x:c>
      <x:c r="F1438" s="22" t="n">
        <x:f>IF(COUNT($N$1437:$N$1441)=5,SUM($N$1437:$N$1441),"n.a.")</x:f>
        <x:v>0</x:v>
      </x:c>
      <x:c r="G1438" s="22" t="n">
        <x:f>IF(COUNT(E1438:F1438)=2,MAX(0,E1438-F1438),"n.a.")</x:f>
        <x:v>500</x:v>
      </x:c>
      <x:c r="H1438" s="26" t="str">
        <x:f>'Inputs'!C12</x:f>
        <x:v>Card B</x:v>
      </x:c>
      <x:c r="I1438" s="26" t="n">
        <x:f>S1433</x:f>
        <x:v>0</x:v>
      </x:c>
      <x:c r="J1438" s="29" t="n">
        <x:f>IF('Inputs'!$D$9="Ready",'Inputs'!E12,"n.a.")</x:f>
        <x:v>0.18</x:v>
      </x:c>
      <x:c r="K1438" s="26" t="n">
        <x:f>IF('Inputs'!$D$9="Ready",'Inputs'!F12,"n.a.")</x:f>
        <x:v>60</x:v>
      </x:c>
      <x:c r="L1438" s="29" t="n">
        <x:f>IF('Inputs'!$D$9="Ready",'Inputs'!G12,"n.a.")</x:f>
        <x:v>0.02</x:v>
      </x:c>
      <x:c r="M1438" s="22" t="n">
        <x:f>IF(COUNT(I1438:L1438)=4,ROUND(I1438*J1438/12,2),"n.a.")</x:f>
        <x:v>0</x:v>
      </x:c>
      <x:c r="N1438" s="22" t="n">
        <x:f>IF(COUNT(I1438:M1438)=5,MIN(I1438+M1438,ROUND(MAX(K1438,I1438*L1438+M1438),2)),"n.a.")</x:f>
        <x:v>0</x:v>
      </x:c>
      <x:c r="O1438" s="30" t="n">
        <x:f>IF(COUNT($I$1437:$I$1441)&lt;&gt;5,"n.a.",IF(I1438=0,6,IF('Inputs'!$D$5=1,COUNTIFS($I$1437:$I$1441,"&gt;0",$I$1437:$I$1441,"&lt;"&amp;I1438)+COUNTIFS($I$1437:I1438,I1438),COUNTIFS($I$1437:$I$1441,"&gt;0",$J$1437:$J$1441,"&gt;"&amp;J1438)+COUNTIFS($I$1437:I1438,"&gt;0",$J$1437:J1438,J1438))))</x:f>
        <x:v>6</x:v>
      </x:c>
      <x:c r="P1438" s="22" t="n">
        <x:f>IF(T1438="Ready",MIN(U1438,MAX(0,G1438-SUMIFS($U$1437:$U$1441,$O$1437:$O$1441,"&lt;"&amp;O1438))),"n.a.")</x:f>
        <x:v>0</x:v>
      </x:c>
      <x:c r="Q1438" s="22" t="n">
        <x:f>IF(T1438="Ready",ROUND(N1438+P1438,2),"n.a.")</x:f>
        <x:v>0</x:v>
      </x:c>
      <x:c r="R1438" s="22" t="n">
        <x:f>IF(T1438="Ready",ROUND(Q1438-M1438,2),"n.a.")</x:f>
        <x:v>0</x:v>
      </x:c>
      <x:c r="S1438" s="22" t="n">
        <x:f>IF(T1438="Ready",MAX(0,ROUND(I1438+M1438-Q1438,2)),"n.a.")</x:f>
        <x:v>0</x:v>
      </x:c>
      <x:c r="T1438" s="22" t="str">
        <x:f>IF(AND(COUNT($I$1437:$I$1441)=5,COUNT(E1438:F1438)=2),IF(E1438&gt;=F1438,"Ready","Budget below minima"),"Check inputs")</x:f>
        <x:v>Ready</x:v>
      </x:c>
      <x:c r="U1438" s="22" t="n">
        <x:f>IF(COUNT(I1438,M1438,N1438)=3,MAX(0,ROUND(I1438+M1438-N1438,2)),"n.a.")</x:f>
        <x:v>0</x:v>
      </x:c>
    </x:row>
    <x:row r="1439" ht="22" customHeight="1">
      <x:c r="A1439" s="2"/>
      <x:c r="B1439" s="2"/>
      <x:c r="C1439" s="27" t="n">
        <x:f>287</x:f>
        <x:v>287</x:v>
      </x:c>
      <x:c r="D1439" s="28" t="n">
        <x:f>IF(ISNUMBER('Inputs'!$D$7),EDATE('Inputs'!$D$7,286),"n.a.")</x:f>
        <x:v>55032</x:v>
      </x:c>
      <x:c r="E1439" s="26" t="n">
        <x:f>IF('Inputs'!$D$9&lt;&gt;"Ready","n.a.",IF(ISNUMBER('Inputs'!E305),IF('Inputs'!E305&gt;=0,'Inputs'!E305,"n.a."),IF('Inputs'!E305="",'Inputs'!$D$6,"n.a.")))</x:f>
        <x:v>500</x:v>
      </x:c>
      <x:c r="F1439" s="22" t="n">
        <x:f>IF(COUNT($N$1437:$N$1441)=5,SUM($N$1437:$N$1441),"n.a.")</x:f>
        <x:v>0</x:v>
      </x:c>
      <x:c r="G1439" s="22" t="n">
        <x:f>IF(COUNT(E1439:F1439)=2,MAX(0,E1439-F1439),"n.a.")</x:f>
        <x:v>500</x:v>
      </x:c>
      <x:c r="H1439" s="26" t="str">
        <x:f>'Inputs'!C13</x:f>
        <x:v>Loan C</x:v>
      </x:c>
      <x:c r="I1439" s="26" t="n">
        <x:f>S1434</x:f>
        <x:v>0</x:v>
      </x:c>
      <x:c r="J1439" s="29" t="n">
        <x:f>IF('Inputs'!$D$9="Ready",'Inputs'!E13,"n.a.")</x:f>
        <x:v>0.08</x:v>
      </x:c>
      <x:c r="K1439" s="26" t="n">
        <x:f>IF('Inputs'!$D$9="Ready",'Inputs'!F13,"n.a.")</x:f>
        <x:v>150</x:v>
      </x:c>
      <x:c r="L1439" s="29" t="n">
        <x:f>IF('Inputs'!$D$9="Ready",'Inputs'!G13,"n.a.")</x:f>
        <x:v>0</x:v>
      </x:c>
      <x:c r="M1439" s="22" t="n">
        <x:f>IF(COUNT(I1439:L1439)=4,ROUND(I1439*J1439/12,2),"n.a.")</x:f>
        <x:v>0</x:v>
      </x:c>
      <x:c r="N1439" s="22" t="n">
        <x:f>IF(COUNT(I1439:M1439)=5,MIN(I1439+M1439,ROUND(MAX(K1439,I1439*L1439+M1439),2)),"n.a.")</x:f>
        <x:v>0</x:v>
      </x:c>
      <x:c r="O1439" s="30" t="n">
        <x:f>IF(COUNT($I$1437:$I$1441)&lt;&gt;5,"n.a.",IF(I1439=0,6,IF('Inputs'!$D$5=1,COUNTIFS($I$1437:$I$1441,"&gt;0",$I$1437:$I$1441,"&lt;"&amp;I1439)+COUNTIFS($I$1437:I1439,I1439),COUNTIFS($I$1437:$I$1441,"&gt;0",$J$1437:$J$1441,"&gt;"&amp;J1439)+COUNTIFS($I$1437:I1439,"&gt;0",$J$1437:J1439,J1439))))</x:f>
        <x:v>6</x:v>
      </x:c>
      <x:c r="P1439" s="22" t="n">
        <x:f>IF(T1439="Ready",MIN(U1439,MAX(0,G1439-SUMIFS($U$1437:$U$1441,$O$1437:$O$1441,"&lt;"&amp;O1439))),"n.a.")</x:f>
        <x:v>0</x:v>
      </x:c>
      <x:c r="Q1439" s="22" t="n">
        <x:f>IF(T1439="Ready",ROUND(N1439+P1439,2),"n.a.")</x:f>
        <x:v>0</x:v>
      </x:c>
      <x:c r="R1439" s="22" t="n">
        <x:f>IF(T1439="Ready",ROUND(Q1439-M1439,2),"n.a.")</x:f>
        <x:v>0</x:v>
      </x:c>
      <x:c r="S1439" s="22" t="n">
        <x:f>IF(T1439="Ready",MAX(0,ROUND(I1439+M1439-Q1439,2)),"n.a.")</x:f>
        <x:v>0</x:v>
      </x:c>
      <x:c r="T1439" s="22" t="str">
        <x:f>IF(AND(COUNT($I$1437:$I$1441)=5,COUNT(E1439:F1439)=2),IF(E1439&gt;=F1439,"Ready","Budget below minima"),"Check inputs")</x:f>
        <x:v>Ready</x:v>
      </x:c>
      <x:c r="U1439" s="22" t="n">
        <x:f>IF(COUNT(I1439,M1439,N1439)=3,MAX(0,ROUND(I1439+M1439-N1439,2)),"n.a.")</x:f>
        <x:v>0</x:v>
      </x:c>
    </x:row>
    <x:row r="1440" ht="22" customHeight="1">
      <x:c r="A1440" s="2"/>
      <x:c r="B1440" s="2"/>
      <x:c r="C1440" s="27" t="n">
        <x:f>287</x:f>
        <x:v>287</x:v>
      </x:c>
      <x:c r="D1440" s="28" t="n">
        <x:f>IF(ISNUMBER('Inputs'!$D$7),EDATE('Inputs'!$D$7,286),"n.a.")</x:f>
        <x:v>55032</x:v>
      </x:c>
      <x:c r="E1440" s="26" t="n">
        <x:f>IF('Inputs'!$D$9&lt;&gt;"Ready","n.a.",IF(ISNUMBER('Inputs'!E305),IF('Inputs'!E305&gt;=0,'Inputs'!E305,"n.a."),IF('Inputs'!E305="",'Inputs'!$D$6,"n.a.")))</x:f>
        <x:v>500</x:v>
      </x:c>
      <x:c r="F1440" s="22" t="n">
        <x:f>IF(COUNT($N$1437:$N$1441)=5,SUM($N$1437:$N$1441),"n.a.")</x:f>
        <x:v>0</x:v>
      </x:c>
      <x:c r="G1440" s="22" t="n">
        <x:f>IF(COUNT(E1440:F1440)=2,MAX(0,E1440-F1440),"n.a.")</x:f>
        <x:v>500</x:v>
      </x:c>
      <x:c r="H1440" s="26" t="str">
        <x:f>'Inputs'!C14</x:f>
        <x:v>Unused 4</x:v>
      </x:c>
      <x:c r="I1440" s="26" t="n">
        <x:f>S1435</x:f>
        <x:v>0</x:v>
      </x:c>
      <x:c r="J1440" s="29" t="n">
        <x:f>IF('Inputs'!$D$9="Ready",'Inputs'!E14,"n.a.")</x:f>
        <x:v>0</x:v>
      </x:c>
      <x:c r="K1440" s="26" t="n">
        <x:f>IF('Inputs'!$D$9="Ready",'Inputs'!F14,"n.a.")</x:f>
        <x:v>0</x:v>
      </x:c>
      <x:c r="L1440" s="29" t="n">
        <x:f>IF('Inputs'!$D$9="Ready",'Inputs'!G14,"n.a.")</x:f>
        <x:v>0</x:v>
      </x:c>
      <x:c r="M1440" s="22" t="n">
        <x:f>IF(COUNT(I1440:L1440)=4,ROUND(I1440*J1440/12,2),"n.a.")</x:f>
        <x:v>0</x:v>
      </x:c>
      <x:c r="N1440" s="22" t="n">
        <x:f>IF(COUNT(I1440:M1440)=5,MIN(I1440+M1440,ROUND(MAX(K1440,I1440*L1440+M1440),2)),"n.a.")</x:f>
        <x:v>0</x:v>
      </x:c>
      <x:c r="O1440" s="30" t="n">
        <x:f>IF(COUNT($I$1437:$I$1441)&lt;&gt;5,"n.a.",IF(I1440=0,6,IF('Inputs'!$D$5=1,COUNTIFS($I$1437:$I$1441,"&gt;0",$I$1437:$I$1441,"&lt;"&amp;I1440)+COUNTIFS($I$1437:I1440,I1440),COUNTIFS($I$1437:$I$1441,"&gt;0",$J$1437:$J$1441,"&gt;"&amp;J1440)+COUNTIFS($I$1437:I1440,"&gt;0",$J$1437:J1440,J1440))))</x:f>
        <x:v>6</x:v>
      </x:c>
      <x:c r="P1440" s="22" t="n">
        <x:f>IF(T1440="Ready",MIN(U1440,MAX(0,G1440-SUMIFS($U$1437:$U$1441,$O$1437:$O$1441,"&lt;"&amp;O1440))),"n.a.")</x:f>
        <x:v>0</x:v>
      </x:c>
      <x:c r="Q1440" s="22" t="n">
        <x:f>IF(T1440="Ready",ROUND(N1440+P1440,2),"n.a.")</x:f>
        <x:v>0</x:v>
      </x:c>
      <x:c r="R1440" s="22" t="n">
        <x:f>IF(T1440="Ready",ROUND(Q1440-M1440,2),"n.a.")</x:f>
        <x:v>0</x:v>
      </x:c>
      <x:c r="S1440" s="22" t="n">
        <x:f>IF(T1440="Ready",MAX(0,ROUND(I1440+M1440-Q1440,2)),"n.a.")</x:f>
        <x:v>0</x:v>
      </x:c>
      <x:c r="T1440" s="22" t="str">
        <x:f>IF(AND(COUNT($I$1437:$I$1441)=5,COUNT(E1440:F1440)=2),IF(E1440&gt;=F1440,"Ready","Budget below minima"),"Check inputs")</x:f>
        <x:v>Ready</x:v>
      </x:c>
      <x:c r="U1440" s="22" t="n">
        <x:f>IF(COUNT(I1440,M1440,N1440)=3,MAX(0,ROUND(I1440+M1440-N1440,2)),"n.a.")</x:f>
        <x:v>0</x:v>
      </x:c>
    </x:row>
    <x:row r="1441" ht="22" customHeight="1">
      <x:c r="A1441" s="2"/>
      <x:c r="B1441" s="2"/>
      <x:c r="C1441" s="27" t="n">
        <x:f>287</x:f>
        <x:v>287</x:v>
      </x:c>
      <x:c r="D1441" s="28" t="n">
        <x:f>IF(ISNUMBER('Inputs'!$D$7),EDATE('Inputs'!$D$7,286),"n.a.")</x:f>
        <x:v>55032</x:v>
      </x:c>
      <x:c r="E1441" s="26" t="n">
        <x:f>IF('Inputs'!$D$9&lt;&gt;"Ready","n.a.",IF(ISNUMBER('Inputs'!E305),IF('Inputs'!E305&gt;=0,'Inputs'!E305,"n.a."),IF('Inputs'!E305="",'Inputs'!$D$6,"n.a.")))</x:f>
        <x:v>500</x:v>
      </x:c>
      <x:c r="F1441" s="22" t="n">
        <x:f>IF(COUNT($N$1437:$N$1441)=5,SUM($N$1437:$N$1441),"n.a.")</x:f>
        <x:v>0</x:v>
      </x:c>
      <x:c r="G1441" s="22" t="n">
        <x:f>IF(COUNT(E1441:F1441)=2,MAX(0,E1441-F1441),"n.a.")</x:f>
        <x:v>500</x:v>
      </x:c>
      <x:c r="H1441" s="26" t="str">
        <x:f>'Inputs'!C15</x:f>
        <x:v>Unused 5</x:v>
      </x:c>
      <x:c r="I1441" s="26" t="n">
        <x:f>S1436</x:f>
        <x:v>0</x:v>
      </x:c>
      <x:c r="J1441" s="29" t="n">
        <x:f>IF('Inputs'!$D$9="Ready",'Inputs'!E15,"n.a.")</x:f>
        <x:v>0</x:v>
      </x:c>
      <x:c r="K1441" s="26" t="n">
        <x:f>IF('Inputs'!$D$9="Ready",'Inputs'!F15,"n.a.")</x:f>
        <x:v>0</x:v>
      </x:c>
      <x:c r="L1441" s="29" t="n">
        <x:f>IF('Inputs'!$D$9="Ready",'Inputs'!G15,"n.a.")</x:f>
        <x:v>0</x:v>
      </x:c>
      <x:c r="M1441" s="22" t="n">
        <x:f>IF(COUNT(I1441:L1441)=4,ROUND(I1441*J1441/12,2),"n.a.")</x:f>
        <x:v>0</x:v>
      </x:c>
      <x:c r="N1441" s="22" t="n">
        <x:f>IF(COUNT(I1441:M1441)=5,MIN(I1441+M1441,ROUND(MAX(K1441,I1441*L1441+M1441),2)),"n.a.")</x:f>
        <x:v>0</x:v>
      </x:c>
      <x:c r="O1441" s="30" t="n">
        <x:f>IF(COUNT($I$1437:$I$1441)&lt;&gt;5,"n.a.",IF(I1441=0,6,IF('Inputs'!$D$5=1,COUNTIFS($I$1437:$I$1441,"&gt;0",$I$1437:$I$1441,"&lt;"&amp;I1441)+COUNTIFS($I$1437:I1441,I1441),COUNTIFS($I$1437:$I$1441,"&gt;0",$J$1437:$J$1441,"&gt;"&amp;J1441)+COUNTIFS($I$1437:I1441,"&gt;0",$J$1437:J1441,J1441))))</x:f>
        <x:v>6</x:v>
      </x:c>
      <x:c r="P1441" s="22" t="n">
        <x:f>IF(T1441="Ready",MIN(U1441,MAX(0,G1441-SUMIFS($U$1437:$U$1441,$O$1437:$O$1441,"&lt;"&amp;O1441))),"n.a.")</x:f>
        <x:v>0</x:v>
      </x:c>
      <x:c r="Q1441" s="22" t="n">
        <x:f>IF(T1441="Ready",ROUND(N1441+P1441,2),"n.a.")</x:f>
        <x:v>0</x:v>
      </x:c>
      <x:c r="R1441" s="22" t="n">
        <x:f>IF(T1441="Ready",ROUND(Q1441-M1441,2),"n.a.")</x:f>
        <x:v>0</x:v>
      </x:c>
      <x:c r="S1441" s="22" t="n">
        <x:f>IF(T1441="Ready",MAX(0,ROUND(I1441+M1441-Q1441,2)),"n.a.")</x:f>
        <x:v>0</x:v>
      </x:c>
      <x:c r="T1441" s="22" t="str">
        <x:f>IF(AND(COUNT($I$1437:$I$1441)=5,COUNT(E1441:F1441)=2),IF(E1441&gt;=F1441,"Ready","Budget below minima"),"Check inputs")</x:f>
        <x:v>Ready</x:v>
      </x:c>
      <x:c r="U1441" s="22" t="n">
        <x:f>IF(COUNT(I1441,M1441,N1441)=3,MAX(0,ROUND(I1441+M1441-N1441,2)),"n.a.")</x:f>
        <x:v>0</x:v>
      </x:c>
    </x:row>
    <x:row r="1442" ht="22" customHeight="1">
      <x:c r="A1442" s="2"/>
      <x:c r="B1442" s="2"/>
      <x:c r="C1442" s="27" t="n">
        <x:f>288</x:f>
        <x:v>288</x:v>
      </x:c>
      <x:c r="D1442" s="28" t="n">
        <x:f>IF(ISNUMBER('Inputs'!$D$7),EDATE('Inputs'!$D$7,287),"n.a.")</x:f>
        <x:v>55062</x:v>
      </x:c>
      <x:c r="E1442" s="26" t="n">
        <x:f>IF('Inputs'!$D$9&lt;&gt;"Ready","n.a.",IF(ISNUMBER('Inputs'!E306),IF('Inputs'!E306&gt;=0,'Inputs'!E306,"n.a."),IF('Inputs'!E306="",'Inputs'!$D$6,"n.a.")))</x:f>
        <x:v>500</x:v>
      </x:c>
      <x:c r="F1442" s="22" t="n">
        <x:f>IF(COUNT($N$1442:$N$1446)=5,SUM($N$1442:$N$1446),"n.a.")</x:f>
        <x:v>0</x:v>
      </x:c>
      <x:c r="G1442" s="22" t="n">
        <x:f>IF(COUNT(E1442:F1442)=2,MAX(0,E1442-F1442),"n.a.")</x:f>
        <x:v>500</x:v>
      </x:c>
      <x:c r="H1442" s="26" t="str">
        <x:f>'Inputs'!C11</x:f>
        <x:v>Card A</x:v>
      </x:c>
      <x:c r="I1442" s="26" t="n">
        <x:f>S1437</x:f>
        <x:v>0</x:v>
      </x:c>
      <x:c r="J1442" s="29" t="n">
        <x:f>IF('Inputs'!$D$9="Ready",'Inputs'!E11,"n.a.")</x:f>
        <x:v>0.24</x:v>
      </x:c>
      <x:c r="K1442" s="26" t="n">
        <x:f>IF('Inputs'!$D$9="Ready",'Inputs'!F11,"n.a.")</x:f>
        <x:v>35</x:v>
      </x:c>
      <x:c r="L1442" s="29" t="n">
        <x:f>IF('Inputs'!$D$9="Ready",'Inputs'!G11,"n.a.")</x:f>
        <x:v>0.02</x:v>
      </x:c>
      <x:c r="M1442" s="22" t="n">
        <x:f>IF(COUNT(I1442:L1442)=4,ROUND(I1442*J1442/12,2),"n.a.")</x:f>
        <x:v>0</x:v>
      </x:c>
      <x:c r="N1442" s="22" t="n">
        <x:f>IF(COUNT(I1442:M1442)=5,MIN(I1442+M1442,ROUND(MAX(K1442,I1442*L1442+M1442),2)),"n.a.")</x:f>
        <x:v>0</x:v>
      </x:c>
      <x:c r="O1442" s="30" t="n">
        <x:f>IF(COUNT($I$1442:$I$1446)&lt;&gt;5,"n.a.",IF(I1442=0,6,IF('Inputs'!$D$5=1,COUNTIFS($I$1442:$I$1446,"&gt;0",$I$1442:$I$1446,"&lt;"&amp;I1442)+COUNTIFS($I$1442:I1442,I1442),COUNTIFS($I$1442:$I$1446,"&gt;0",$J$1442:$J$1446,"&gt;"&amp;J1442)+COUNTIFS($I$1442:I1442,"&gt;0",$J$1442:J1442,J1442))))</x:f>
        <x:v>6</x:v>
      </x:c>
      <x:c r="P1442" s="22" t="n">
        <x:f>IF(T1442="Ready",MIN(U1442,MAX(0,G1442-SUMIFS($U$1442:$U$1446,$O$1442:$O$1446,"&lt;"&amp;O1442))),"n.a.")</x:f>
        <x:v>0</x:v>
      </x:c>
      <x:c r="Q1442" s="22" t="n">
        <x:f>IF(T1442="Ready",ROUND(N1442+P1442,2),"n.a.")</x:f>
        <x:v>0</x:v>
      </x:c>
      <x:c r="R1442" s="22" t="n">
        <x:f>IF(T1442="Ready",ROUND(Q1442-M1442,2),"n.a.")</x:f>
        <x:v>0</x:v>
      </x:c>
      <x:c r="S1442" s="22" t="n">
        <x:f>IF(T1442="Ready",MAX(0,ROUND(I1442+M1442-Q1442,2)),"n.a.")</x:f>
        <x:v>0</x:v>
      </x:c>
      <x:c r="T1442" s="22" t="str">
        <x:f>IF(AND(COUNT($I$1442:$I$1446)=5,COUNT(E1442:F1442)=2),IF(E1442&gt;=F1442,"Ready","Budget below minima"),"Check inputs")</x:f>
        <x:v>Ready</x:v>
      </x:c>
      <x:c r="U1442" s="22" t="n">
        <x:f>IF(COUNT(I1442,M1442,N1442)=3,MAX(0,ROUND(I1442+M1442-N1442,2)),"n.a.")</x:f>
        <x:v>0</x:v>
      </x:c>
    </x:row>
    <x:row r="1443" ht="22" customHeight="1">
      <x:c r="A1443" s="2"/>
      <x:c r="B1443" s="2"/>
      <x:c r="C1443" s="27" t="n">
        <x:f>288</x:f>
        <x:v>288</x:v>
      </x:c>
      <x:c r="D1443" s="28" t="n">
        <x:f>IF(ISNUMBER('Inputs'!$D$7),EDATE('Inputs'!$D$7,287),"n.a.")</x:f>
        <x:v>55062</x:v>
      </x:c>
      <x:c r="E1443" s="26" t="n">
        <x:f>IF('Inputs'!$D$9&lt;&gt;"Ready","n.a.",IF(ISNUMBER('Inputs'!E306),IF('Inputs'!E306&gt;=0,'Inputs'!E306,"n.a."),IF('Inputs'!E306="",'Inputs'!$D$6,"n.a.")))</x:f>
        <x:v>500</x:v>
      </x:c>
      <x:c r="F1443" s="22" t="n">
        <x:f>IF(COUNT($N$1442:$N$1446)=5,SUM($N$1442:$N$1446),"n.a.")</x:f>
        <x:v>0</x:v>
      </x:c>
      <x:c r="G1443" s="22" t="n">
        <x:f>IF(COUNT(E1443:F1443)=2,MAX(0,E1443-F1443),"n.a.")</x:f>
        <x:v>500</x:v>
      </x:c>
      <x:c r="H1443" s="26" t="str">
        <x:f>'Inputs'!C12</x:f>
        <x:v>Card B</x:v>
      </x:c>
      <x:c r="I1443" s="26" t="n">
        <x:f>S1438</x:f>
        <x:v>0</x:v>
      </x:c>
      <x:c r="J1443" s="29" t="n">
        <x:f>IF('Inputs'!$D$9="Ready",'Inputs'!E12,"n.a.")</x:f>
        <x:v>0.18</x:v>
      </x:c>
      <x:c r="K1443" s="26" t="n">
        <x:f>IF('Inputs'!$D$9="Ready",'Inputs'!F12,"n.a.")</x:f>
        <x:v>60</x:v>
      </x:c>
      <x:c r="L1443" s="29" t="n">
        <x:f>IF('Inputs'!$D$9="Ready",'Inputs'!G12,"n.a.")</x:f>
        <x:v>0.02</x:v>
      </x:c>
      <x:c r="M1443" s="22" t="n">
        <x:f>IF(COUNT(I1443:L1443)=4,ROUND(I1443*J1443/12,2),"n.a.")</x:f>
        <x:v>0</x:v>
      </x:c>
      <x:c r="N1443" s="22" t="n">
        <x:f>IF(COUNT(I1443:M1443)=5,MIN(I1443+M1443,ROUND(MAX(K1443,I1443*L1443+M1443),2)),"n.a.")</x:f>
        <x:v>0</x:v>
      </x:c>
      <x:c r="O1443" s="30" t="n">
        <x:f>IF(COUNT($I$1442:$I$1446)&lt;&gt;5,"n.a.",IF(I1443=0,6,IF('Inputs'!$D$5=1,COUNTIFS($I$1442:$I$1446,"&gt;0",$I$1442:$I$1446,"&lt;"&amp;I1443)+COUNTIFS($I$1442:I1443,I1443),COUNTIFS($I$1442:$I$1446,"&gt;0",$J$1442:$J$1446,"&gt;"&amp;J1443)+COUNTIFS($I$1442:I1443,"&gt;0",$J$1442:J1443,J1443))))</x:f>
        <x:v>6</x:v>
      </x:c>
      <x:c r="P1443" s="22" t="n">
        <x:f>IF(T1443="Ready",MIN(U1443,MAX(0,G1443-SUMIFS($U$1442:$U$1446,$O$1442:$O$1446,"&lt;"&amp;O1443))),"n.a.")</x:f>
        <x:v>0</x:v>
      </x:c>
      <x:c r="Q1443" s="22" t="n">
        <x:f>IF(T1443="Ready",ROUND(N1443+P1443,2),"n.a.")</x:f>
        <x:v>0</x:v>
      </x:c>
      <x:c r="R1443" s="22" t="n">
        <x:f>IF(T1443="Ready",ROUND(Q1443-M1443,2),"n.a.")</x:f>
        <x:v>0</x:v>
      </x:c>
      <x:c r="S1443" s="22" t="n">
        <x:f>IF(T1443="Ready",MAX(0,ROUND(I1443+M1443-Q1443,2)),"n.a.")</x:f>
        <x:v>0</x:v>
      </x:c>
      <x:c r="T1443" s="22" t="str">
        <x:f>IF(AND(COUNT($I$1442:$I$1446)=5,COUNT(E1443:F1443)=2),IF(E1443&gt;=F1443,"Ready","Budget below minima"),"Check inputs")</x:f>
        <x:v>Ready</x:v>
      </x:c>
      <x:c r="U1443" s="22" t="n">
        <x:f>IF(COUNT(I1443,M1443,N1443)=3,MAX(0,ROUND(I1443+M1443-N1443,2)),"n.a.")</x:f>
        <x:v>0</x:v>
      </x:c>
    </x:row>
    <x:row r="1444" ht="22" customHeight="1">
      <x:c r="A1444" s="2"/>
      <x:c r="B1444" s="2"/>
      <x:c r="C1444" s="27" t="n">
        <x:f>288</x:f>
        <x:v>288</x:v>
      </x:c>
      <x:c r="D1444" s="28" t="n">
        <x:f>IF(ISNUMBER('Inputs'!$D$7),EDATE('Inputs'!$D$7,287),"n.a.")</x:f>
        <x:v>55062</x:v>
      </x:c>
      <x:c r="E1444" s="26" t="n">
        <x:f>IF('Inputs'!$D$9&lt;&gt;"Ready","n.a.",IF(ISNUMBER('Inputs'!E306),IF('Inputs'!E306&gt;=0,'Inputs'!E306,"n.a."),IF('Inputs'!E306="",'Inputs'!$D$6,"n.a.")))</x:f>
        <x:v>500</x:v>
      </x:c>
      <x:c r="F1444" s="22" t="n">
        <x:f>IF(COUNT($N$1442:$N$1446)=5,SUM($N$1442:$N$1446),"n.a.")</x:f>
        <x:v>0</x:v>
      </x:c>
      <x:c r="G1444" s="22" t="n">
        <x:f>IF(COUNT(E1444:F1444)=2,MAX(0,E1444-F1444),"n.a.")</x:f>
        <x:v>500</x:v>
      </x:c>
      <x:c r="H1444" s="26" t="str">
        <x:f>'Inputs'!C13</x:f>
        <x:v>Loan C</x:v>
      </x:c>
      <x:c r="I1444" s="26" t="n">
        <x:f>S1439</x:f>
        <x:v>0</x:v>
      </x:c>
      <x:c r="J1444" s="29" t="n">
        <x:f>IF('Inputs'!$D$9="Ready",'Inputs'!E13,"n.a.")</x:f>
        <x:v>0.08</x:v>
      </x:c>
      <x:c r="K1444" s="26" t="n">
        <x:f>IF('Inputs'!$D$9="Ready",'Inputs'!F13,"n.a.")</x:f>
        <x:v>150</x:v>
      </x:c>
      <x:c r="L1444" s="29" t="n">
        <x:f>IF('Inputs'!$D$9="Ready",'Inputs'!G13,"n.a.")</x:f>
        <x:v>0</x:v>
      </x:c>
      <x:c r="M1444" s="22" t="n">
        <x:f>IF(COUNT(I1444:L1444)=4,ROUND(I1444*J1444/12,2),"n.a.")</x:f>
        <x:v>0</x:v>
      </x:c>
      <x:c r="N1444" s="22" t="n">
        <x:f>IF(COUNT(I1444:M1444)=5,MIN(I1444+M1444,ROUND(MAX(K1444,I1444*L1444+M1444),2)),"n.a.")</x:f>
        <x:v>0</x:v>
      </x:c>
      <x:c r="O1444" s="30" t="n">
        <x:f>IF(COUNT($I$1442:$I$1446)&lt;&gt;5,"n.a.",IF(I1444=0,6,IF('Inputs'!$D$5=1,COUNTIFS($I$1442:$I$1446,"&gt;0",$I$1442:$I$1446,"&lt;"&amp;I1444)+COUNTIFS($I$1442:I1444,I1444),COUNTIFS($I$1442:$I$1446,"&gt;0",$J$1442:$J$1446,"&gt;"&amp;J1444)+COUNTIFS($I$1442:I1444,"&gt;0",$J$1442:J1444,J1444))))</x:f>
        <x:v>6</x:v>
      </x:c>
      <x:c r="P1444" s="22" t="n">
        <x:f>IF(T1444="Ready",MIN(U1444,MAX(0,G1444-SUMIFS($U$1442:$U$1446,$O$1442:$O$1446,"&lt;"&amp;O1444))),"n.a.")</x:f>
        <x:v>0</x:v>
      </x:c>
      <x:c r="Q1444" s="22" t="n">
        <x:f>IF(T1444="Ready",ROUND(N1444+P1444,2),"n.a.")</x:f>
        <x:v>0</x:v>
      </x:c>
      <x:c r="R1444" s="22" t="n">
        <x:f>IF(T1444="Ready",ROUND(Q1444-M1444,2),"n.a.")</x:f>
        <x:v>0</x:v>
      </x:c>
      <x:c r="S1444" s="22" t="n">
        <x:f>IF(T1444="Ready",MAX(0,ROUND(I1444+M1444-Q1444,2)),"n.a.")</x:f>
        <x:v>0</x:v>
      </x:c>
      <x:c r="T1444" s="22" t="str">
        <x:f>IF(AND(COUNT($I$1442:$I$1446)=5,COUNT(E1444:F1444)=2),IF(E1444&gt;=F1444,"Ready","Budget below minima"),"Check inputs")</x:f>
        <x:v>Ready</x:v>
      </x:c>
      <x:c r="U1444" s="22" t="n">
        <x:f>IF(COUNT(I1444,M1444,N1444)=3,MAX(0,ROUND(I1444+M1444-N1444,2)),"n.a.")</x:f>
        <x:v>0</x:v>
      </x:c>
    </x:row>
    <x:row r="1445" ht="22" customHeight="1">
      <x:c r="A1445" s="2"/>
      <x:c r="B1445" s="2"/>
      <x:c r="C1445" s="27" t="n">
        <x:f>288</x:f>
        <x:v>288</x:v>
      </x:c>
      <x:c r="D1445" s="28" t="n">
        <x:f>IF(ISNUMBER('Inputs'!$D$7),EDATE('Inputs'!$D$7,287),"n.a.")</x:f>
        <x:v>55062</x:v>
      </x:c>
      <x:c r="E1445" s="26" t="n">
        <x:f>IF('Inputs'!$D$9&lt;&gt;"Ready","n.a.",IF(ISNUMBER('Inputs'!E306),IF('Inputs'!E306&gt;=0,'Inputs'!E306,"n.a."),IF('Inputs'!E306="",'Inputs'!$D$6,"n.a.")))</x:f>
        <x:v>500</x:v>
      </x:c>
      <x:c r="F1445" s="22" t="n">
        <x:f>IF(COUNT($N$1442:$N$1446)=5,SUM($N$1442:$N$1446),"n.a.")</x:f>
        <x:v>0</x:v>
      </x:c>
      <x:c r="G1445" s="22" t="n">
        <x:f>IF(COUNT(E1445:F1445)=2,MAX(0,E1445-F1445),"n.a.")</x:f>
        <x:v>500</x:v>
      </x:c>
      <x:c r="H1445" s="26" t="str">
        <x:f>'Inputs'!C14</x:f>
        <x:v>Unused 4</x:v>
      </x:c>
      <x:c r="I1445" s="26" t="n">
        <x:f>S1440</x:f>
        <x:v>0</x:v>
      </x:c>
      <x:c r="J1445" s="29" t="n">
        <x:f>IF('Inputs'!$D$9="Ready",'Inputs'!E14,"n.a.")</x:f>
        <x:v>0</x:v>
      </x:c>
      <x:c r="K1445" s="26" t="n">
        <x:f>IF('Inputs'!$D$9="Ready",'Inputs'!F14,"n.a.")</x:f>
        <x:v>0</x:v>
      </x:c>
      <x:c r="L1445" s="29" t="n">
        <x:f>IF('Inputs'!$D$9="Ready",'Inputs'!G14,"n.a.")</x:f>
        <x:v>0</x:v>
      </x:c>
      <x:c r="M1445" s="22" t="n">
        <x:f>IF(COUNT(I1445:L1445)=4,ROUND(I1445*J1445/12,2),"n.a.")</x:f>
        <x:v>0</x:v>
      </x:c>
      <x:c r="N1445" s="22" t="n">
        <x:f>IF(COUNT(I1445:M1445)=5,MIN(I1445+M1445,ROUND(MAX(K1445,I1445*L1445+M1445),2)),"n.a.")</x:f>
        <x:v>0</x:v>
      </x:c>
      <x:c r="O1445" s="30" t="n">
        <x:f>IF(COUNT($I$1442:$I$1446)&lt;&gt;5,"n.a.",IF(I1445=0,6,IF('Inputs'!$D$5=1,COUNTIFS($I$1442:$I$1446,"&gt;0",$I$1442:$I$1446,"&lt;"&amp;I1445)+COUNTIFS($I$1442:I1445,I1445),COUNTIFS($I$1442:$I$1446,"&gt;0",$J$1442:$J$1446,"&gt;"&amp;J1445)+COUNTIFS($I$1442:I1445,"&gt;0",$J$1442:J1445,J1445))))</x:f>
        <x:v>6</x:v>
      </x:c>
      <x:c r="P1445" s="22" t="n">
        <x:f>IF(T1445="Ready",MIN(U1445,MAX(0,G1445-SUMIFS($U$1442:$U$1446,$O$1442:$O$1446,"&lt;"&amp;O1445))),"n.a.")</x:f>
        <x:v>0</x:v>
      </x:c>
      <x:c r="Q1445" s="22" t="n">
        <x:f>IF(T1445="Ready",ROUND(N1445+P1445,2),"n.a.")</x:f>
        <x:v>0</x:v>
      </x:c>
      <x:c r="R1445" s="22" t="n">
        <x:f>IF(T1445="Ready",ROUND(Q1445-M1445,2),"n.a.")</x:f>
        <x:v>0</x:v>
      </x:c>
      <x:c r="S1445" s="22" t="n">
        <x:f>IF(T1445="Ready",MAX(0,ROUND(I1445+M1445-Q1445,2)),"n.a.")</x:f>
        <x:v>0</x:v>
      </x:c>
      <x:c r="T1445" s="22" t="str">
        <x:f>IF(AND(COUNT($I$1442:$I$1446)=5,COUNT(E1445:F1445)=2),IF(E1445&gt;=F1445,"Ready","Budget below minima"),"Check inputs")</x:f>
        <x:v>Ready</x:v>
      </x:c>
      <x:c r="U1445" s="22" t="n">
        <x:f>IF(COUNT(I1445,M1445,N1445)=3,MAX(0,ROUND(I1445+M1445-N1445,2)),"n.a.")</x:f>
        <x:v>0</x:v>
      </x:c>
    </x:row>
    <x:row r="1446" ht="22" customHeight="1">
      <x:c r="A1446" s="2"/>
      <x:c r="B1446" s="2"/>
      <x:c r="C1446" s="27" t="n">
        <x:f>288</x:f>
        <x:v>288</x:v>
      </x:c>
      <x:c r="D1446" s="28" t="n">
        <x:f>IF(ISNUMBER('Inputs'!$D$7),EDATE('Inputs'!$D$7,287),"n.a.")</x:f>
        <x:v>55062</x:v>
      </x:c>
      <x:c r="E1446" s="26" t="n">
        <x:f>IF('Inputs'!$D$9&lt;&gt;"Ready","n.a.",IF(ISNUMBER('Inputs'!E306),IF('Inputs'!E306&gt;=0,'Inputs'!E306,"n.a."),IF('Inputs'!E306="",'Inputs'!$D$6,"n.a.")))</x:f>
        <x:v>500</x:v>
      </x:c>
      <x:c r="F1446" s="22" t="n">
        <x:f>IF(COUNT($N$1442:$N$1446)=5,SUM($N$1442:$N$1446),"n.a.")</x:f>
        <x:v>0</x:v>
      </x:c>
      <x:c r="G1446" s="22" t="n">
        <x:f>IF(COUNT(E1446:F1446)=2,MAX(0,E1446-F1446),"n.a.")</x:f>
        <x:v>500</x:v>
      </x:c>
      <x:c r="H1446" s="26" t="str">
        <x:f>'Inputs'!C15</x:f>
        <x:v>Unused 5</x:v>
      </x:c>
      <x:c r="I1446" s="26" t="n">
        <x:f>S1441</x:f>
        <x:v>0</x:v>
      </x:c>
      <x:c r="J1446" s="29" t="n">
        <x:f>IF('Inputs'!$D$9="Ready",'Inputs'!E15,"n.a.")</x:f>
        <x:v>0</x:v>
      </x:c>
      <x:c r="K1446" s="26" t="n">
        <x:f>IF('Inputs'!$D$9="Ready",'Inputs'!F15,"n.a.")</x:f>
        <x:v>0</x:v>
      </x:c>
      <x:c r="L1446" s="29" t="n">
        <x:f>IF('Inputs'!$D$9="Ready",'Inputs'!G15,"n.a.")</x:f>
        <x:v>0</x:v>
      </x:c>
      <x:c r="M1446" s="22" t="n">
        <x:f>IF(COUNT(I1446:L1446)=4,ROUND(I1446*J1446/12,2),"n.a.")</x:f>
        <x:v>0</x:v>
      </x:c>
      <x:c r="N1446" s="22" t="n">
        <x:f>IF(COUNT(I1446:M1446)=5,MIN(I1446+M1446,ROUND(MAX(K1446,I1446*L1446+M1446),2)),"n.a.")</x:f>
        <x:v>0</x:v>
      </x:c>
      <x:c r="O1446" s="30" t="n">
        <x:f>IF(COUNT($I$1442:$I$1446)&lt;&gt;5,"n.a.",IF(I1446=0,6,IF('Inputs'!$D$5=1,COUNTIFS($I$1442:$I$1446,"&gt;0",$I$1442:$I$1446,"&lt;"&amp;I1446)+COUNTIFS($I$1442:I1446,I1446),COUNTIFS($I$1442:$I$1446,"&gt;0",$J$1442:$J$1446,"&gt;"&amp;J1446)+COUNTIFS($I$1442:I1446,"&gt;0",$J$1442:J1446,J1446))))</x:f>
        <x:v>6</x:v>
      </x:c>
      <x:c r="P1446" s="22" t="n">
        <x:f>IF(T1446="Ready",MIN(U1446,MAX(0,G1446-SUMIFS($U$1442:$U$1446,$O$1442:$O$1446,"&lt;"&amp;O1446))),"n.a.")</x:f>
        <x:v>0</x:v>
      </x:c>
      <x:c r="Q1446" s="22" t="n">
        <x:f>IF(T1446="Ready",ROUND(N1446+P1446,2),"n.a.")</x:f>
        <x:v>0</x:v>
      </x:c>
      <x:c r="R1446" s="22" t="n">
        <x:f>IF(T1446="Ready",ROUND(Q1446-M1446,2),"n.a.")</x:f>
        <x:v>0</x:v>
      </x:c>
      <x:c r="S1446" s="22" t="n">
        <x:f>IF(T1446="Ready",MAX(0,ROUND(I1446+M1446-Q1446,2)),"n.a.")</x:f>
        <x:v>0</x:v>
      </x:c>
      <x:c r="T1446" s="22" t="str">
        <x:f>IF(AND(COUNT($I$1442:$I$1446)=5,COUNT(E1446:F1446)=2),IF(E1446&gt;=F1446,"Ready","Budget below minima"),"Check inputs")</x:f>
        <x:v>Ready</x:v>
      </x:c>
      <x:c r="U1446" s="22" t="n">
        <x:f>IF(COUNT(I1446,M1446,N1446)=3,MAX(0,ROUND(I1446+M1446-N1446,2)),"n.a.")</x:f>
        <x:v>0</x:v>
      </x:c>
    </x:row>
    <x:row r="1447" ht="22" customHeight="1">
      <x:c r="A1447" s="2"/>
      <x:c r="B1447" s="2"/>
      <x:c r="C1447" s="27" t="n">
        <x:f>289</x:f>
        <x:v>289</x:v>
      </x:c>
      <x:c r="D1447" s="28" t="n">
        <x:f>IF(ISNUMBER('Inputs'!$D$7),EDATE('Inputs'!$D$7,288),"n.a.")</x:f>
        <x:v>55093</x:v>
      </x:c>
      <x:c r="E1447" s="26" t="n">
        <x:f>IF('Inputs'!$D$9&lt;&gt;"Ready","n.a.",IF(ISNUMBER('Inputs'!E307),IF('Inputs'!E307&gt;=0,'Inputs'!E307,"n.a."),IF('Inputs'!E307="",'Inputs'!$D$6,"n.a.")))</x:f>
        <x:v>500</x:v>
      </x:c>
      <x:c r="F1447" s="22" t="n">
        <x:f>IF(COUNT($N$1447:$N$1451)=5,SUM($N$1447:$N$1451),"n.a.")</x:f>
        <x:v>0</x:v>
      </x:c>
      <x:c r="G1447" s="22" t="n">
        <x:f>IF(COUNT(E1447:F1447)=2,MAX(0,E1447-F1447),"n.a.")</x:f>
        <x:v>500</x:v>
      </x:c>
      <x:c r="H1447" s="26" t="str">
        <x:f>'Inputs'!C11</x:f>
        <x:v>Card A</x:v>
      </x:c>
      <x:c r="I1447" s="26" t="n">
        <x:f>S1442</x:f>
        <x:v>0</x:v>
      </x:c>
      <x:c r="J1447" s="29" t="n">
        <x:f>IF('Inputs'!$D$9="Ready",'Inputs'!E11,"n.a.")</x:f>
        <x:v>0.24</x:v>
      </x:c>
      <x:c r="K1447" s="26" t="n">
        <x:f>IF('Inputs'!$D$9="Ready",'Inputs'!F11,"n.a.")</x:f>
        <x:v>35</x:v>
      </x:c>
      <x:c r="L1447" s="29" t="n">
        <x:f>IF('Inputs'!$D$9="Ready",'Inputs'!G11,"n.a.")</x:f>
        <x:v>0.02</x:v>
      </x:c>
      <x:c r="M1447" s="22" t="n">
        <x:f>IF(COUNT(I1447:L1447)=4,ROUND(I1447*J1447/12,2),"n.a.")</x:f>
        <x:v>0</x:v>
      </x:c>
      <x:c r="N1447" s="22" t="n">
        <x:f>IF(COUNT(I1447:M1447)=5,MIN(I1447+M1447,ROUND(MAX(K1447,I1447*L1447+M1447),2)),"n.a.")</x:f>
        <x:v>0</x:v>
      </x:c>
      <x:c r="O1447" s="30" t="n">
        <x:f>IF(COUNT($I$1447:$I$1451)&lt;&gt;5,"n.a.",IF(I1447=0,6,IF('Inputs'!$D$5=1,COUNTIFS($I$1447:$I$1451,"&gt;0",$I$1447:$I$1451,"&lt;"&amp;I1447)+COUNTIFS($I$1447:I1447,I1447),COUNTIFS($I$1447:$I$1451,"&gt;0",$J$1447:$J$1451,"&gt;"&amp;J1447)+COUNTIFS($I$1447:I1447,"&gt;0",$J$1447:J1447,J1447))))</x:f>
        <x:v>6</x:v>
      </x:c>
      <x:c r="P1447" s="22" t="n">
        <x:f>IF(T1447="Ready",MIN(U1447,MAX(0,G1447-SUMIFS($U$1447:$U$1451,$O$1447:$O$1451,"&lt;"&amp;O1447))),"n.a.")</x:f>
        <x:v>0</x:v>
      </x:c>
      <x:c r="Q1447" s="22" t="n">
        <x:f>IF(T1447="Ready",ROUND(N1447+P1447,2),"n.a.")</x:f>
        <x:v>0</x:v>
      </x:c>
      <x:c r="R1447" s="22" t="n">
        <x:f>IF(T1447="Ready",ROUND(Q1447-M1447,2),"n.a.")</x:f>
        <x:v>0</x:v>
      </x:c>
      <x:c r="S1447" s="22" t="n">
        <x:f>IF(T1447="Ready",MAX(0,ROUND(I1447+M1447-Q1447,2)),"n.a.")</x:f>
        <x:v>0</x:v>
      </x:c>
      <x:c r="T1447" s="22" t="str">
        <x:f>IF(AND(COUNT($I$1447:$I$1451)=5,COUNT(E1447:F1447)=2),IF(E1447&gt;=F1447,"Ready","Budget below minima"),"Check inputs")</x:f>
        <x:v>Ready</x:v>
      </x:c>
      <x:c r="U1447" s="22" t="n">
        <x:f>IF(COUNT(I1447,M1447,N1447)=3,MAX(0,ROUND(I1447+M1447-N1447,2)),"n.a.")</x:f>
        <x:v>0</x:v>
      </x:c>
    </x:row>
    <x:row r="1448" ht="22" customHeight="1">
      <x:c r="A1448" s="2"/>
      <x:c r="B1448" s="2"/>
      <x:c r="C1448" s="27" t="n">
        <x:f>289</x:f>
        <x:v>289</x:v>
      </x:c>
      <x:c r="D1448" s="28" t="n">
        <x:f>IF(ISNUMBER('Inputs'!$D$7),EDATE('Inputs'!$D$7,288),"n.a.")</x:f>
        <x:v>55093</x:v>
      </x:c>
      <x:c r="E1448" s="26" t="n">
        <x:f>IF('Inputs'!$D$9&lt;&gt;"Ready","n.a.",IF(ISNUMBER('Inputs'!E307),IF('Inputs'!E307&gt;=0,'Inputs'!E307,"n.a."),IF('Inputs'!E307="",'Inputs'!$D$6,"n.a.")))</x:f>
        <x:v>500</x:v>
      </x:c>
      <x:c r="F1448" s="22" t="n">
        <x:f>IF(COUNT($N$1447:$N$1451)=5,SUM($N$1447:$N$1451),"n.a.")</x:f>
        <x:v>0</x:v>
      </x:c>
      <x:c r="G1448" s="22" t="n">
        <x:f>IF(COUNT(E1448:F1448)=2,MAX(0,E1448-F1448),"n.a.")</x:f>
        <x:v>500</x:v>
      </x:c>
      <x:c r="H1448" s="26" t="str">
        <x:f>'Inputs'!C12</x:f>
        <x:v>Card B</x:v>
      </x:c>
      <x:c r="I1448" s="26" t="n">
        <x:f>S1443</x:f>
        <x:v>0</x:v>
      </x:c>
      <x:c r="J1448" s="29" t="n">
        <x:f>IF('Inputs'!$D$9="Ready",'Inputs'!E12,"n.a.")</x:f>
        <x:v>0.18</x:v>
      </x:c>
      <x:c r="K1448" s="26" t="n">
        <x:f>IF('Inputs'!$D$9="Ready",'Inputs'!F12,"n.a.")</x:f>
        <x:v>60</x:v>
      </x:c>
      <x:c r="L1448" s="29" t="n">
        <x:f>IF('Inputs'!$D$9="Ready",'Inputs'!G12,"n.a.")</x:f>
        <x:v>0.02</x:v>
      </x:c>
      <x:c r="M1448" s="22" t="n">
        <x:f>IF(COUNT(I1448:L1448)=4,ROUND(I1448*J1448/12,2),"n.a.")</x:f>
        <x:v>0</x:v>
      </x:c>
      <x:c r="N1448" s="22" t="n">
        <x:f>IF(COUNT(I1448:M1448)=5,MIN(I1448+M1448,ROUND(MAX(K1448,I1448*L1448+M1448),2)),"n.a.")</x:f>
        <x:v>0</x:v>
      </x:c>
      <x:c r="O1448" s="30" t="n">
        <x:f>IF(COUNT($I$1447:$I$1451)&lt;&gt;5,"n.a.",IF(I1448=0,6,IF('Inputs'!$D$5=1,COUNTIFS($I$1447:$I$1451,"&gt;0",$I$1447:$I$1451,"&lt;"&amp;I1448)+COUNTIFS($I$1447:I1448,I1448),COUNTIFS($I$1447:$I$1451,"&gt;0",$J$1447:$J$1451,"&gt;"&amp;J1448)+COUNTIFS($I$1447:I1448,"&gt;0",$J$1447:J1448,J1448))))</x:f>
        <x:v>6</x:v>
      </x:c>
      <x:c r="P1448" s="22" t="n">
        <x:f>IF(T1448="Ready",MIN(U1448,MAX(0,G1448-SUMIFS($U$1447:$U$1451,$O$1447:$O$1451,"&lt;"&amp;O1448))),"n.a.")</x:f>
        <x:v>0</x:v>
      </x:c>
      <x:c r="Q1448" s="22" t="n">
        <x:f>IF(T1448="Ready",ROUND(N1448+P1448,2),"n.a.")</x:f>
        <x:v>0</x:v>
      </x:c>
      <x:c r="R1448" s="22" t="n">
        <x:f>IF(T1448="Ready",ROUND(Q1448-M1448,2),"n.a.")</x:f>
        <x:v>0</x:v>
      </x:c>
      <x:c r="S1448" s="22" t="n">
        <x:f>IF(T1448="Ready",MAX(0,ROUND(I1448+M1448-Q1448,2)),"n.a.")</x:f>
        <x:v>0</x:v>
      </x:c>
      <x:c r="T1448" s="22" t="str">
        <x:f>IF(AND(COUNT($I$1447:$I$1451)=5,COUNT(E1448:F1448)=2),IF(E1448&gt;=F1448,"Ready","Budget below minima"),"Check inputs")</x:f>
        <x:v>Ready</x:v>
      </x:c>
      <x:c r="U1448" s="22" t="n">
        <x:f>IF(COUNT(I1448,M1448,N1448)=3,MAX(0,ROUND(I1448+M1448-N1448,2)),"n.a.")</x:f>
        <x:v>0</x:v>
      </x:c>
    </x:row>
    <x:row r="1449" ht="22" customHeight="1">
      <x:c r="A1449" s="2"/>
      <x:c r="B1449" s="2"/>
      <x:c r="C1449" s="27" t="n">
        <x:f>289</x:f>
        <x:v>289</x:v>
      </x:c>
      <x:c r="D1449" s="28" t="n">
        <x:f>IF(ISNUMBER('Inputs'!$D$7),EDATE('Inputs'!$D$7,288),"n.a.")</x:f>
        <x:v>55093</x:v>
      </x:c>
      <x:c r="E1449" s="26" t="n">
        <x:f>IF('Inputs'!$D$9&lt;&gt;"Ready","n.a.",IF(ISNUMBER('Inputs'!E307),IF('Inputs'!E307&gt;=0,'Inputs'!E307,"n.a."),IF('Inputs'!E307="",'Inputs'!$D$6,"n.a.")))</x:f>
        <x:v>500</x:v>
      </x:c>
      <x:c r="F1449" s="22" t="n">
        <x:f>IF(COUNT($N$1447:$N$1451)=5,SUM($N$1447:$N$1451),"n.a.")</x:f>
        <x:v>0</x:v>
      </x:c>
      <x:c r="G1449" s="22" t="n">
        <x:f>IF(COUNT(E1449:F1449)=2,MAX(0,E1449-F1449),"n.a.")</x:f>
        <x:v>500</x:v>
      </x:c>
      <x:c r="H1449" s="26" t="str">
        <x:f>'Inputs'!C13</x:f>
        <x:v>Loan C</x:v>
      </x:c>
      <x:c r="I1449" s="26" t="n">
        <x:f>S1444</x:f>
        <x:v>0</x:v>
      </x:c>
      <x:c r="J1449" s="29" t="n">
        <x:f>IF('Inputs'!$D$9="Ready",'Inputs'!E13,"n.a.")</x:f>
        <x:v>0.08</x:v>
      </x:c>
      <x:c r="K1449" s="26" t="n">
        <x:f>IF('Inputs'!$D$9="Ready",'Inputs'!F13,"n.a.")</x:f>
        <x:v>150</x:v>
      </x:c>
      <x:c r="L1449" s="29" t="n">
        <x:f>IF('Inputs'!$D$9="Ready",'Inputs'!G13,"n.a.")</x:f>
        <x:v>0</x:v>
      </x:c>
      <x:c r="M1449" s="22" t="n">
        <x:f>IF(COUNT(I1449:L1449)=4,ROUND(I1449*J1449/12,2),"n.a.")</x:f>
        <x:v>0</x:v>
      </x:c>
      <x:c r="N1449" s="22" t="n">
        <x:f>IF(COUNT(I1449:M1449)=5,MIN(I1449+M1449,ROUND(MAX(K1449,I1449*L1449+M1449),2)),"n.a.")</x:f>
        <x:v>0</x:v>
      </x:c>
      <x:c r="O1449" s="30" t="n">
        <x:f>IF(COUNT($I$1447:$I$1451)&lt;&gt;5,"n.a.",IF(I1449=0,6,IF('Inputs'!$D$5=1,COUNTIFS($I$1447:$I$1451,"&gt;0",$I$1447:$I$1451,"&lt;"&amp;I1449)+COUNTIFS($I$1447:I1449,I1449),COUNTIFS($I$1447:$I$1451,"&gt;0",$J$1447:$J$1451,"&gt;"&amp;J1449)+COUNTIFS($I$1447:I1449,"&gt;0",$J$1447:J1449,J1449))))</x:f>
        <x:v>6</x:v>
      </x:c>
      <x:c r="P1449" s="22" t="n">
        <x:f>IF(T1449="Ready",MIN(U1449,MAX(0,G1449-SUMIFS($U$1447:$U$1451,$O$1447:$O$1451,"&lt;"&amp;O1449))),"n.a.")</x:f>
        <x:v>0</x:v>
      </x:c>
      <x:c r="Q1449" s="22" t="n">
        <x:f>IF(T1449="Ready",ROUND(N1449+P1449,2),"n.a.")</x:f>
        <x:v>0</x:v>
      </x:c>
      <x:c r="R1449" s="22" t="n">
        <x:f>IF(T1449="Ready",ROUND(Q1449-M1449,2),"n.a.")</x:f>
        <x:v>0</x:v>
      </x:c>
      <x:c r="S1449" s="22" t="n">
        <x:f>IF(T1449="Ready",MAX(0,ROUND(I1449+M1449-Q1449,2)),"n.a.")</x:f>
        <x:v>0</x:v>
      </x:c>
      <x:c r="T1449" s="22" t="str">
        <x:f>IF(AND(COUNT($I$1447:$I$1451)=5,COUNT(E1449:F1449)=2),IF(E1449&gt;=F1449,"Ready","Budget below minima"),"Check inputs")</x:f>
        <x:v>Ready</x:v>
      </x:c>
      <x:c r="U1449" s="22" t="n">
        <x:f>IF(COUNT(I1449,M1449,N1449)=3,MAX(0,ROUND(I1449+M1449-N1449,2)),"n.a.")</x:f>
        <x:v>0</x:v>
      </x:c>
    </x:row>
    <x:row r="1450" ht="22" customHeight="1">
      <x:c r="A1450" s="2"/>
      <x:c r="B1450" s="2"/>
      <x:c r="C1450" s="27" t="n">
        <x:f>289</x:f>
        <x:v>289</x:v>
      </x:c>
      <x:c r="D1450" s="28" t="n">
        <x:f>IF(ISNUMBER('Inputs'!$D$7),EDATE('Inputs'!$D$7,288),"n.a.")</x:f>
        <x:v>55093</x:v>
      </x:c>
      <x:c r="E1450" s="26" t="n">
        <x:f>IF('Inputs'!$D$9&lt;&gt;"Ready","n.a.",IF(ISNUMBER('Inputs'!E307),IF('Inputs'!E307&gt;=0,'Inputs'!E307,"n.a."),IF('Inputs'!E307="",'Inputs'!$D$6,"n.a.")))</x:f>
        <x:v>500</x:v>
      </x:c>
      <x:c r="F1450" s="22" t="n">
        <x:f>IF(COUNT($N$1447:$N$1451)=5,SUM($N$1447:$N$1451),"n.a.")</x:f>
        <x:v>0</x:v>
      </x:c>
      <x:c r="G1450" s="22" t="n">
        <x:f>IF(COUNT(E1450:F1450)=2,MAX(0,E1450-F1450),"n.a.")</x:f>
        <x:v>500</x:v>
      </x:c>
      <x:c r="H1450" s="26" t="str">
        <x:f>'Inputs'!C14</x:f>
        <x:v>Unused 4</x:v>
      </x:c>
      <x:c r="I1450" s="26" t="n">
        <x:f>S1445</x:f>
        <x:v>0</x:v>
      </x:c>
      <x:c r="J1450" s="29" t="n">
        <x:f>IF('Inputs'!$D$9="Ready",'Inputs'!E14,"n.a.")</x:f>
        <x:v>0</x:v>
      </x:c>
      <x:c r="K1450" s="26" t="n">
        <x:f>IF('Inputs'!$D$9="Ready",'Inputs'!F14,"n.a.")</x:f>
        <x:v>0</x:v>
      </x:c>
      <x:c r="L1450" s="29" t="n">
        <x:f>IF('Inputs'!$D$9="Ready",'Inputs'!G14,"n.a.")</x:f>
        <x:v>0</x:v>
      </x:c>
      <x:c r="M1450" s="22" t="n">
        <x:f>IF(COUNT(I1450:L1450)=4,ROUND(I1450*J1450/12,2),"n.a.")</x:f>
        <x:v>0</x:v>
      </x:c>
      <x:c r="N1450" s="22" t="n">
        <x:f>IF(COUNT(I1450:M1450)=5,MIN(I1450+M1450,ROUND(MAX(K1450,I1450*L1450+M1450),2)),"n.a.")</x:f>
        <x:v>0</x:v>
      </x:c>
      <x:c r="O1450" s="30" t="n">
        <x:f>IF(COUNT($I$1447:$I$1451)&lt;&gt;5,"n.a.",IF(I1450=0,6,IF('Inputs'!$D$5=1,COUNTIFS($I$1447:$I$1451,"&gt;0",$I$1447:$I$1451,"&lt;"&amp;I1450)+COUNTIFS($I$1447:I1450,I1450),COUNTIFS($I$1447:$I$1451,"&gt;0",$J$1447:$J$1451,"&gt;"&amp;J1450)+COUNTIFS($I$1447:I1450,"&gt;0",$J$1447:J1450,J1450))))</x:f>
        <x:v>6</x:v>
      </x:c>
      <x:c r="P1450" s="22" t="n">
        <x:f>IF(T1450="Ready",MIN(U1450,MAX(0,G1450-SUMIFS($U$1447:$U$1451,$O$1447:$O$1451,"&lt;"&amp;O1450))),"n.a.")</x:f>
        <x:v>0</x:v>
      </x:c>
      <x:c r="Q1450" s="22" t="n">
        <x:f>IF(T1450="Ready",ROUND(N1450+P1450,2),"n.a.")</x:f>
        <x:v>0</x:v>
      </x:c>
      <x:c r="R1450" s="22" t="n">
        <x:f>IF(T1450="Ready",ROUND(Q1450-M1450,2),"n.a.")</x:f>
        <x:v>0</x:v>
      </x:c>
      <x:c r="S1450" s="22" t="n">
        <x:f>IF(T1450="Ready",MAX(0,ROUND(I1450+M1450-Q1450,2)),"n.a.")</x:f>
        <x:v>0</x:v>
      </x:c>
      <x:c r="T1450" s="22" t="str">
        <x:f>IF(AND(COUNT($I$1447:$I$1451)=5,COUNT(E1450:F1450)=2),IF(E1450&gt;=F1450,"Ready","Budget below minima"),"Check inputs")</x:f>
        <x:v>Ready</x:v>
      </x:c>
      <x:c r="U1450" s="22" t="n">
        <x:f>IF(COUNT(I1450,M1450,N1450)=3,MAX(0,ROUND(I1450+M1450-N1450,2)),"n.a.")</x:f>
        <x:v>0</x:v>
      </x:c>
    </x:row>
    <x:row r="1451" ht="22" customHeight="1">
      <x:c r="A1451" s="2"/>
      <x:c r="B1451" s="2"/>
      <x:c r="C1451" s="27" t="n">
        <x:f>289</x:f>
        <x:v>289</x:v>
      </x:c>
      <x:c r="D1451" s="28" t="n">
        <x:f>IF(ISNUMBER('Inputs'!$D$7),EDATE('Inputs'!$D$7,288),"n.a.")</x:f>
        <x:v>55093</x:v>
      </x:c>
      <x:c r="E1451" s="26" t="n">
        <x:f>IF('Inputs'!$D$9&lt;&gt;"Ready","n.a.",IF(ISNUMBER('Inputs'!E307),IF('Inputs'!E307&gt;=0,'Inputs'!E307,"n.a."),IF('Inputs'!E307="",'Inputs'!$D$6,"n.a.")))</x:f>
        <x:v>500</x:v>
      </x:c>
      <x:c r="F1451" s="22" t="n">
        <x:f>IF(COUNT($N$1447:$N$1451)=5,SUM($N$1447:$N$1451),"n.a.")</x:f>
        <x:v>0</x:v>
      </x:c>
      <x:c r="G1451" s="22" t="n">
        <x:f>IF(COUNT(E1451:F1451)=2,MAX(0,E1451-F1451),"n.a.")</x:f>
        <x:v>500</x:v>
      </x:c>
      <x:c r="H1451" s="26" t="str">
        <x:f>'Inputs'!C15</x:f>
        <x:v>Unused 5</x:v>
      </x:c>
      <x:c r="I1451" s="26" t="n">
        <x:f>S1446</x:f>
        <x:v>0</x:v>
      </x:c>
      <x:c r="J1451" s="29" t="n">
        <x:f>IF('Inputs'!$D$9="Ready",'Inputs'!E15,"n.a.")</x:f>
        <x:v>0</x:v>
      </x:c>
      <x:c r="K1451" s="26" t="n">
        <x:f>IF('Inputs'!$D$9="Ready",'Inputs'!F15,"n.a.")</x:f>
        <x:v>0</x:v>
      </x:c>
      <x:c r="L1451" s="29" t="n">
        <x:f>IF('Inputs'!$D$9="Ready",'Inputs'!G15,"n.a.")</x:f>
        <x:v>0</x:v>
      </x:c>
      <x:c r="M1451" s="22" t="n">
        <x:f>IF(COUNT(I1451:L1451)=4,ROUND(I1451*J1451/12,2),"n.a.")</x:f>
        <x:v>0</x:v>
      </x:c>
      <x:c r="N1451" s="22" t="n">
        <x:f>IF(COUNT(I1451:M1451)=5,MIN(I1451+M1451,ROUND(MAX(K1451,I1451*L1451+M1451),2)),"n.a.")</x:f>
        <x:v>0</x:v>
      </x:c>
      <x:c r="O1451" s="30" t="n">
        <x:f>IF(COUNT($I$1447:$I$1451)&lt;&gt;5,"n.a.",IF(I1451=0,6,IF('Inputs'!$D$5=1,COUNTIFS($I$1447:$I$1451,"&gt;0",$I$1447:$I$1451,"&lt;"&amp;I1451)+COUNTIFS($I$1447:I1451,I1451),COUNTIFS($I$1447:$I$1451,"&gt;0",$J$1447:$J$1451,"&gt;"&amp;J1451)+COUNTIFS($I$1447:I1451,"&gt;0",$J$1447:J1451,J1451))))</x:f>
        <x:v>6</x:v>
      </x:c>
      <x:c r="P1451" s="22" t="n">
        <x:f>IF(T1451="Ready",MIN(U1451,MAX(0,G1451-SUMIFS($U$1447:$U$1451,$O$1447:$O$1451,"&lt;"&amp;O1451))),"n.a.")</x:f>
        <x:v>0</x:v>
      </x:c>
      <x:c r="Q1451" s="22" t="n">
        <x:f>IF(T1451="Ready",ROUND(N1451+P1451,2),"n.a.")</x:f>
        <x:v>0</x:v>
      </x:c>
      <x:c r="R1451" s="22" t="n">
        <x:f>IF(T1451="Ready",ROUND(Q1451-M1451,2),"n.a.")</x:f>
        <x:v>0</x:v>
      </x:c>
      <x:c r="S1451" s="22" t="n">
        <x:f>IF(T1451="Ready",MAX(0,ROUND(I1451+M1451-Q1451,2)),"n.a.")</x:f>
        <x:v>0</x:v>
      </x:c>
      <x:c r="T1451" s="22" t="str">
        <x:f>IF(AND(COUNT($I$1447:$I$1451)=5,COUNT(E1451:F1451)=2),IF(E1451&gt;=F1451,"Ready","Budget below minima"),"Check inputs")</x:f>
        <x:v>Ready</x:v>
      </x:c>
      <x:c r="U1451" s="22" t="n">
        <x:f>IF(COUNT(I1451,M1451,N1451)=3,MAX(0,ROUND(I1451+M1451-N1451,2)),"n.a.")</x:f>
        <x:v>0</x:v>
      </x:c>
    </x:row>
    <x:row r="1452" ht="22" customHeight="1">
      <x:c r="A1452" s="2"/>
      <x:c r="B1452" s="2"/>
      <x:c r="C1452" s="27" t="n">
        <x:f>290</x:f>
        <x:v>290</x:v>
      </x:c>
      <x:c r="D1452" s="28" t="n">
        <x:f>IF(ISNUMBER('Inputs'!$D$7),EDATE('Inputs'!$D$7,289),"n.a.")</x:f>
        <x:v>55123</x:v>
      </x:c>
      <x:c r="E1452" s="26" t="n">
        <x:f>IF('Inputs'!$D$9&lt;&gt;"Ready","n.a.",IF(ISNUMBER('Inputs'!E308),IF('Inputs'!E308&gt;=0,'Inputs'!E308,"n.a."),IF('Inputs'!E308="",'Inputs'!$D$6,"n.a.")))</x:f>
        <x:v>500</x:v>
      </x:c>
      <x:c r="F1452" s="22" t="n">
        <x:f>IF(COUNT($N$1452:$N$1456)=5,SUM($N$1452:$N$1456),"n.a.")</x:f>
        <x:v>0</x:v>
      </x:c>
      <x:c r="G1452" s="22" t="n">
        <x:f>IF(COUNT(E1452:F1452)=2,MAX(0,E1452-F1452),"n.a.")</x:f>
        <x:v>500</x:v>
      </x:c>
      <x:c r="H1452" s="26" t="str">
        <x:f>'Inputs'!C11</x:f>
        <x:v>Card A</x:v>
      </x:c>
      <x:c r="I1452" s="26" t="n">
        <x:f>S1447</x:f>
        <x:v>0</x:v>
      </x:c>
      <x:c r="J1452" s="29" t="n">
        <x:f>IF('Inputs'!$D$9="Ready",'Inputs'!E11,"n.a.")</x:f>
        <x:v>0.24</x:v>
      </x:c>
      <x:c r="K1452" s="26" t="n">
        <x:f>IF('Inputs'!$D$9="Ready",'Inputs'!F11,"n.a.")</x:f>
        <x:v>35</x:v>
      </x:c>
      <x:c r="L1452" s="29" t="n">
        <x:f>IF('Inputs'!$D$9="Ready",'Inputs'!G11,"n.a.")</x:f>
        <x:v>0.02</x:v>
      </x:c>
      <x:c r="M1452" s="22" t="n">
        <x:f>IF(COUNT(I1452:L1452)=4,ROUND(I1452*J1452/12,2),"n.a.")</x:f>
        <x:v>0</x:v>
      </x:c>
      <x:c r="N1452" s="22" t="n">
        <x:f>IF(COUNT(I1452:M1452)=5,MIN(I1452+M1452,ROUND(MAX(K1452,I1452*L1452+M1452),2)),"n.a.")</x:f>
        <x:v>0</x:v>
      </x:c>
      <x:c r="O1452" s="30" t="n">
        <x:f>IF(COUNT($I$1452:$I$1456)&lt;&gt;5,"n.a.",IF(I1452=0,6,IF('Inputs'!$D$5=1,COUNTIFS($I$1452:$I$1456,"&gt;0",$I$1452:$I$1456,"&lt;"&amp;I1452)+COUNTIFS($I$1452:I1452,I1452),COUNTIFS($I$1452:$I$1456,"&gt;0",$J$1452:$J$1456,"&gt;"&amp;J1452)+COUNTIFS($I$1452:I1452,"&gt;0",$J$1452:J1452,J1452))))</x:f>
        <x:v>6</x:v>
      </x:c>
      <x:c r="P1452" s="22" t="n">
        <x:f>IF(T1452="Ready",MIN(U1452,MAX(0,G1452-SUMIFS($U$1452:$U$1456,$O$1452:$O$1456,"&lt;"&amp;O1452))),"n.a.")</x:f>
        <x:v>0</x:v>
      </x:c>
      <x:c r="Q1452" s="22" t="n">
        <x:f>IF(T1452="Ready",ROUND(N1452+P1452,2),"n.a.")</x:f>
        <x:v>0</x:v>
      </x:c>
      <x:c r="R1452" s="22" t="n">
        <x:f>IF(T1452="Ready",ROUND(Q1452-M1452,2),"n.a.")</x:f>
        <x:v>0</x:v>
      </x:c>
      <x:c r="S1452" s="22" t="n">
        <x:f>IF(T1452="Ready",MAX(0,ROUND(I1452+M1452-Q1452,2)),"n.a.")</x:f>
        <x:v>0</x:v>
      </x:c>
      <x:c r="T1452" s="22" t="str">
        <x:f>IF(AND(COUNT($I$1452:$I$1456)=5,COUNT(E1452:F1452)=2),IF(E1452&gt;=F1452,"Ready","Budget below minima"),"Check inputs")</x:f>
        <x:v>Ready</x:v>
      </x:c>
      <x:c r="U1452" s="22" t="n">
        <x:f>IF(COUNT(I1452,M1452,N1452)=3,MAX(0,ROUND(I1452+M1452-N1452,2)),"n.a.")</x:f>
        <x:v>0</x:v>
      </x:c>
    </x:row>
    <x:row r="1453" ht="22" customHeight="1">
      <x:c r="A1453" s="2"/>
      <x:c r="B1453" s="2"/>
      <x:c r="C1453" s="27" t="n">
        <x:f>290</x:f>
        <x:v>290</x:v>
      </x:c>
      <x:c r="D1453" s="28" t="n">
        <x:f>IF(ISNUMBER('Inputs'!$D$7),EDATE('Inputs'!$D$7,289),"n.a.")</x:f>
        <x:v>55123</x:v>
      </x:c>
      <x:c r="E1453" s="26" t="n">
        <x:f>IF('Inputs'!$D$9&lt;&gt;"Ready","n.a.",IF(ISNUMBER('Inputs'!E308),IF('Inputs'!E308&gt;=0,'Inputs'!E308,"n.a."),IF('Inputs'!E308="",'Inputs'!$D$6,"n.a.")))</x:f>
        <x:v>500</x:v>
      </x:c>
      <x:c r="F1453" s="22" t="n">
        <x:f>IF(COUNT($N$1452:$N$1456)=5,SUM($N$1452:$N$1456),"n.a.")</x:f>
        <x:v>0</x:v>
      </x:c>
      <x:c r="G1453" s="22" t="n">
        <x:f>IF(COUNT(E1453:F1453)=2,MAX(0,E1453-F1453),"n.a.")</x:f>
        <x:v>500</x:v>
      </x:c>
      <x:c r="H1453" s="26" t="str">
        <x:f>'Inputs'!C12</x:f>
        <x:v>Card B</x:v>
      </x:c>
      <x:c r="I1453" s="26" t="n">
        <x:f>S1448</x:f>
        <x:v>0</x:v>
      </x:c>
      <x:c r="J1453" s="29" t="n">
        <x:f>IF('Inputs'!$D$9="Ready",'Inputs'!E12,"n.a.")</x:f>
        <x:v>0.18</x:v>
      </x:c>
      <x:c r="K1453" s="26" t="n">
        <x:f>IF('Inputs'!$D$9="Ready",'Inputs'!F12,"n.a.")</x:f>
        <x:v>60</x:v>
      </x:c>
      <x:c r="L1453" s="29" t="n">
        <x:f>IF('Inputs'!$D$9="Ready",'Inputs'!G12,"n.a.")</x:f>
        <x:v>0.02</x:v>
      </x:c>
      <x:c r="M1453" s="22" t="n">
        <x:f>IF(COUNT(I1453:L1453)=4,ROUND(I1453*J1453/12,2),"n.a.")</x:f>
        <x:v>0</x:v>
      </x:c>
      <x:c r="N1453" s="22" t="n">
        <x:f>IF(COUNT(I1453:M1453)=5,MIN(I1453+M1453,ROUND(MAX(K1453,I1453*L1453+M1453),2)),"n.a.")</x:f>
        <x:v>0</x:v>
      </x:c>
      <x:c r="O1453" s="30" t="n">
        <x:f>IF(COUNT($I$1452:$I$1456)&lt;&gt;5,"n.a.",IF(I1453=0,6,IF('Inputs'!$D$5=1,COUNTIFS($I$1452:$I$1456,"&gt;0",$I$1452:$I$1456,"&lt;"&amp;I1453)+COUNTIFS($I$1452:I1453,I1453),COUNTIFS($I$1452:$I$1456,"&gt;0",$J$1452:$J$1456,"&gt;"&amp;J1453)+COUNTIFS($I$1452:I1453,"&gt;0",$J$1452:J1453,J1453))))</x:f>
        <x:v>6</x:v>
      </x:c>
      <x:c r="P1453" s="22" t="n">
        <x:f>IF(T1453="Ready",MIN(U1453,MAX(0,G1453-SUMIFS($U$1452:$U$1456,$O$1452:$O$1456,"&lt;"&amp;O1453))),"n.a.")</x:f>
        <x:v>0</x:v>
      </x:c>
      <x:c r="Q1453" s="22" t="n">
        <x:f>IF(T1453="Ready",ROUND(N1453+P1453,2),"n.a.")</x:f>
        <x:v>0</x:v>
      </x:c>
      <x:c r="R1453" s="22" t="n">
        <x:f>IF(T1453="Ready",ROUND(Q1453-M1453,2),"n.a.")</x:f>
        <x:v>0</x:v>
      </x:c>
      <x:c r="S1453" s="22" t="n">
        <x:f>IF(T1453="Ready",MAX(0,ROUND(I1453+M1453-Q1453,2)),"n.a.")</x:f>
        <x:v>0</x:v>
      </x:c>
      <x:c r="T1453" s="22" t="str">
        <x:f>IF(AND(COUNT($I$1452:$I$1456)=5,COUNT(E1453:F1453)=2),IF(E1453&gt;=F1453,"Ready","Budget below minima"),"Check inputs")</x:f>
        <x:v>Ready</x:v>
      </x:c>
      <x:c r="U1453" s="22" t="n">
        <x:f>IF(COUNT(I1453,M1453,N1453)=3,MAX(0,ROUND(I1453+M1453-N1453,2)),"n.a.")</x:f>
        <x:v>0</x:v>
      </x:c>
    </x:row>
    <x:row r="1454" ht="22" customHeight="1">
      <x:c r="A1454" s="2"/>
      <x:c r="B1454" s="2"/>
      <x:c r="C1454" s="27" t="n">
        <x:f>290</x:f>
        <x:v>290</x:v>
      </x:c>
      <x:c r="D1454" s="28" t="n">
        <x:f>IF(ISNUMBER('Inputs'!$D$7),EDATE('Inputs'!$D$7,289),"n.a.")</x:f>
        <x:v>55123</x:v>
      </x:c>
      <x:c r="E1454" s="26" t="n">
        <x:f>IF('Inputs'!$D$9&lt;&gt;"Ready","n.a.",IF(ISNUMBER('Inputs'!E308),IF('Inputs'!E308&gt;=0,'Inputs'!E308,"n.a."),IF('Inputs'!E308="",'Inputs'!$D$6,"n.a.")))</x:f>
        <x:v>500</x:v>
      </x:c>
      <x:c r="F1454" s="22" t="n">
        <x:f>IF(COUNT($N$1452:$N$1456)=5,SUM($N$1452:$N$1456),"n.a.")</x:f>
        <x:v>0</x:v>
      </x:c>
      <x:c r="G1454" s="22" t="n">
        <x:f>IF(COUNT(E1454:F1454)=2,MAX(0,E1454-F1454),"n.a.")</x:f>
        <x:v>500</x:v>
      </x:c>
      <x:c r="H1454" s="26" t="str">
        <x:f>'Inputs'!C13</x:f>
        <x:v>Loan C</x:v>
      </x:c>
      <x:c r="I1454" s="26" t="n">
        <x:f>S1449</x:f>
        <x:v>0</x:v>
      </x:c>
      <x:c r="J1454" s="29" t="n">
        <x:f>IF('Inputs'!$D$9="Ready",'Inputs'!E13,"n.a.")</x:f>
        <x:v>0.08</x:v>
      </x:c>
      <x:c r="K1454" s="26" t="n">
        <x:f>IF('Inputs'!$D$9="Ready",'Inputs'!F13,"n.a.")</x:f>
        <x:v>150</x:v>
      </x:c>
      <x:c r="L1454" s="29" t="n">
        <x:f>IF('Inputs'!$D$9="Ready",'Inputs'!G13,"n.a.")</x:f>
        <x:v>0</x:v>
      </x:c>
      <x:c r="M1454" s="22" t="n">
        <x:f>IF(COUNT(I1454:L1454)=4,ROUND(I1454*J1454/12,2),"n.a.")</x:f>
        <x:v>0</x:v>
      </x:c>
      <x:c r="N1454" s="22" t="n">
        <x:f>IF(COUNT(I1454:M1454)=5,MIN(I1454+M1454,ROUND(MAX(K1454,I1454*L1454+M1454),2)),"n.a.")</x:f>
        <x:v>0</x:v>
      </x:c>
      <x:c r="O1454" s="30" t="n">
        <x:f>IF(COUNT($I$1452:$I$1456)&lt;&gt;5,"n.a.",IF(I1454=0,6,IF('Inputs'!$D$5=1,COUNTIFS($I$1452:$I$1456,"&gt;0",$I$1452:$I$1456,"&lt;"&amp;I1454)+COUNTIFS($I$1452:I1454,I1454),COUNTIFS($I$1452:$I$1456,"&gt;0",$J$1452:$J$1456,"&gt;"&amp;J1454)+COUNTIFS($I$1452:I1454,"&gt;0",$J$1452:J1454,J1454))))</x:f>
        <x:v>6</x:v>
      </x:c>
      <x:c r="P1454" s="22" t="n">
        <x:f>IF(T1454="Ready",MIN(U1454,MAX(0,G1454-SUMIFS($U$1452:$U$1456,$O$1452:$O$1456,"&lt;"&amp;O1454))),"n.a.")</x:f>
        <x:v>0</x:v>
      </x:c>
      <x:c r="Q1454" s="22" t="n">
        <x:f>IF(T1454="Ready",ROUND(N1454+P1454,2),"n.a.")</x:f>
        <x:v>0</x:v>
      </x:c>
      <x:c r="R1454" s="22" t="n">
        <x:f>IF(T1454="Ready",ROUND(Q1454-M1454,2),"n.a.")</x:f>
        <x:v>0</x:v>
      </x:c>
      <x:c r="S1454" s="22" t="n">
        <x:f>IF(T1454="Ready",MAX(0,ROUND(I1454+M1454-Q1454,2)),"n.a.")</x:f>
        <x:v>0</x:v>
      </x:c>
      <x:c r="T1454" s="22" t="str">
        <x:f>IF(AND(COUNT($I$1452:$I$1456)=5,COUNT(E1454:F1454)=2),IF(E1454&gt;=F1454,"Ready","Budget below minima"),"Check inputs")</x:f>
        <x:v>Ready</x:v>
      </x:c>
      <x:c r="U1454" s="22" t="n">
        <x:f>IF(COUNT(I1454,M1454,N1454)=3,MAX(0,ROUND(I1454+M1454-N1454,2)),"n.a.")</x:f>
        <x:v>0</x:v>
      </x:c>
    </x:row>
    <x:row r="1455" ht="22" customHeight="1">
      <x:c r="A1455" s="2"/>
      <x:c r="B1455" s="2"/>
      <x:c r="C1455" s="27" t="n">
        <x:f>290</x:f>
        <x:v>290</x:v>
      </x:c>
      <x:c r="D1455" s="28" t="n">
        <x:f>IF(ISNUMBER('Inputs'!$D$7),EDATE('Inputs'!$D$7,289),"n.a.")</x:f>
        <x:v>55123</x:v>
      </x:c>
      <x:c r="E1455" s="26" t="n">
        <x:f>IF('Inputs'!$D$9&lt;&gt;"Ready","n.a.",IF(ISNUMBER('Inputs'!E308),IF('Inputs'!E308&gt;=0,'Inputs'!E308,"n.a."),IF('Inputs'!E308="",'Inputs'!$D$6,"n.a.")))</x:f>
        <x:v>500</x:v>
      </x:c>
      <x:c r="F1455" s="22" t="n">
        <x:f>IF(COUNT($N$1452:$N$1456)=5,SUM($N$1452:$N$1456),"n.a.")</x:f>
        <x:v>0</x:v>
      </x:c>
      <x:c r="G1455" s="22" t="n">
        <x:f>IF(COUNT(E1455:F1455)=2,MAX(0,E1455-F1455),"n.a.")</x:f>
        <x:v>500</x:v>
      </x:c>
      <x:c r="H1455" s="26" t="str">
        <x:f>'Inputs'!C14</x:f>
        <x:v>Unused 4</x:v>
      </x:c>
      <x:c r="I1455" s="26" t="n">
        <x:f>S1450</x:f>
        <x:v>0</x:v>
      </x:c>
      <x:c r="J1455" s="29" t="n">
        <x:f>IF('Inputs'!$D$9="Ready",'Inputs'!E14,"n.a.")</x:f>
        <x:v>0</x:v>
      </x:c>
      <x:c r="K1455" s="26" t="n">
        <x:f>IF('Inputs'!$D$9="Ready",'Inputs'!F14,"n.a.")</x:f>
        <x:v>0</x:v>
      </x:c>
      <x:c r="L1455" s="29" t="n">
        <x:f>IF('Inputs'!$D$9="Ready",'Inputs'!G14,"n.a.")</x:f>
        <x:v>0</x:v>
      </x:c>
      <x:c r="M1455" s="22" t="n">
        <x:f>IF(COUNT(I1455:L1455)=4,ROUND(I1455*J1455/12,2),"n.a.")</x:f>
        <x:v>0</x:v>
      </x:c>
      <x:c r="N1455" s="22" t="n">
        <x:f>IF(COUNT(I1455:M1455)=5,MIN(I1455+M1455,ROUND(MAX(K1455,I1455*L1455+M1455),2)),"n.a.")</x:f>
        <x:v>0</x:v>
      </x:c>
      <x:c r="O1455" s="30" t="n">
        <x:f>IF(COUNT($I$1452:$I$1456)&lt;&gt;5,"n.a.",IF(I1455=0,6,IF('Inputs'!$D$5=1,COUNTIFS($I$1452:$I$1456,"&gt;0",$I$1452:$I$1456,"&lt;"&amp;I1455)+COUNTIFS($I$1452:I1455,I1455),COUNTIFS($I$1452:$I$1456,"&gt;0",$J$1452:$J$1456,"&gt;"&amp;J1455)+COUNTIFS($I$1452:I1455,"&gt;0",$J$1452:J1455,J1455))))</x:f>
        <x:v>6</x:v>
      </x:c>
      <x:c r="P1455" s="22" t="n">
        <x:f>IF(T1455="Ready",MIN(U1455,MAX(0,G1455-SUMIFS($U$1452:$U$1456,$O$1452:$O$1456,"&lt;"&amp;O1455))),"n.a.")</x:f>
        <x:v>0</x:v>
      </x:c>
      <x:c r="Q1455" s="22" t="n">
        <x:f>IF(T1455="Ready",ROUND(N1455+P1455,2),"n.a.")</x:f>
        <x:v>0</x:v>
      </x:c>
      <x:c r="R1455" s="22" t="n">
        <x:f>IF(T1455="Ready",ROUND(Q1455-M1455,2),"n.a.")</x:f>
        <x:v>0</x:v>
      </x:c>
      <x:c r="S1455" s="22" t="n">
        <x:f>IF(T1455="Ready",MAX(0,ROUND(I1455+M1455-Q1455,2)),"n.a.")</x:f>
        <x:v>0</x:v>
      </x:c>
      <x:c r="T1455" s="22" t="str">
        <x:f>IF(AND(COUNT($I$1452:$I$1456)=5,COUNT(E1455:F1455)=2),IF(E1455&gt;=F1455,"Ready","Budget below minima"),"Check inputs")</x:f>
        <x:v>Ready</x:v>
      </x:c>
      <x:c r="U1455" s="22" t="n">
        <x:f>IF(COUNT(I1455,M1455,N1455)=3,MAX(0,ROUND(I1455+M1455-N1455,2)),"n.a.")</x:f>
        <x:v>0</x:v>
      </x:c>
    </x:row>
    <x:row r="1456" ht="22" customHeight="1">
      <x:c r="A1456" s="2"/>
      <x:c r="B1456" s="2"/>
      <x:c r="C1456" s="27" t="n">
        <x:f>290</x:f>
        <x:v>290</x:v>
      </x:c>
      <x:c r="D1456" s="28" t="n">
        <x:f>IF(ISNUMBER('Inputs'!$D$7),EDATE('Inputs'!$D$7,289),"n.a.")</x:f>
        <x:v>55123</x:v>
      </x:c>
      <x:c r="E1456" s="26" t="n">
        <x:f>IF('Inputs'!$D$9&lt;&gt;"Ready","n.a.",IF(ISNUMBER('Inputs'!E308),IF('Inputs'!E308&gt;=0,'Inputs'!E308,"n.a."),IF('Inputs'!E308="",'Inputs'!$D$6,"n.a.")))</x:f>
        <x:v>500</x:v>
      </x:c>
      <x:c r="F1456" s="22" t="n">
        <x:f>IF(COUNT($N$1452:$N$1456)=5,SUM($N$1452:$N$1456),"n.a.")</x:f>
        <x:v>0</x:v>
      </x:c>
      <x:c r="G1456" s="22" t="n">
        <x:f>IF(COUNT(E1456:F1456)=2,MAX(0,E1456-F1456),"n.a.")</x:f>
        <x:v>500</x:v>
      </x:c>
      <x:c r="H1456" s="26" t="str">
        <x:f>'Inputs'!C15</x:f>
        <x:v>Unused 5</x:v>
      </x:c>
      <x:c r="I1456" s="26" t="n">
        <x:f>S1451</x:f>
        <x:v>0</x:v>
      </x:c>
      <x:c r="J1456" s="29" t="n">
        <x:f>IF('Inputs'!$D$9="Ready",'Inputs'!E15,"n.a.")</x:f>
        <x:v>0</x:v>
      </x:c>
      <x:c r="K1456" s="26" t="n">
        <x:f>IF('Inputs'!$D$9="Ready",'Inputs'!F15,"n.a.")</x:f>
        <x:v>0</x:v>
      </x:c>
      <x:c r="L1456" s="29" t="n">
        <x:f>IF('Inputs'!$D$9="Ready",'Inputs'!G15,"n.a.")</x:f>
        <x:v>0</x:v>
      </x:c>
      <x:c r="M1456" s="22" t="n">
        <x:f>IF(COUNT(I1456:L1456)=4,ROUND(I1456*J1456/12,2),"n.a.")</x:f>
        <x:v>0</x:v>
      </x:c>
      <x:c r="N1456" s="22" t="n">
        <x:f>IF(COUNT(I1456:M1456)=5,MIN(I1456+M1456,ROUND(MAX(K1456,I1456*L1456+M1456),2)),"n.a.")</x:f>
        <x:v>0</x:v>
      </x:c>
      <x:c r="O1456" s="30" t="n">
        <x:f>IF(COUNT($I$1452:$I$1456)&lt;&gt;5,"n.a.",IF(I1456=0,6,IF('Inputs'!$D$5=1,COUNTIFS($I$1452:$I$1456,"&gt;0",$I$1452:$I$1456,"&lt;"&amp;I1456)+COUNTIFS($I$1452:I1456,I1456),COUNTIFS($I$1452:$I$1456,"&gt;0",$J$1452:$J$1456,"&gt;"&amp;J1456)+COUNTIFS($I$1452:I1456,"&gt;0",$J$1452:J1456,J1456))))</x:f>
        <x:v>6</x:v>
      </x:c>
      <x:c r="P1456" s="22" t="n">
        <x:f>IF(T1456="Ready",MIN(U1456,MAX(0,G1456-SUMIFS($U$1452:$U$1456,$O$1452:$O$1456,"&lt;"&amp;O1456))),"n.a.")</x:f>
        <x:v>0</x:v>
      </x:c>
      <x:c r="Q1456" s="22" t="n">
        <x:f>IF(T1456="Ready",ROUND(N1456+P1456,2),"n.a.")</x:f>
        <x:v>0</x:v>
      </x:c>
      <x:c r="R1456" s="22" t="n">
        <x:f>IF(T1456="Ready",ROUND(Q1456-M1456,2),"n.a.")</x:f>
        <x:v>0</x:v>
      </x:c>
      <x:c r="S1456" s="22" t="n">
        <x:f>IF(T1456="Ready",MAX(0,ROUND(I1456+M1456-Q1456,2)),"n.a.")</x:f>
        <x:v>0</x:v>
      </x:c>
      <x:c r="T1456" s="22" t="str">
        <x:f>IF(AND(COUNT($I$1452:$I$1456)=5,COUNT(E1456:F1456)=2),IF(E1456&gt;=F1456,"Ready","Budget below minima"),"Check inputs")</x:f>
        <x:v>Ready</x:v>
      </x:c>
      <x:c r="U1456" s="22" t="n">
        <x:f>IF(COUNT(I1456,M1456,N1456)=3,MAX(0,ROUND(I1456+M1456-N1456,2)),"n.a.")</x:f>
        <x:v>0</x:v>
      </x:c>
    </x:row>
    <x:row r="1457" ht="22" customHeight="1">
      <x:c r="A1457" s="2"/>
      <x:c r="B1457" s="2"/>
      <x:c r="C1457" s="27" t="n">
        <x:f>291</x:f>
        <x:v>291</x:v>
      </x:c>
      <x:c r="D1457" s="28" t="n">
        <x:f>IF(ISNUMBER('Inputs'!$D$7),EDATE('Inputs'!$D$7,290),"n.a.")</x:f>
        <x:v>55154</x:v>
      </x:c>
      <x:c r="E1457" s="26" t="n">
        <x:f>IF('Inputs'!$D$9&lt;&gt;"Ready","n.a.",IF(ISNUMBER('Inputs'!E309),IF('Inputs'!E309&gt;=0,'Inputs'!E309,"n.a."),IF('Inputs'!E309="",'Inputs'!$D$6,"n.a.")))</x:f>
        <x:v>500</x:v>
      </x:c>
      <x:c r="F1457" s="22" t="n">
        <x:f>IF(COUNT($N$1457:$N$1461)=5,SUM($N$1457:$N$1461),"n.a.")</x:f>
        <x:v>0</x:v>
      </x:c>
      <x:c r="G1457" s="22" t="n">
        <x:f>IF(COUNT(E1457:F1457)=2,MAX(0,E1457-F1457),"n.a.")</x:f>
        <x:v>500</x:v>
      </x:c>
      <x:c r="H1457" s="26" t="str">
        <x:f>'Inputs'!C11</x:f>
        <x:v>Card A</x:v>
      </x:c>
      <x:c r="I1457" s="26" t="n">
        <x:f>S1452</x:f>
        <x:v>0</x:v>
      </x:c>
      <x:c r="J1457" s="29" t="n">
        <x:f>IF('Inputs'!$D$9="Ready",'Inputs'!E11,"n.a.")</x:f>
        <x:v>0.24</x:v>
      </x:c>
      <x:c r="K1457" s="26" t="n">
        <x:f>IF('Inputs'!$D$9="Ready",'Inputs'!F11,"n.a.")</x:f>
        <x:v>35</x:v>
      </x:c>
      <x:c r="L1457" s="29" t="n">
        <x:f>IF('Inputs'!$D$9="Ready",'Inputs'!G11,"n.a.")</x:f>
        <x:v>0.02</x:v>
      </x:c>
      <x:c r="M1457" s="22" t="n">
        <x:f>IF(COUNT(I1457:L1457)=4,ROUND(I1457*J1457/12,2),"n.a.")</x:f>
        <x:v>0</x:v>
      </x:c>
      <x:c r="N1457" s="22" t="n">
        <x:f>IF(COUNT(I1457:M1457)=5,MIN(I1457+M1457,ROUND(MAX(K1457,I1457*L1457+M1457),2)),"n.a.")</x:f>
        <x:v>0</x:v>
      </x:c>
      <x:c r="O1457" s="30" t="n">
        <x:f>IF(COUNT($I$1457:$I$1461)&lt;&gt;5,"n.a.",IF(I1457=0,6,IF('Inputs'!$D$5=1,COUNTIFS($I$1457:$I$1461,"&gt;0",$I$1457:$I$1461,"&lt;"&amp;I1457)+COUNTIFS($I$1457:I1457,I1457),COUNTIFS($I$1457:$I$1461,"&gt;0",$J$1457:$J$1461,"&gt;"&amp;J1457)+COUNTIFS($I$1457:I1457,"&gt;0",$J$1457:J1457,J1457))))</x:f>
        <x:v>6</x:v>
      </x:c>
      <x:c r="P1457" s="22" t="n">
        <x:f>IF(T1457="Ready",MIN(U1457,MAX(0,G1457-SUMIFS($U$1457:$U$1461,$O$1457:$O$1461,"&lt;"&amp;O1457))),"n.a.")</x:f>
        <x:v>0</x:v>
      </x:c>
      <x:c r="Q1457" s="22" t="n">
        <x:f>IF(T1457="Ready",ROUND(N1457+P1457,2),"n.a.")</x:f>
        <x:v>0</x:v>
      </x:c>
      <x:c r="R1457" s="22" t="n">
        <x:f>IF(T1457="Ready",ROUND(Q1457-M1457,2),"n.a.")</x:f>
        <x:v>0</x:v>
      </x:c>
      <x:c r="S1457" s="22" t="n">
        <x:f>IF(T1457="Ready",MAX(0,ROUND(I1457+M1457-Q1457,2)),"n.a.")</x:f>
        <x:v>0</x:v>
      </x:c>
      <x:c r="T1457" s="22" t="str">
        <x:f>IF(AND(COUNT($I$1457:$I$1461)=5,COUNT(E1457:F1457)=2),IF(E1457&gt;=F1457,"Ready","Budget below minima"),"Check inputs")</x:f>
        <x:v>Ready</x:v>
      </x:c>
      <x:c r="U1457" s="22" t="n">
        <x:f>IF(COUNT(I1457,M1457,N1457)=3,MAX(0,ROUND(I1457+M1457-N1457,2)),"n.a.")</x:f>
        <x:v>0</x:v>
      </x:c>
    </x:row>
    <x:row r="1458" ht="22" customHeight="1">
      <x:c r="A1458" s="2"/>
      <x:c r="B1458" s="2"/>
      <x:c r="C1458" s="27" t="n">
        <x:f>291</x:f>
        <x:v>291</x:v>
      </x:c>
      <x:c r="D1458" s="28" t="n">
        <x:f>IF(ISNUMBER('Inputs'!$D$7),EDATE('Inputs'!$D$7,290),"n.a.")</x:f>
        <x:v>55154</x:v>
      </x:c>
      <x:c r="E1458" s="26" t="n">
        <x:f>IF('Inputs'!$D$9&lt;&gt;"Ready","n.a.",IF(ISNUMBER('Inputs'!E309),IF('Inputs'!E309&gt;=0,'Inputs'!E309,"n.a."),IF('Inputs'!E309="",'Inputs'!$D$6,"n.a.")))</x:f>
        <x:v>500</x:v>
      </x:c>
      <x:c r="F1458" s="22" t="n">
        <x:f>IF(COUNT($N$1457:$N$1461)=5,SUM($N$1457:$N$1461),"n.a.")</x:f>
        <x:v>0</x:v>
      </x:c>
      <x:c r="G1458" s="22" t="n">
        <x:f>IF(COUNT(E1458:F1458)=2,MAX(0,E1458-F1458),"n.a.")</x:f>
        <x:v>500</x:v>
      </x:c>
      <x:c r="H1458" s="26" t="str">
        <x:f>'Inputs'!C12</x:f>
        <x:v>Card B</x:v>
      </x:c>
      <x:c r="I1458" s="26" t="n">
        <x:f>S1453</x:f>
        <x:v>0</x:v>
      </x:c>
      <x:c r="J1458" s="29" t="n">
        <x:f>IF('Inputs'!$D$9="Ready",'Inputs'!E12,"n.a.")</x:f>
        <x:v>0.18</x:v>
      </x:c>
      <x:c r="K1458" s="26" t="n">
        <x:f>IF('Inputs'!$D$9="Ready",'Inputs'!F12,"n.a.")</x:f>
        <x:v>60</x:v>
      </x:c>
      <x:c r="L1458" s="29" t="n">
        <x:f>IF('Inputs'!$D$9="Ready",'Inputs'!G12,"n.a.")</x:f>
        <x:v>0.02</x:v>
      </x:c>
      <x:c r="M1458" s="22" t="n">
        <x:f>IF(COUNT(I1458:L1458)=4,ROUND(I1458*J1458/12,2),"n.a.")</x:f>
        <x:v>0</x:v>
      </x:c>
      <x:c r="N1458" s="22" t="n">
        <x:f>IF(COUNT(I1458:M1458)=5,MIN(I1458+M1458,ROUND(MAX(K1458,I1458*L1458+M1458),2)),"n.a.")</x:f>
        <x:v>0</x:v>
      </x:c>
      <x:c r="O1458" s="30" t="n">
        <x:f>IF(COUNT($I$1457:$I$1461)&lt;&gt;5,"n.a.",IF(I1458=0,6,IF('Inputs'!$D$5=1,COUNTIFS($I$1457:$I$1461,"&gt;0",$I$1457:$I$1461,"&lt;"&amp;I1458)+COUNTIFS($I$1457:I1458,I1458),COUNTIFS($I$1457:$I$1461,"&gt;0",$J$1457:$J$1461,"&gt;"&amp;J1458)+COUNTIFS($I$1457:I1458,"&gt;0",$J$1457:J1458,J1458))))</x:f>
        <x:v>6</x:v>
      </x:c>
      <x:c r="P1458" s="22" t="n">
        <x:f>IF(T1458="Ready",MIN(U1458,MAX(0,G1458-SUMIFS($U$1457:$U$1461,$O$1457:$O$1461,"&lt;"&amp;O1458))),"n.a.")</x:f>
        <x:v>0</x:v>
      </x:c>
      <x:c r="Q1458" s="22" t="n">
        <x:f>IF(T1458="Ready",ROUND(N1458+P1458,2),"n.a.")</x:f>
        <x:v>0</x:v>
      </x:c>
      <x:c r="R1458" s="22" t="n">
        <x:f>IF(T1458="Ready",ROUND(Q1458-M1458,2),"n.a.")</x:f>
        <x:v>0</x:v>
      </x:c>
      <x:c r="S1458" s="22" t="n">
        <x:f>IF(T1458="Ready",MAX(0,ROUND(I1458+M1458-Q1458,2)),"n.a.")</x:f>
        <x:v>0</x:v>
      </x:c>
      <x:c r="T1458" s="22" t="str">
        <x:f>IF(AND(COUNT($I$1457:$I$1461)=5,COUNT(E1458:F1458)=2),IF(E1458&gt;=F1458,"Ready","Budget below minima"),"Check inputs")</x:f>
        <x:v>Ready</x:v>
      </x:c>
      <x:c r="U1458" s="22" t="n">
        <x:f>IF(COUNT(I1458,M1458,N1458)=3,MAX(0,ROUND(I1458+M1458-N1458,2)),"n.a.")</x:f>
        <x:v>0</x:v>
      </x:c>
    </x:row>
    <x:row r="1459" ht="22" customHeight="1">
      <x:c r="A1459" s="2"/>
      <x:c r="B1459" s="2"/>
      <x:c r="C1459" s="27" t="n">
        <x:f>291</x:f>
        <x:v>291</x:v>
      </x:c>
      <x:c r="D1459" s="28" t="n">
        <x:f>IF(ISNUMBER('Inputs'!$D$7),EDATE('Inputs'!$D$7,290),"n.a.")</x:f>
        <x:v>55154</x:v>
      </x:c>
      <x:c r="E1459" s="26" t="n">
        <x:f>IF('Inputs'!$D$9&lt;&gt;"Ready","n.a.",IF(ISNUMBER('Inputs'!E309),IF('Inputs'!E309&gt;=0,'Inputs'!E309,"n.a."),IF('Inputs'!E309="",'Inputs'!$D$6,"n.a.")))</x:f>
        <x:v>500</x:v>
      </x:c>
      <x:c r="F1459" s="22" t="n">
        <x:f>IF(COUNT($N$1457:$N$1461)=5,SUM($N$1457:$N$1461),"n.a.")</x:f>
        <x:v>0</x:v>
      </x:c>
      <x:c r="G1459" s="22" t="n">
        <x:f>IF(COUNT(E1459:F1459)=2,MAX(0,E1459-F1459),"n.a.")</x:f>
        <x:v>500</x:v>
      </x:c>
      <x:c r="H1459" s="26" t="str">
        <x:f>'Inputs'!C13</x:f>
        <x:v>Loan C</x:v>
      </x:c>
      <x:c r="I1459" s="26" t="n">
        <x:f>S1454</x:f>
        <x:v>0</x:v>
      </x:c>
      <x:c r="J1459" s="29" t="n">
        <x:f>IF('Inputs'!$D$9="Ready",'Inputs'!E13,"n.a.")</x:f>
        <x:v>0.08</x:v>
      </x:c>
      <x:c r="K1459" s="26" t="n">
        <x:f>IF('Inputs'!$D$9="Ready",'Inputs'!F13,"n.a.")</x:f>
        <x:v>150</x:v>
      </x:c>
      <x:c r="L1459" s="29" t="n">
        <x:f>IF('Inputs'!$D$9="Ready",'Inputs'!G13,"n.a.")</x:f>
        <x:v>0</x:v>
      </x:c>
      <x:c r="M1459" s="22" t="n">
        <x:f>IF(COUNT(I1459:L1459)=4,ROUND(I1459*J1459/12,2),"n.a.")</x:f>
        <x:v>0</x:v>
      </x:c>
      <x:c r="N1459" s="22" t="n">
        <x:f>IF(COUNT(I1459:M1459)=5,MIN(I1459+M1459,ROUND(MAX(K1459,I1459*L1459+M1459),2)),"n.a.")</x:f>
        <x:v>0</x:v>
      </x:c>
      <x:c r="O1459" s="30" t="n">
        <x:f>IF(COUNT($I$1457:$I$1461)&lt;&gt;5,"n.a.",IF(I1459=0,6,IF('Inputs'!$D$5=1,COUNTIFS($I$1457:$I$1461,"&gt;0",$I$1457:$I$1461,"&lt;"&amp;I1459)+COUNTIFS($I$1457:I1459,I1459),COUNTIFS($I$1457:$I$1461,"&gt;0",$J$1457:$J$1461,"&gt;"&amp;J1459)+COUNTIFS($I$1457:I1459,"&gt;0",$J$1457:J1459,J1459))))</x:f>
        <x:v>6</x:v>
      </x:c>
      <x:c r="P1459" s="22" t="n">
        <x:f>IF(T1459="Ready",MIN(U1459,MAX(0,G1459-SUMIFS($U$1457:$U$1461,$O$1457:$O$1461,"&lt;"&amp;O1459))),"n.a.")</x:f>
        <x:v>0</x:v>
      </x:c>
      <x:c r="Q1459" s="22" t="n">
        <x:f>IF(T1459="Ready",ROUND(N1459+P1459,2),"n.a.")</x:f>
        <x:v>0</x:v>
      </x:c>
      <x:c r="R1459" s="22" t="n">
        <x:f>IF(T1459="Ready",ROUND(Q1459-M1459,2),"n.a.")</x:f>
        <x:v>0</x:v>
      </x:c>
      <x:c r="S1459" s="22" t="n">
        <x:f>IF(T1459="Ready",MAX(0,ROUND(I1459+M1459-Q1459,2)),"n.a.")</x:f>
        <x:v>0</x:v>
      </x:c>
      <x:c r="T1459" s="22" t="str">
        <x:f>IF(AND(COUNT($I$1457:$I$1461)=5,COUNT(E1459:F1459)=2),IF(E1459&gt;=F1459,"Ready","Budget below minima"),"Check inputs")</x:f>
        <x:v>Ready</x:v>
      </x:c>
      <x:c r="U1459" s="22" t="n">
        <x:f>IF(COUNT(I1459,M1459,N1459)=3,MAX(0,ROUND(I1459+M1459-N1459,2)),"n.a.")</x:f>
        <x:v>0</x:v>
      </x:c>
    </x:row>
    <x:row r="1460" ht="22" customHeight="1">
      <x:c r="A1460" s="2"/>
      <x:c r="B1460" s="2"/>
      <x:c r="C1460" s="27" t="n">
        <x:f>291</x:f>
        <x:v>291</x:v>
      </x:c>
      <x:c r="D1460" s="28" t="n">
        <x:f>IF(ISNUMBER('Inputs'!$D$7),EDATE('Inputs'!$D$7,290),"n.a.")</x:f>
        <x:v>55154</x:v>
      </x:c>
      <x:c r="E1460" s="26" t="n">
        <x:f>IF('Inputs'!$D$9&lt;&gt;"Ready","n.a.",IF(ISNUMBER('Inputs'!E309),IF('Inputs'!E309&gt;=0,'Inputs'!E309,"n.a."),IF('Inputs'!E309="",'Inputs'!$D$6,"n.a.")))</x:f>
        <x:v>500</x:v>
      </x:c>
      <x:c r="F1460" s="22" t="n">
        <x:f>IF(COUNT($N$1457:$N$1461)=5,SUM($N$1457:$N$1461),"n.a.")</x:f>
        <x:v>0</x:v>
      </x:c>
      <x:c r="G1460" s="22" t="n">
        <x:f>IF(COUNT(E1460:F1460)=2,MAX(0,E1460-F1460),"n.a.")</x:f>
        <x:v>500</x:v>
      </x:c>
      <x:c r="H1460" s="26" t="str">
        <x:f>'Inputs'!C14</x:f>
        <x:v>Unused 4</x:v>
      </x:c>
      <x:c r="I1460" s="26" t="n">
        <x:f>S1455</x:f>
        <x:v>0</x:v>
      </x:c>
      <x:c r="J1460" s="29" t="n">
        <x:f>IF('Inputs'!$D$9="Ready",'Inputs'!E14,"n.a.")</x:f>
        <x:v>0</x:v>
      </x:c>
      <x:c r="K1460" s="26" t="n">
        <x:f>IF('Inputs'!$D$9="Ready",'Inputs'!F14,"n.a.")</x:f>
        <x:v>0</x:v>
      </x:c>
      <x:c r="L1460" s="29" t="n">
        <x:f>IF('Inputs'!$D$9="Ready",'Inputs'!G14,"n.a.")</x:f>
        <x:v>0</x:v>
      </x:c>
      <x:c r="M1460" s="22" t="n">
        <x:f>IF(COUNT(I1460:L1460)=4,ROUND(I1460*J1460/12,2),"n.a.")</x:f>
        <x:v>0</x:v>
      </x:c>
      <x:c r="N1460" s="22" t="n">
        <x:f>IF(COUNT(I1460:M1460)=5,MIN(I1460+M1460,ROUND(MAX(K1460,I1460*L1460+M1460),2)),"n.a.")</x:f>
        <x:v>0</x:v>
      </x:c>
      <x:c r="O1460" s="30" t="n">
        <x:f>IF(COUNT($I$1457:$I$1461)&lt;&gt;5,"n.a.",IF(I1460=0,6,IF('Inputs'!$D$5=1,COUNTIFS($I$1457:$I$1461,"&gt;0",$I$1457:$I$1461,"&lt;"&amp;I1460)+COUNTIFS($I$1457:I1460,I1460),COUNTIFS($I$1457:$I$1461,"&gt;0",$J$1457:$J$1461,"&gt;"&amp;J1460)+COUNTIFS($I$1457:I1460,"&gt;0",$J$1457:J1460,J1460))))</x:f>
        <x:v>6</x:v>
      </x:c>
      <x:c r="P1460" s="22" t="n">
        <x:f>IF(T1460="Ready",MIN(U1460,MAX(0,G1460-SUMIFS($U$1457:$U$1461,$O$1457:$O$1461,"&lt;"&amp;O1460))),"n.a.")</x:f>
        <x:v>0</x:v>
      </x:c>
      <x:c r="Q1460" s="22" t="n">
        <x:f>IF(T1460="Ready",ROUND(N1460+P1460,2),"n.a.")</x:f>
        <x:v>0</x:v>
      </x:c>
      <x:c r="R1460" s="22" t="n">
        <x:f>IF(T1460="Ready",ROUND(Q1460-M1460,2),"n.a.")</x:f>
        <x:v>0</x:v>
      </x:c>
      <x:c r="S1460" s="22" t="n">
        <x:f>IF(T1460="Ready",MAX(0,ROUND(I1460+M1460-Q1460,2)),"n.a.")</x:f>
        <x:v>0</x:v>
      </x:c>
      <x:c r="T1460" s="22" t="str">
        <x:f>IF(AND(COUNT($I$1457:$I$1461)=5,COUNT(E1460:F1460)=2),IF(E1460&gt;=F1460,"Ready","Budget below minima"),"Check inputs")</x:f>
        <x:v>Ready</x:v>
      </x:c>
      <x:c r="U1460" s="22" t="n">
        <x:f>IF(COUNT(I1460,M1460,N1460)=3,MAX(0,ROUND(I1460+M1460-N1460,2)),"n.a.")</x:f>
        <x:v>0</x:v>
      </x:c>
    </x:row>
    <x:row r="1461" ht="22" customHeight="1">
      <x:c r="A1461" s="2"/>
      <x:c r="B1461" s="2"/>
      <x:c r="C1461" s="27" t="n">
        <x:f>291</x:f>
        <x:v>291</x:v>
      </x:c>
      <x:c r="D1461" s="28" t="n">
        <x:f>IF(ISNUMBER('Inputs'!$D$7),EDATE('Inputs'!$D$7,290),"n.a.")</x:f>
        <x:v>55154</x:v>
      </x:c>
      <x:c r="E1461" s="26" t="n">
        <x:f>IF('Inputs'!$D$9&lt;&gt;"Ready","n.a.",IF(ISNUMBER('Inputs'!E309),IF('Inputs'!E309&gt;=0,'Inputs'!E309,"n.a."),IF('Inputs'!E309="",'Inputs'!$D$6,"n.a.")))</x:f>
        <x:v>500</x:v>
      </x:c>
      <x:c r="F1461" s="22" t="n">
        <x:f>IF(COUNT($N$1457:$N$1461)=5,SUM($N$1457:$N$1461),"n.a.")</x:f>
        <x:v>0</x:v>
      </x:c>
      <x:c r="G1461" s="22" t="n">
        <x:f>IF(COUNT(E1461:F1461)=2,MAX(0,E1461-F1461),"n.a.")</x:f>
        <x:v>500</x:v>
      </x:c>
      <x:c r="H1461" s="26" t="str">
        <x:f>'Inputs'!C15</x:f>
        <x:v>Unused 5</x:v>
      </x:c>
      <x:c r="I1461" s="26" t="n">
        <x:f>S1456</x:f>
        <x:v>0</x:v>
      </x:c>
      <x:c r="J1461" s="29" t="n">
        <x:f>IF('Inputs'!$D$9="Ready",'Inputs'!E15,"n.a.")</x:f>
        <x:v>0</x:v>
      </x:c>
      <x:c r="K1461" s="26" t="n">
        <x:f>IF('Inputs'!$D$9="Ready",'Inputs'!F15,"n.a.")</x:f>
        <x:v>0</x:v>
      </x:c>
      <x:c r="L1461" s="29" t="n">
        <x:f>IF('Inputs'!$D$9="Ready",'Inputs'!G15,"n.a.")</x:f>
        <x:v>0</x:v>
      </x:c>
      <x:c r="M1461" s="22" t="n">
        <x:f>IF(COUNT(I1461:L1461)=4,ROUND(I1461*J1461/12,2),"n.a.")</x:f>
        <x:v>0</x:v>
      </x:c>
      <x:c r="N1461" s="22" t="n">
        <x:f>IF(COUNT(I1461:M1461)=5,MIN(I1461+M1461,ROUND(MAX(K1461,I1461*L1461+M1461),2)),"n.a.")</x:f>
        <x:v>0</x:v>
      </x:c>
      <x:c r="O1461" s="30" t="n">
        <x:f>IF(COUNT($I$1457:$I$1461)&lt;&gt;5,"n.a.",IF(I1461=0,6,IF('Inputs'!$D$5=1,COUNTIFS($I$1457:$I$1461,"&gt;0",$I$1457:$I$1461,"&lt;"&amp;I1461)+COUNTIFS($I$1457:I1461,I1461),COUNTIFS($I$1457:$I$1461,"&gt;0",$J$1457:$J$1461,"&gt;"&amp;J1461)+COUNTIFS($I$1457:I1461,"&gt;0",$J$1457:J1461,J1461))))</x:f>
        <x:v>6</x:v>
      </x:c>
      <x:c r="P1461" s="22" t="n">
        <x:f>IF(T1461="Ready",MIN(U1461,MAX(0,G1461-SUMIFS($U$1457:$U$1461,$O$1457:$O$1461,"&lt;"&amp;O1461))),"n.a.")</x:f>
        <x:v>0</x:v>
      </x:c>
      <x:c r="Q1461" s="22" t="n">
        <x:f>IF(T1461="Ready",ROUND(N1461+P1461,2),"n.a.")</x:f>
        <x:v>0</x:v>
      </x:c>
      <x:c r="R1461" s="22" t="n">
        <x:f>IF(T1461="Ready",ROUND(Q1461-M1461,2),"n.a.")</x:f>
        <x:v>0</x:v>
      </x:c>
      <x:c r="S1461" s="22" t="n">
        <x:f>IF(T1461="Ready",MAX(0,ROUND(I1461+M1461-Q1461,2)),"n.a.")</x:f>
        <x:v>0</x:v>
      </x:c>
      <x:c r="T1461" s="22" t="str">
        <x:f>IF(AND(COUNT($I$1457:$I$1461)=5,COUNT(E1461:F1461)=2),IF(E1461&gt;=F1461,"Ready","Budget below minima"),"Check inputs")</x:f>
        <x:v>Ready</x:v>
      </x:c>
      <x:c r="U1461" s="22" t="n">
        <x:f>IF(COUNT(I1461,M1461,N1461)=3,MAX(0,ROUND(I1461+M1461-N1461,2)),"n.a.")</x:f>
        <x:v>0</x:v>
      </x:c>
    </x:row>
    <x:row r="1462" ht="22" customHeight="1">
      <x:c r="A1462" s="2"/>
      <x:c r="B1462" s="2"/>
      <x:c r="C1462" s="27" t="n">
        <x:f>292</x:f>
        <x:v>292</x:v>
      </x:c>
      <x:c r="D1462" s="28" t="n">
        <x:f>IF(ISNUMBER('Inputs'!$D$7),EDATE('Inputs'!$D$7,291),"n.a.")</x:f>
        <x:v>55185</x:v>
      </x:c>
      <x:c r="E1462" s="26" t="n">
        <x:f>IF('Inputs'!$D$9&lt;&gt;"Ready","n.a.",IF(ISNUMBER('Inputs'!E310),IF('Inputs'!E310&gt;=0,'Inputs'!E310,"n.a."),IF('Inputs'!E310="",'Inputs'!$D$6,"n.a.")))</x:f>
        <x:v>500</x:v>
      </x:c>
      <x:c r="F1462" s="22" t="n">
        <x:f>IF(COUNT($N$1462:$N$1466)=5,SUM($N$1462:$N$1466),"n.a.")</x:f>
        <x:v>0</x:v>
      </x:c>
      <x:c r="G1462" s="22" t="n">
        <x:f>IF(COUNT(E1462:F1462)=2,MAX(0,E1462-F1462),"n.a.")</x:f>
        <x:v>500</x:v>
      </x:c>
      <x:c r="H1462" s="26" t="str">
        <x:f>'Inputs'!C11</x:f>
        <x:v>Card A</x:v>
      </x:c>
      <x:c r="I1462" s="26" t="n">
        <x:f>S1457</x:f>
        <x:v>0</x:v>
      </x:c>
      <x:c r="J1462" s="29" t="n">
        <x:f>IF('Inputs'!$D$9="Ready",'Inputs'!E11,"n.a.")</x:f>
        <x:v>0.24</x:v>
      </x:c>
      <x:c r="K1462" s="26" t="n">
        <x:f>IF('Inputs'!$D$9="Ready",'Inputs'!F11,"n.a.")</x:f>
        <x:v>35</x:v>
      </x:c>
      <x:c r="L1462" s="29" t="n">
        <x:f>IF('Inputs'!$D$9="Ready",'Inputs'!G11,"n.a.")</x:f>
        <x:v>0.02</x:v>
      </x:c>
      <x:c r="M1462" s="22" t="n">
        <x:f>IF(COUNT(I1462:L1462)=4,ROUND(I1462*J1462/12,2),"n.a.")</x:f>
        <x:v>0</x:v>
      </x:c>
      <x:c r="N1462" s="22" t="n">
        <x:f>IF(COUNT(I1462:M1462)=5,MIN(I1462+M1462,ROUND(MAX(K1462,I1462*L1462+M1462),2)),"n.a.")</x:f>
        <x:v>0</x:v>
      </x:c>
      <x:c r="O1462" s="30" t="n">
        <x:f>IF(COUNT($I$1462:$I$1466)&lt;&gt;5,"n.a.",IF(I1462=0,6,IF('Inputs'!$D$5=1,COUNTIFS($I$1462:$I$1466,"&gt;0",$I$1462:$I$1466,"&lt;"&amp;I1462)+COUNTIFS($I$1462:I1462,I1462),COUNTIFS($I$1462:$I$1466,"&gt;0",$J$1462:$J$1466,"&gt;"&amp;J1462)+COUNTIFS($I$1462:I1462,"&gt;0",$J$1462:J1462,J1462))))</x:f>
        <x:v>6</x:v>
      </x:c>
      <x:c r="P1462" s="22" t="n">
        <x:f>IF(T1462="Ready",MIN(U1462,MAX(0,G1462-SUMIFS($U$1462:$U$1466,$O$1462:$O$1466,"&lt;"&amp;O1462))),"n.a.")</x:f>
        <x:v>0</x:v>
      </x:c>
      <x:c r="Q1462" s="22" t="n">
        <x:f>IF(T1462="Ready",ROUND(N1462+P1462,2),"n.a.")</x:f>
        <x:v>0</x:v>
      </x:c>
      <x:c r="R1462" s="22" t="n">
        <x:f>IF(T1462="Ready",ROUND(Q1462-M1462,2),"n.a.")</x:f>
        <x:v>0</x:v>
      </x:c>
      <x:c r="S1462" s="22" t="n">
        <x:f>IF(T1462="Ready",MAX(0,ROUND(I1462+M1462-Q1462,2)),"n.a.")</x:f>
        <x:v>0</x:v>
      </x:c>
      <x:c r="T1462" s="22" t="str">
        <x:f>IF(AND(COUNT($I$1462:$I$1466)=5,COUNT(E1462:F1462)=2),IF(E1462&gt;=F1462,"Ready","Budget below minima"),"Check inputs")</x:f>
        <x:v>Ready</x:v>
      </x:c>
      <x:c r="U1462" s="22" t="n">
        <x:f>IF(COUNT(I1462,M1462,N1462)=3,MAX(0,ROUND(I1462+M1462-N1462,2)),"n.a.")</x:f>
        <x:v>0</x:v>
      </x:c>
    </x:row>
    <x:row r="1463" ht="22" customHeight="1">
      <x:c r="A1463" s="2"/>
      <x:c r="B1463" s="2"/>
      <x:c r="C1463" s="27" t="n">
        <x:f>292</x:f>
        <x:v>292</x:v>
      </x:c>
      <x:c r="D1463" s="28" t="n">
        <x:f>IF(ISNUMBER('Inputs'!$D$7),EDATE('Inputs'!$D$7,291),"n.a.")</x:f>
        <x:v>55185</x:v>
      </x:c>
      <x:c r="E1463" s="26" t="n">
        <x:f>IF('Inputs'!$D$9&lt;&gt;"Ready","n.a.",IF(ISNUMBER('Inputs'!E310),IF('Inputs'!E310&gt;=0,'Inputs'!E310,"n.a."),IF('Inputs'!E310="",'Inputs'!$D$6,"n.a.")))</x:f>
        <x:v>500</x:v>
      </x:c>
      <x:c r="F1463" s="22" t="n">
        <x:f>IF(COUNT($N$1462:$N$1466)=5,SUM($N$1462:$N$1466),"n.a.")</x:f>
        <x:v>0</x:v>
      </x:c>
      <x:c r="G1463" s="22" t="n">
        <x:f>IF(COUNT(E1463:F1463)=2,MAX(0,E1463-F1463),"n.a.")</x:f>
        <x:v>500</x:v>
      </x:c>
      <x:c r="H1463" s="26" t="str">
        <x:f>'Inputs'!C12</x:f>
        <x:v>Card B</x:v>
      </x:c>
      <x:c r="I1463" s="26" t="n">
        <x:f>S1458</x:f>
        <x:v>0</x:v>
      </x:c>
      <x:c r="J1463" s="29" t="n">
        <x:f>IF('Inputs'!$D$9="Ready",'Inputs'!E12,"n.a.")</x:f>
        <x:v>0.18</x:v>
      </x:c>
      <x:c r="K1463" s="26" t="n">
        <x:f>IF('Inputs'!$D$9="Ready",'Inputs'!F12,"n.a.")</x:f>
        <x:v>60</x:v>
      </x:c>
      <x:c r="L1463" s="29" t="n">
        <x:f>IF('Inputs'!$D$9="Ready",'Inputs'!G12,"n.a.")</x:f>
        <x:v>0.02</x:v>
      </x:c>
      <x:c r="M1463" s="22" t="n">
        <x:f>IF(COUNT(I1463:L1463)=4,ROUND(I1463*J1463/12,2),"n.a.")</x:f>
        <x:v>0</x:v>
      </x:c>
      <x:c r="N1463" s="22" t="n">
        <x:f>IF(COUNT(I1463:M1463)=5,MIN(I1463+M1463,ROUND(MAX(K1463,I1463*L1463+M1463),2)),"n.a.")</x:f>
        <x:v>0</x:v>
      </x:c>
      <x:c r="O1463" s="30" t="n">
        <x:f>IF(COUNT($I$1462:$I$1466)&lt;&gt;5,"n.a.",IF(I1463=0,6,IF('Inputs'!$D$5=1,COUNTIFS($I$1462:$I$1466,"&gt;0",$I$1462:$I$1466,"&lt;"&amp;I1463)+COUNTIFS($I$1462:I1463,I1463),COUNTIFS($I$1462:$I$1466,"&gt;0",$J$1462:$J$1466,"&gt;"&amp;J1463)+COUNTIFS($I$1462:I1463,"&gt;0",$J$1462:J1463,J1463))))</x:f>
        <x:v>6</x:v>
      </x:c>
      <x:c r="P1463" s="22" t="n">
        <x:f>IF(T1463="Ready",MIN(U1463,MAX(0,G1463-SUMIFS($U$1462:$U$1466,$O$1462:$O$1466,"&lt;"&amp;O1463))),"n.a.")</x:f>
        <x:v>0</x:v>
      </x:c>
      <x:c r="Q1463" s="22" t="n">
        <x:f>IF(T1463="Ready",ROUND(N1463+P1463,2),"n.a.")</x:f>
        <x:v>0</x:v>
      </x:c>
      <x:c r="R1463" s="22" t="n">
        <x:f>IF(T1463="Ready",ROUND(Q1463-M1463,2),"n.a.")</x:f>
        <x:v>0</x:v>
      </x:c>
      <x:c r="S1463" s="22" t="n">
        <x:f>IF(T1463="Ready",MAX(0,ROUND(I1463+M1463-Q1463,2)),"n.a.")</x:f>
        <x:v>0</x:v>
      </x:c>
      <x:c r="T1463" s="22" t="str">
        <x:f>IF(AND(COUNT($I$1462:$I$1466)=5,COUNT(E1463:F1463)=2),IF(E1463&gt;=F1463,"Ready","Budget below minima"),"Check inputs")</x:f>
        <x:v>Ready</x:v>
      </x:c>
      <x:c r="U1463" s="22" t="n">
        <x:f>IF(COUNT(I1463,M1463,N1463)=3,MAX(0,ROUND(I1463+M1463-N1463,2)),"n.a.")</x:f>
        <x:v>0</x:v>
      </x:c>
    </x:row>
    <x:row r="1464" ht="22" customHeight="1">
      <x:c r="A1464" s="2"/>
      <x:c r="B1464" s="2"/>
      <x:c r="C1464" s="27" t="n">
        <x:f>292</x:f>
        <x:v>292</x:v>
      </x:c>
      <x:c r="D1464" s="28" t="n">
        <x:f>IF(ISNUMBER('Inputs'!$D$7),EDATE('Inputs'!$D$7,291),"n.a.")</x:f>
        <x:v>55185</x:v>
      </x:c>
      <x:c r="E1464" s="26" t="n">
        <x:f>IF('Inputs'!$D$9&lt;&gt;"Ready","n.a.",IF(ISNUMBER('Inputs'!E310),IF('Inputs'!E310&gt;=0,'Inputs'!E310,"n.a."),IF('Inputs'!E310="",'Inputs'!$D$6,"n.a.")))</x:f>
        <x:v>500</x:v>
      </x:c>
      <x:c r="F1464" s="22" t="n">
        <x:f>IF(COUNT($N$1462:$N$1466)=5,SUM($N$1462:$N$1466),"n.a.")</x:f>
        <x:v>0</x:v>
      </x:c>
      <x:c r="G1464" s="22" t="n">
        <x:f>IF(COUNT(E1464:F1464)=2,MAX(0,E1464-F1464),"n.a.")</x:f>
        <x:v>500</x:v>
      </x:c>
      <x:c r="H1464" s="26" t="str">
        <x:f>'Inputs'!C13</x:f>
        <x:v>Loan C</x:v>
      </x:c>
      <x:c r="I1464" s="26" t="n">
        <x:f>S1459</x:f>
        <x:v>0</x:v>
      </x:c>
      <x:c r="J1464" s="29" t="n">
        <x:f>IF('Inputs'!$D$9="Ready",'Inputs'!E13,"n.a.")</x:f>
        <x:v>0.08</x:v>
      </x:c>
      <x:c r="K1464" s="26" t="n">
        <x:f>IF('Inputs'!$D$9="Ready",'Inputs'!F13,"n.a.")</x:f>
        <x:v>150</x:v>
      </x:c>
      <x:c r="L1464" s="29" t="n">
        <x:f>IF('Inputs'!$D$9="Ready",'Inputs'!G13,"n.a.")</x:f>
        <x:v>0</x:v>
      </x:c>
      <x:c r="M1464" s="22" t="n">
        <x:f>IF(COUNT(I1464:L1464)=4,ROUND(I1464*J1464/12,2),"n.a.")</x:f>
        <x:v>0</x:v>
      </x:c>
      <x:c r="N1464" s="22" t="n">
        <x:f>IF(COUNT(I1464:M1464)=5,MIN(I1464+M1464,ROUND(MAX(K1464,I1464*L1464+M1464),2)),"n.a.")</x:f>
        <x:v>0</x:v>
      </x:c>
      <x:c r="O1464" s="30" t="n">
        <x:f>IF(COUNT($I$1462:$I$1466)&lt;&gt;5,"n.a.",IF(I1464=0,6,IF('Inputs'!$D$5=1,COUNTIFS($I$1462:$I$1466,"&gt;0",$I$1462:$I$1466,"&lt;"&amp;I1464)+COUNTIFS($I$1462:I1464,I1464),COUNTIFS($I$1462:$I$1466,"&gt;0",$J$1462:$J$1466,"&gt;"&amp;J1464)+COUNTIFS($I$1462:I1464,"&gt;0",$J$1462:J1464,J1464))))</x:f>
        <x:v>6</x:v>
      </x:c>
      <x:c r="P1464" s="22" t="n">
        <x:f>IF(T1464="Ready",MIN(U1464,MAX(0,G1464-SUMIFS($U$1462:$U$1466,$O$1462:$O$1466,"&lt;"&amp;O1464))),"n.a.")</x:f>
        <x:v>0</x:v>
      </x:c>
      <x:c r="Q1464" s="22" t="n">
        <x:f>IF(T1464="Ready",ROUND(N1464+P1464,2),"n.a.")</x:f>
        <x:v>0</x:v>
      </x:c>
      <x:c r="R1464" s="22" t="n">
        <x:f>IF(T1464="Ready",ROUND(Q1464-M1464,2),"n.a.")</x:f>
        <x:v>0</x:v>
      </x:c>
      <x:c r="S1464" s="22" t="n">
        <x:f>IF(T1464="Ready",MAX(0,ROUND(I1464+M1464-Q1464,2)),"n.a.")</x:f>
        <x:v>0</x:v>
      </x:c>
      <x:c r="T1464" s="22" t="str">
        <x:f>IF(AND(COUNT($I$1462:$I$1466)=5,COUNT(E1464:F1464)=2),IF(E1464&gt;=F1464,"Ready","Budget below minima"),"Check inputs")</x:f>
        <x:v>Ready</x:v>
      </x:c>
      <x:c r="U1464" s="22" t="n">
        <x:f>IF(COUNT(I1464,M1464,N1464)=3,MAX(0,ROUND(I1464+M1464-N1464,2)),"n.a.")</x:f>
        <x:v>0</x:v>
      </x:c>
    </x:row>
    <x:row r="1465" ht="22" customHeight="1">
      <x:c r="A1465" s="2"/>
      <x:c r="B1465" s="2"/>
      <x:c r="C1465" s="27" t="n">
        <x:f>292</x:f>
        <x:v>292</x:v>
      </x:c>
      <x:c r="D1465" s="28" t="n">
        <x:f>IF(ISNUMBER('Inputs'!$D$7),EDATE('Inputs'!$D$7,291),"n.a.")</x:f>
        <x:v>55185</x:v>
      </x:c>
      <x:c r="E1465" s="26" t="n">
        <x:f>IF('Inputs'!$D$9&lt;&gt;"Ready","n.a.",IF(ISNUMBER('Inputs'!E310),IF('Inputs'!E310&gt;=0,'Inputs'!E310,"n.a."),IF('Inputs'!E310="",'Inputs'!$D$6,"n.a.")))</x:f>
        <x:v>500</x:v>
      </x:c>
      <x:c r="F1465" s="22" t="n">
        <x:f>IF(COUNT($N$1462:$N$1466)=5,SUM($N$1462:$N$1466),"n.a.")</x:f>
        <x:v>0</x:v>
      </x:c>
      <x:c r="G1465" s="22" t="n">
        <x:f>IF(COUNT(E1465:F1465)=2,MAX(0,E1465-F1465),"n.a.")</x:f>
        <x:v>500</x:v>
      </x:c>
      <x:c r="H1465" s="26" t="str">
        <x:f>'Inputs'!C14</x:f>
        <x:v>Unused 4</x:v>
      </x:c>
      <x:c r="I1465" s="26" t="n">
        <x:f>S1460</x:f>
        <x:v>0</x:v>
      </x:c>
      <x:c r="J1465" s="29" t="n">
        <x:f>IF('Inputs'!$D$9="Ready",'Inputs'!E14,"n.a.")</x:f>
        <x:v>0</x:v>
      </x:c>
      <x:c r="K1465" s="26" t="n">
        <x:f>IF('Inputs'!$D$9="Ready",'Inputs'!F14,"n.a.")</x:f>
        <x:v>0</x:v>
      </x:c>
      <x:c r="L1465" s="29" t="n">
        <x:f>IF('Inputs'!$D$9="Ready",'Inputs'!G14,"n.a.")</x:f>
        <x:v>0</x:v>
      </x:c>
      <x:c r="M1465" s="22" t="n">
        <x:f>IF(COUNT(I1465:L1465)=4,ROUND(I1465*J1465/12,2),"n.a.")</x:f>
        <x:v>0</x:v>
      </x:c>
      <x:c r="N1465" s="22" t="n">
        <x:f>IF(COUNT(I1465:M1465)=5,MIN(I1465+M1465,ROUND(MAX(K1465,I1465*L1465+M1465),2)),"n.a.")</x:f>
        <x:v>0</x:v>
      </x:c>
      <x:c r="O1465" s="30" t="n">
        <x:f>IF(COUNT($I$1462:$I$1466)&lt;&gt;5,"n.a.",IF(I1465=0,6,IF('Inputs'!$D$5=1,COUNTIFS($I$1462:$I$1466,"&gt;0",$I$1462:$I$1466,"&lt;"&amp;I1465)+COUNTIFS($I$1462:I1465,I1465),COUNTIFS($I$1462:$I$1466,"&gt;0",$J$1462:$J$1466,"&gt;"&amp;J1465)+COUNTIFS($I$1462:I1465,"&gt;0",$J$1462:J1465,J1465))))</x:f>
        <x:v>6</x:v>
      </x:c>
      <x:c r="P1465" s="22" t="n">
        <x:f>IF(T1465="Ready",MIN(U1465,MAX(0,G1465-SUMIFS($U$1462:$U$1466,$O$1462:$O$1466,"&lt;"&amp;O1465))),"n.a.")</x:f>
        <x:v>0</x:v>
      </x:c>
      <x:c r="Q1465" s="22" t="n">
        <x:f>IF(T1465="Ready",ROUND(N1465+P1465,2),"n.a.")</x:f>
        <x:v>0</x:v>
      </x:c>
      <x:c r="R1465" s="22" t="n">
        <x:f>IF(T1465="Ready",ROUND(Q1465-M1465,2),"n.a.")</x:f>
        <x:v>0</x:v>
      </x:c>
      <x:c r="S1465" s="22" t="n">
        <x:f>IF(T1465="Ready",MAX(0,ROUND(I1465+M1465-Q1465,2)),"n.a.")</x:f>
        <x:v>0</x:v>
      </x:c>
      <x:c r="T1465" s="22" t="str">
        <x:f>IF(AND(COUNT($I$1462:$I$1466)=5,COUNT(E1465:F1465)=2),IF(E1465&gt;=F1465,"Ready","Budget below minima"),"Check inputs")</x:f>
        <x:v>Ready</x:v>
      </x:c>
      <x:c r="U1465" s="22" t="n">
        <x:f>IF(COUNT(I1465,M1465,N1465)=3,MAX(0,ROUND(I1465+M1465-N1465,2)),"n.a.")</x:f>
        <x:v>0</x:v>
      </x:c>
    </x:row>
    <x:row r="1466" ht="22" customHeight="1">
      <x:c r="A1466" s="2"/>
      <x:c r="B1466" s="2"/>
      <x:c r="C1466" s="27" t="n">
        <x:f>292</x:f>
        <x:v>292</x:v>
      </x:c>
      <x:c r="D1466" s="28" t="n">
        <x:f>IF(ISNUMBER('Inputs'!$D$7),EDATE('Inputs'!$D$7,291),"n.a.")</x:f>
        <x:v>55185</x:v>
      </x:c>
      <x:c r="E1466" s="26" t="n">
        <x:f>IF('Inputs'!$D$9&lt;&gt;"Ready","n.a.",IF(ISNUMBER('Inputs'!E310),IF('Inputs'!E310&gt;=0,'Inputs'!E310,"n.a."),IF('Inputs'!E310="",'Inputs'!$D$6,"n.a.")))</x:f>
        <x:v>500</x:v>
      </x:c>
      <x:c r="F1466" s="22" t="n">
        <x:f>IF(COUNT($N$1462:$N$1466)=5,SUM($N$1462:$N$1466),"n.a.")</x:f>
        <x:v>0</x:v>
      </x:c>
      <x:c r="G1466" s="22" t="n">
        <x:f>IF(COUNT(E1466:F1466)=2,MAX(0,E1466-F1466),"n.a.")</x:f>
        <x:v>500</x:v>
      </x:c>
      <x:c r="H1466" s="26" t="str">
        <x:f>'Inputs'!C15</x:f>
        <x:v>Unused 5</x:v>
      </x:c>
      <x:c r="I1466" s="26" t="n">
        <x:f>S1461</x:f>
        <x:v>0</x:v>
      </x:c>
      <x:c r="J1466" s="29" t="n">
        <x:f>IF('Inputs'!$D$9="Ready",'Inputs'!E15,"n.a.")</x:f>
        <x:v>0</x:v>
      </x:c>
      <x:c r="K1466" s="26" t="n">
        <x:f>IF('Inputs'!$D$9="Ready",'Inputs'!F15,"n.a.")</x:f>
        <x:v>0</x:v>
      </x:c>
      <x:c r="L1466" s="29" t="n">
        <x:f>IF('Inputs'!$D$9="Ready",'Inputs'!G15,"n.a.")</x:f>
        <x:v>0</x:v>
      </x:c>
      <x:c r="M1466" s="22" t="n">
        <x:f>IF(COUNT(I1466:L1466)=4,ROUND(I1466*J1466/12,2),"n.a.")</x:f>
        <x:v>0</x:v>
      </x:c>
      <x:c r="N1466" s="22" t="n">
        <x:f>IF(COUNT(I1466:M1466)=5,MIN(I1466+M1466,ROUND(MAX(K1466,I1466*L1466+M1466),2)),"n.a.")</x:f>
        <x:v>0</x:v>
      </x:c>
      <x:c r="O1466" s="30" t="n">
        <x:f>IF(COUNT($I$1462:$I$1466)&lt;&gt;5,"n.a.",IF(I1466=0,6,IF('Inputs'!$D$5=1,COUNTIFS($I$1462:$I$1466,"&gt;0",$I$1462:$I$1466,"&lt;"&amp;I1466)+COUNTIFS($I$1462:I1466,I1466),COUNTIFS($I$1462:$I$1466,"&gt;0",$J$1462:$J$1466,"&gt;"&amp;J1466)+COUNTIFS($I$1462:I1466,"&gt;0",$J$1462:J1466,J1466))))</x:f>
        <x:v>6</x:v>
      </x:c>
      <x:c r="P1466" s="22" t="n">
        <x:f>IF(T1466="Ready",MIN(U1466,MAX(0,G1466-SUMIFS($U$1462:$U$1466,$O$1462:$O$1466,"&lt;"&amp;O1466))),"n.a.")</x:f>
        <x:v>0</x:v>
      </x:c>
      <x:c r="Q1466" s="22" t="n">
        <x:f>IF(T1466="Ready",ROUND(N1466+P1466,2),"n.a.")</x:f>
        <x:v>0</x:v>
      </x:c>
      <x:c r="R1466" s="22" t="n">
        <x:f>IF(T1466="Ready",ROUND(Q1466-M1466,2),"n.a.")</x:f>
        <x:v>0</x:v>
      </x:c>
      <x:c r="S1466" s="22" t="n">
        <x:f>IF(T1466="Ready",MAX(0,ROUND(I1466+M1466-Q1466,2)),"n.a.")</x:f>
        <x:v>0</x:v>
      </x:c>
      <x:c r="T1466" s="22" t="str">
        <x:f>IF(AND(COUNT($I$1462:$I$1466)=5,COUNT(E1466:F1466)=2),IF(E1466&gt;=F1466,"Ready","Budget below minima"),"Check inputs")</x:f>
        <x:v>Ready</x:v>
      </x:c>
      <x:c r="U1466" s="22" t="n">
        <x:f>IF(COUNT(I1466,M1466,N1466)=3,MAX(0,ROUND(I1466+M1466-N1466,2)),"n.a.")</x:f>
        <x:v>0</x:v>
      </x:c>
    </x:row>
    <x:row r="1467" ht="22" customHeight="1">
      <x:c r="A1467" s="2"/>
      <x:c r="B1467" s="2"/>
      <x:c r="C1467" s="27" t="n">
        <x:f>293</x:f>
        <x:v>293</x:v>
      </x:c>
      <x:c r="D1467" s="28" t="n">
        <x:f>IF(ISNUMBER('Inputs'!$D$7),EDATE('Inputs'!$D$7,292),"n.a.")</x:f>
        <x:v>55213</x:v>
      </x:c>
      <x:c r="E1467" s="26" t="n">
        <x:f>IF('Inputs'!$D$9&lt;&gt;"Ready","n.a.",IF(ISNUMBER('Inputs'!E311),IF('Inputs'!E311&gt;=0,'Inputs'!E311,"n.a."),IF('Inputs'!E311="",'Inputs'!$D$6,"n.a.")))</x:f>
        <x:v>500</x:v>
      </x:c>
      <x:c r="F1467" s="22" t="n">
        <x:f>IF(COUNT($N$1467:$N$1471)=5,SUM($N$1467:$N$1471),"n.a.")</x:f>
        <x:v>0</x:v>
      </x:c>
      <x:c r="G1467" s="22" t="n">
        <x:f>IF(COUNT(E1467:F1467)=2,MAX(0,E1467-F1467),"n.a.")</x:f>
        <x:v>500</x:v>
      </x:c>
      <x:c r="H1467" s="26" t="str">
        <x:f>'Inputs'!C11</x:f>
        <x:v>Card A</x:v>
      </x:c>
      <x:c r="I1467" s="26" t="n">
        <x:f>S1462</x:f>
        <x:v>0</x:v>
      </x:c>
      <x:c r="J1467" s="29" t="n">
        <x:f>IF('Inputs'!$D$9="Ready",'Inputs'!E11,"n.a.")</x:f>
        <x:v>0.24</x:v>
      </x:c>
      <x:c r="K1467" s="26" t="n">
        <x:f>IF('Inputs'!$D$9="Ready",'Inputs'!F11,"n.a.")</x:f>
        <x:v>35</x:v>
      </x:c>
      <x:c r="L1467" s="29" t="n">
        <x:f>IF('Inputs'!$D$9="Ready",'Inputs'!G11,"n.a.")</x:f>
        <x:v>0.02</x:v>
      </x:c>
      <x:c r="M1467" s="22" t="n">
        <x:f>IF(COUNT(I1467:L1467)=4,ROUND(I1467*J1467/12,2),"n.a.")</x:f>
        <x:v>0</x:v>
      </x:c>
      <x:c r="N1467" s="22" t="n">
        <x:f>IF(COUNT(I1467:M1467)=5,MIN(I1467+M1467,ROUND(MAX(K1467,I1467*L1467+M1467),2)),"n.a.")</x:f>
        <x:v>0</x:v>
      </x:c>
      <x:c r="O1467" s="30" t="n">
        <x:f>IF(COUNT($I$1467:$I$1471)&lt;&gt;5,"n.a.",IF(I1467=0,6,IF('Inputs'!$D$5=1,COUNTIFS($I$1467:$I$1471,"&gt;0",$I$1467:$I$1471,"&lt;"&amp;I1467)+COUNTIFS($I$1467:I1467,I1467),COUNTIFS($I$1467:$I$1471,"&gt;0",$J$1467:$J$1471,"&gt;"&amp;J1467)+COUNTIFS($I$1467:I1467,"&gt;0",$J$1467:J1467,J1467))))</x:f>
        <x:v>6</x:v>
      </x:c>
      <x:c r="P1467" s="22" t="n">
        <x:f>IF(T1467="Ready",MIN(U1467,MAX(0,G1467-SUMIFS($U$1467:$U$1471,$O$1467:$O$1471,"&lt;"&amp;O1467))),"n.a.")</x:f>
        <x:v>0</x:v>
      </x:c>
      <x:c r="Q1467" s="22" t="n">
        <x:f>IF(T1467="Ready",ROUND(N1467+P1467,2),"n.a.")</x:f>
        <x:v>0</x:v>
      </x:c>
      <x:c r="R1467" s="22" t="n">
        <x:f>IF(T1467="Ready",ROUND(Q1467-M1467,2),"n.a.")</x:f>
        <x:v>0</x:v>
      </x:c>
      <x:c r="S1467" s="22" t="n">
        <x:f>IF(T1467="Ready",MAX(0,ROUND(I1467+M1467-Q1467,2)),"n.a.")</x:f>
        <x:v>0</x:v>
      </x:c>
      <x:c r="T1467" s="22" t="str">
        <x:f>IF(AND(COUNT($I$1467:$I$1471)=5,COUNT(E1467:F1467)=2),IF(E1467&gt;=F1467,"Ready","Budget below minima"),"Check inputs")</x:f>
        <x:v>Ready</x:v>
      </x:c>
      <x:c r="U1467" s="22" t="n">
        <x:f>IF(COUNT(I1467,M1467,N1467)=3,MAX(0,ROUND(I1467+M1467-N1467,2)),"n.a.")</x:f>
        <x:v>0</x:v>
      </x:c>
    </x:row>
    <x:row r="1468" ht="22" customHeight="1">
      <x:c r="A1468" s="2"/>
      <x:c r="B1468" s="2"/>
      <x:c r="C1468" s="27" t="n">
        <x:f>293</x:f>
        <x:v>293</x:v>
      </x:c>
      <x:c r="D1468" s="28" t="n">
        <x:f>IF(ISNUMBER('Inputs'!$D$7),EDATE('Inputs'!$D$7,292),"n.a.")</x:f>
        <x:v>55213</x:v>
      </x:c>
      <x:c r="E1468" s="26" t="n">
        <x:f>IF('Inputs'!$D$9&lt;&gt;"Ready","n.a.",IF(ISNUMBER('Inputs'!E311),IF('Inputs'!E311&gt;=0,'Inputs'!E311,"n.a."),IF('Inputs'!E311="",'Inputs'!$D$6,"n.a.")))</x:f>
        <x:v>500</x:v>
      </x:c>
      <x:c r="F1468" s="22" t="n">
        <x:f>IF(COUNT($N$1467:$N$1471)=5,SUM($N$1467:$N$1471),"n.a.")</x:f>
        <x:v>0</x:v>
      </x:c>
      <x:c r="G1468" s="22" t="n">
        <x:f>IF(COUNT(E1468:F1468)=2,MAX(0,E1468-F1468),"n.a.")</x:f>
        <x:v>500</x:v>
      </x:c>
      <x:c r="H1468" s="26" t="str">
        <x:f>'Inputs'!C12</x:f>
        <x:v>Card B</x:v>
      </x:c>
      <x:c r="I1468" s="26" t="n">
        <x:f>S1463</x:f>
        <x:v>0</x:v>
      </x:c>
      <x:c r="J1468" s="29" t="n">
        <x:f>IF('Inputs'!$D$9="Ready",'Inputs'!E12,"n.a.")</x:f>
        <x:v>0.18</x:v>
      </x:c>
      <x:c r="K1468" s="26" t="n">
        <x:f>IF('Inputs'!$D$9="Ready",'Inputs'!F12,"n.a.")</x:f>
        <x:v>60</x:v>
      </x:c>
      <x:c r="L1468" s="29" t="n">
        <x:f>IF('Inputs'!$D$9="Ready",'Inputs'!G12,"n.a.")</x:f>
        <x:v>0.02</x:v>
      </x:c>
      <x:c r="M1468" s="22" t="n">
        <x:f>IF(COUNT(I1468:L1468)=4,ROUND(I1468*J1468/12,2),"n.a.")</x:f>
        <x:v>0</x:v>
      </x:c>
      <x:c r="N1468" s="22" t="n">
        <x:f>IF(COUNT(I1468:M1468)=5,MIN(I1468+M1468,ROUND(MAX(K1468,I1468*L1468+M1468),2)),"n.a.")</x:f>
        <x:v>0</x:v>
      </x:c>
      <x:c r="O1468" s="30" t="n">
        <x:f>IF(COUNT($I$1467:$I$1471)&lt;&gt;5,"n.a.",IF(I1468=0,6,IF('Inputs'!$D$5=1,COUNTIFS($I$1467:$I$1471,"&gt;0",$I$1467:$I$1471,"&lt;"&amp;I1468)+COUNTIFS($I$1467:I1468,I1468),COUNTIFS($I$1467:$I$1471,"&gt;0",$J$1467:$J$1471,"&gt;"&amp;J1468)+COUNTIFS($I$1467:I1468,"&gt;0",$J$1467:J1468,J1468))))</x:f>
        <x:v>6</x:v>
      </x:c>
      <x:c r="P1468" s="22" t="n">
        <x:f>IF(T1468="Ready",MIN(U1468,MAX(0,G1468-SUMIFS($U$1467:$U$1471,$O$1467:$O$1471,"&lt;"&amp;O1468))),"n.a.")</x:f>
        <x:v>0</x:v>
      </x:c>
      <x:c r="Q1468" s="22" t="n">
        <x:f>IF(T1468="Ready",ROUND(N1468+P1468,2),"n.a.")</x:f>
        <x:v>0</x:v>
      </x:c>
      <x:c r="R1468" s="22" t="n">
        <x:f>IF(T1468="Ready",ROUND(Q1468-M1468,2),"n.a.")</x:f>
        <x:v>0</x:v>
      </x:c>
      <x:c r="S1468" s="22" t="n">
        <x:f>IF(T1468="Ready",MAX(0,ROUND(I1468+M1468-Q1468,2)),"n.a.")</x:f>
        <x:v>0</x:v>
      </x:c>
      <x:c r="T1468" s="22" t="str">
        <x:f>IF(AND(COUNT($I$1467:$I$1471)=5,COUNT(E1468:F1468)=2),IF(E1468&gt;=F1468,"Ready","Budget below minima"),"Check inputs")</x:f>
        <x:v>Ready</x:v>
      </x:c>
      <x:c r="U1468" s="22" t="n">
        <x:f>IF(COUNT(I1468,M1468,N1468)=3,MAX(0,ROUND(I1468+M1468-N1468,2)),"n.a.")</x:f>
        <x:v>0</x:v>
      </x:c>
    </x:row>
    <x:row r="1469" ht="22" customHeight="1">
      <x:c r="A1469" s="2"/>
      <x:c r="B1469" s="2"/>
      <x:c r="C1469" s="27" t="n">
        <x:f>293</x:f>
        <x:v>293</x:v>
      </x:c>
      <x:c r="D1469" s="28" t="n">
        <x:f>IF(ISNUMBER('Inputs'!$D$7),EDATE('Inputs'!$D$7,292),"n.a.")</x:f>
        <x:v>55213</x:v>
      </x:c>
      <x:c r="E1469" s="26" t="n">
        <x:f>IF('Inputs'!$D$9&lt;&gt;"Ready","n.a.",IF(ISNUMBER('Inputs'!E311),IF('Inputs'!E311&gt;=0,'Inputs'!E311,"n.a."),IF('Inputs'!E311="",'Inputs'!$D$6,"n.a.")))</x:f>
        <x:v>500</x:v>
      </x:c>
      <x:c r="F1469" s="22" t="n">
        <x:f>IF(COUNT($N$1467:$N$1471)=5,SUM($N$1467:$N$1471),"n.a.")</x:f>
        <x:v>0</x:v>
      </x:c>
      <x:c r="G1469" s="22" t="n">
        <x:f>IF(COUNT(E1469:F1469)=2,MAX(0,E1469-F1469),"n.a.")</x:f>
        <x:v>500</x:v>
      </x:c>
      <x:c r="H1469" s="26" t="str">
        <x:f>'Inputs'!C13</x:f>
        <x:v>Loan C</x:v>
      </x:c>
      <x:c r="I1469" s="26" t="n">
        <x:f>S1464</x:f>
        <x:v>0</x:v>
      </x:c>
      <x:c r="J1469" s="29" t="n">
        <x:f>IF('Inputs'!$D$9="Ready",'Inputs'!E13,"n.a.")</x:f>
        <x:v>0.08</x:v>
      </x:c>
      <x:c r="K1469" s="26" t="n">
        <x:f>IF('Inputs'!$D$9="Ready",'Inputs'!F13,"n.a.")</x:f>
        <x:v>150</x:v>
      </x:c>
      <x:c r="L1469" s="29" t="n">
        <x:f>IF('Inputs'!$D$9="Ready",'Inputs'!G13,"n.a.")</x:f>
        <x:v>0</x:v>
      </x:c>
      <x:c r="M1469" s="22" t="n">
        <x:f>IF(COUNT(I1469:L1469)=4,ROUND(I1469*J1469/12,2),"n.a.")</x:f>
        <x:v>0</x:v>
      </x:c>
      <x:c r="N1469" s="22" t="n">
        <x:f>IF(COUNT(I1469:M1469)=5,MIN(I1469+M1469,ROUND(MAX(K1469,I1469*L1469+M1469),2)),"n.a.")</x:f>
        <x:v>0</x:v>
      </x:c>
      <x:c r="O1469" s="30" t="n">
        <x:f>IF(COUNT($I$1467:$I$1471)&lt;&gt;5,"n.a.",IF(I1469=0,6,IF('Inputs'!$D$5=1,COUNTIFS($I$1467:$I$1471,"&gt;0",$I$1467:$I$1471,"&lt;"&amp;I1469)+COUNTIFS($I$1467:I1469,I1469),COUNTIFS($I$1467:$I$1471,"&gt;0",$J$1467:$J$1471,"&gt;"&amp;J1469)+COUNTIFS($I$1467:I1469,"&gt;0",$J$1467:J1469,J1469))))</x:f>
        <x:v>6</x:v>
      </x:c>
      <x:c r="P1469" s="22" t="n">
        <x:f>IF(T1469="Ready",MIN(U1469,MAX(0,G1469-SUMIFS($U$1467:$U$1471,$O$1467:$O$1471,"&lt;"&amp;O1469))),"n.a.")</x:f>
        <x:v>0</x:v>
      </x:c>
      <x:c r="Q1469" s="22" t="n">
        <x:f>IF(T1469="Ready",ROUND(N1469+P1469,2),"n.a.")</x:f>
        <x:v>0</x:v>
      </x:c>
      <x:c r="R1469" s="22" t="n">
        <x:f>IF(T1469="Ready",ROUND(Q1469-M1469,2),"n.a.")</x:f>
        <x:v>0</x:v>
      </x:c>
      <x:c r="S1469" s="22" t="n">
        <x:f>IF(T1469="Ready",MAX(0,ROUND(I1469+M1469-Q1469,2)),"n.a.")</x:f>
        <x:v>0</x:v>
      </x:c>
      <x:c r="T1469" s="22" t="str">
        <x:f>IF(AND(COUNT($I$1467:$I$1471)=5,COUNT(E1469:F1469)=2),IF(E1469&gt;=F1469,"Ready","Budget below minima"),"Check inputs")</x:f>
        <x:v>Ready</x:v>
      </x:c>
      <x:c r="U1469" s="22" t="n">
        <x:f>IF(COUNT(I1469,M1469,N1469)=3,MAX(0,ROUND(I1469+M1469-N1469,2)),"n.a.")</x:f>
        <x:v>0</x:v>
      </x:c>
    </x:row>
    <x:row r="1470" ht="22" customHeight="1">
      <x:c r="A1470" s="2"/>
      <x:c r="B1470" s="2"/>
      <x:c r="C1470" s="27" t="n">
        <x:f>293</x:f>
        <x:v>293</x:v>
      </x:c>
      <x:c r="D1470" s="28" t="n">
        <x:f>IF(ISNUMBER('Inputs'!$D$7),EDATE('Inputs'!$D$7,292),"n.a.")</x:f>
        <x:v>55213</x:v>
      </x:c>
      <x:c r="E1470" s="26" t="n">
        <x:f>IF('Inputs'!$D$9&lt;&gt;"Ready","n.a.",IF(ISNUMBER('Inputs'!E311),IF('Inputs'!E311&gt;=0,'Inputs'!E311,"n.a."),IF('Inputs'!E311="",'Inputs'!$D$6,"n.a.")))</x:f>
        <x:v>500</x:v>
      </x:c>
      <x:c r="F1470" s="22" t="n">
        <x:f>IF(COUNT($N$1467:$N$1471)=5,SUM($N$1467:$N$1471),"n.a.")</x:f>
        <x:v>0</x:v>
      </x:c>
      <x:c r="G1470" s="22" t="n">
        <x:f>IF(COUNT(E1470:F1470)=2,MAX(0,E1470-F1470),"n.a.")</x:f>
        <x:v>500</x:v>
      </x:c>
      <x:c r="H1470" s="26" t="str">
        <x:f>'Inputs'!C14</x:f>
        <x:v>Unused 4</x:v>
      </x:c>
      <x:c r="I1470" s="26" t="n">
        <x:f>S1465</x:f>
        <x:v>0</x:v>
      </x:c>
      <x:c r="J1470" s="29" t="n">
        <x:f>IF('Inputs'!$D$9="Ready",'Inputs'!E14,"n.a.")</x:f>
        <x:v>0</x:v>
      </x:c>
      <x:c r="K1470" s="26" t="n">
        <x:f>IF('Inputs'!$D$9="Ready",'Inputs'!F14,"n.a.")</x:f>
        <x:v>0</x:v>
      </x:c>
      <x:c r="L1470" s="29" t="n">
        <x:f>IF('Inputs'!$D$9="Ready",'Inputs'!G14,"n.a.")</x:f>
        <x:v>0</x:v>
      </x:c>
      <x:c r="M1470" s="22" t="n">
        <x:f>IF(COUNT(I1470:L1470)=4,ROUND(I1470*J1470/12,2),"n.a.")</x:f>
        <x:v>0</x:v>
      </x:c>
      <x:c r="N1470" s="22" t="n">
        <x:f>IF(COUNT(I1470:M1470)=5,MIN(I1470+M1470,ROUND(MAX(K1470,I1470*L1470+M1470),2)),"n.a.")</x:f>
        <x:v>0</x:v>
      </x:c>
      <x:c r="O1470" s="30" t="n">
        <x:f>IF(COUNT($I$1467:$I$1471)&lt;&gt;5,"n.a.",IF(I1470=0,6,IF('Inputs'!$D$5=1,COUNTIFS($I$1467:$I$1471,"&gt;0",$I$1467:$I$1471,"&lt;"&amp;I1470)+COUNTIFS($I$1467:I1470,I1470),COUNTIFS($I$1467:$I$1471,"&gt;0",$J$1467:$J$1471,"&gt;"&amp;J1470)+COUNTIFS($I$1467:I1470,"&gt;0",$J$1467:J1470,J1470))))</x:f>
        <x:v>6</x:v>
      </x:c>
      <x:c r="P1470" s="22" t="n">
        <x:f>IF(T1470="Ready",MIN(U1470,MAX(0,G1470-SUMIFS($U$1467:$U$1471,$O$1467:$O$1471,"&lt;"&amp;O1470))),"n.a.")</x:f>
        <x:v>0</x:v>
      </x:c>
      <x:c r="Q1470" s="22" t="n">
        <x:f>IF(T1470="Ready",ROUND(N1470+P1470,2),"n.a.")</x:f>
        <x:v>0</x:v>
      </x:c>
      <x:c r="R1470" s="22" t="n">
        <x:f>IF(T1470="Ready",ROUND(Q1470-M1470,2),"n.a.")</x:f>
        <x:v>0</x:v>
      </x:c>
      <x:c r="S1470" s="22" t="n">
        <x:f>IF(T1470="Ready",MAX(0,ROUND(I1470+M1470-Q1470,2)),"n.a.")</x:f>
        <x:v>0</x:v>
      </x:c>
      <x:c r="T1470" s="22" t="str">
        <x:f>IF(AND(COUNT($I$1467:$I$1471)=5,COUNT(E1470:F1470)=2),IF(E1470&gt;=F1470,"Ready","Budget below minima"),"Check inputs")</x:f>
        <x:v>Ready</x:v>
      </x:c>
      <x:c r="U1470" s="22" t="n">
        <x:f>IF(COUNT(I1470,M1470,N1470)=3,MAX(0,ROUND(I1470+M1470-N1470,2)),"n.a.")</x:f>
        <x:v>0</x:v>
      </x:c>
    </x:row>
    <x:row r="1471" ht="22" customHeight="1">
      <x:c r="A1471" s="2"/>
      <x:c r="B1471" s="2"/>
      <x:c r="C1471" s="27" t="n">
        <x:f>293</x:f>
        <x:v>293</x:v>
      </x:c>
      <x:c r="D1471" s="28" t="n">
        <x:f>IF(ISNUMBER('Inputs'!$D$7),EDATE('Inputs'!$D$7,292),"n.a.")</x:f>
        <x:v>55213</x:v>
      </x:c>
      <x:c r="E1471" s="26" t="n">
        <x:f>IF('Inputs'!$D$9&lt;&gt;"Ready","n.a.",IF(ISNUMBER('Inputs'!E311),IF('Inputs'!E311&gt;=0,'Inputs'!E311,"n.a."),IF('Inputs'!E311="",'Inputs'!$D$6,"n.a.")))</x:f>
        <x:v>500</x:v>
      </x:c>
      <x:c r="F1471" s="22" t="n">
        <x:f>IF(COUNT($N$1467:$N$1471)=5,SUM($N$1467:$N$1471),"n.a.")</x:f>
        <x:v>0</x:v>
      </x:c>
      <x:c r="G1471" s="22" t="n">
        <x:f>IF(COUNT(E1471:F1471)=2,MAX(0,E1471-F1471),"n.a.")</x:f>
        <x:v>500</x:v>
      </x:c>
      <x:c r="H1471" s="26" t="str">
        <x:f>'Inputs'!C15</x:f>
        <x:v>Unused 5</x:v>
      </x:c>
      <x:c r="I1471" s="26" t="n">
        <x:f>S1466</x:f>
        <x:v>0</x:v>
      </x:c>
      <x:c r="J1471" s="29" t="n">
        <x:f>IF('Inputs'!$D$9="Ready",'Inputs'!E15,"n.a.")</x:f>
        <x:v>0</x:v>
      </x:c>
      <x:c r="K1471" s="26" t="n">
        <x:f>IF('Inputs'!$D$9="Ready",'Inputs'!F15,"n.a.")</x:f>
        <x:v>0</x:v>
      </x:c>
      <x:c r="L1471" s="29" t="n">
        <x:f>IF('Inputs'!$D$9="Ready",'Inputs'!G15,"n.a.")</x:f>
        <x:v>0</x:v>
      </x:c>
      <x:c r="M1471" s="22" t="n">
        <x:f>IF(COUNT(I1471:L1471)=4,ROUND(I1471*J1471/12,2),"n.a.")</x:f>
        <x:v>0</x:v>
      </x:c>
      <x:c r="N1471" s="22" t="n">
        <x:f>IF(COUNT(I1471:M1471)=5,MIN(I1471+M1471,ROUND(MAX(K1471,I1471*L1471+M1471),2)),"n.a.")</x:f>
        <x:v>0</x:v>
      </x:c>
      <x:c r="O1471" s="30" t="n">
        <x:f>IF(COUNT($I$1467:$I$1471)&lt;&gt;5,"n.a.",IF(I1471=0,6,IF('Inputs'!$D$5=1,COUNTIFS($I$1467:$I$1471,"&gt;0",$I$1467:$I$1471,"&lt;"&amp;I1471)+COUNTIFS($I$1467:I1471,I1471),COUNTIFS($I$1467:$I$1471,"&gt;0",$J$1467:$J$1471,"&gt;"&amp;J1471)+COUNTIFS($I$1467:I1471,"&gt;0",$J$1467:J1471,J1471))))</x:f>
        <x:v>6</x:v>
      </x:c>
      <x:c r="P1471" s="22" t="n">
        <x:f>IF(T1471="Ready",MIN(U1471,MAX(0,G1471-SUMIFS($U$1467:$U$1471,$O$1467:$O$1471,"&lt;"&amp;O1471))),"n.a.")</x:f>
        <x:v>0</x:v>
      </x:c>
      <x:c r="Q1471" s="22" t="n">
        <x:f>IF(T1471="Ready",ROUND(N1471+P1471,2),"n.a.")</x:f>
        <x:v>0</x:v>
      </x:c>
      <x:c r="R1471" s="22" t="n">
        <x:f>IF(T1471="Ready",ROUND(Q1471-M1471,2),"n.a.")</x:f>
        <x:v>0</x:v>
      </x:c>
      <x:c r="S1471" s="22" t="n">
        <x:f>IF(T1471="Ready",MAX(0,ROUND(I1471+M1471-Q1471,2)),"n.a.")</x:f>
        <x:v>0</x:v>
      </x:c>
      <x:c r="T1471" s="22" t="str">
        <x:f>IF(AND(COUNT($I$1467:$I$1471)=5,COUNT(E1471:F1471)=2),IF(E1471&gt;=F1471,"Ready","Budget below minima"),"Check inputs")</x:f>
        <x:v>Ready</x:v>
      </x:c>
      <x:c r="U1471" s="22" t="n">
        <x:f>IF(COUNT(I1471,M1471,N1471)=3,MAX(0,ROUND(I1471+M1471-N1471,2)),"n.a.")</x:f>
        <x:v>0</x:v>
      </x:c>
    </x:row>
    <x:row r="1472" ht="22" customHeight="1">
      <x:c r="A1472" s="2"/>
      <x:c r="B1472" s="2"/>
      <x:c r="C1472" s="27" t="n">
        <x:f>294</x:f>
        <x:v>294</x:v>
      </x:c>
      <x:c r="D1472" s="28" t="n">
        <x:f>IF(ISNUMBER('Inputs'!$D$7),EDATE('Inputs'!$D$7,293),"n.a.")</x:f>
        <x:v>55244</x:v>
      </x:c>
      <x:c r="E1472" s="26" t="n">
        <x:f>IF('Inputs'!$D$9&lt;&gt;"Ready","n.a.",IF(ISNUMBER('Inputs'!E312),IF('Inputs'!E312&gt;=0,'Inputs'!E312,"n.a."),IF('Inputs'!E312="",'Inputs'!$D$6,"n.a.")))</x:f>
        <x:v>500</x:v>
      </x:c>
      <x:c r="F1472" s="22" t="n">
        <x:f>IF(COUNT($N$1472:$N$1476)=5,SUM($N$1472:$N$1476),"n.a.")</x:f>
        <x:v>0</x:v>
      </x:c>
      <x:c r="G1472" s="22" t="n">
        <x:f>IF(COUNT(E1472:F1472)=2,MAX(0,E1472-F1472),"n.a.")</x:f>
        <x:v>500</x:v>
      </x:c>
      <x:c r="H1472" s="26" t="str">
        <x:f>'Inputs'!C11</x:f>
        <x:v>Card A</x:v>
      </x:c>
      <x:c r="I1472" s="26" t="n">
        <x:f>S1467</x:f>
        <x:v>0</x:v>
      </x:c>
      <x:c r="J1472" s="29" t="n">
        <x:f>IF('Inputs'!$D$9="Ready",'Inputs'!E11,"n.a.")</x:f>
        <x:v>0.24</x:v>
      </x:c>
      <x:c r="K1472" s="26" t="n">
        <x:f>IF('Inputs'!$D$9="Ready",'Inputs'!F11,"n.a.")</x:f>
        <x:v>35</x:v>
      </x:c>
      <x:c r="L1472" s="29" t="n">
        <x:f>IF('Inputs'!$D$9="Ready",'Inputs'!G11,"n.a.")</x:f>
        <x:v>0.02</x:v>
      </x:c>
      <x:c r="M1472" s="22" t="n">
        <x:f>IF(COUNT(I1472:L1472)=4,ROUND(I1472*J1472/12,2),"n.a.")</x:f>
        <x:v>0</x:v>
      </x:c>
      <x:c r="N1472" s="22" t="n">
        <x:f>IF(COUNT(I1472:M1472)=5,MIN(I1472+M1472,ROUND(MAX(K1472,I1472*L1472+M1472),2)),"n.a.")</x:f>
        <x:v>0</x:v>
      </x:c>
      <x:c r="O1472" s="30" t="n">
        <x:f>IF(COUNT($I$1472:$I$1476)&lt;&gt;5,"n.a.",IF(I1472=0,6,IF('Inputs'!$D$5=1,COUNTIFS($I$1472:$I$1476,"&gt;0",$I$1472:$I$1476,"&lt;"&amp;I1472)+COUNTIFS($I$1472:I1472,I1472),COUNTIFS($I$1472:$I$1476,"&gt;0",$J$1472:$J$1476,"&gt;"&amp;J1472)+COUNTIFS($I$1472:I1472,"&gt;0",$J$1472:J1472,J1472))))</x:f>
        <x:v>6</x:v>
      </x:c>
      <x:c r="P1472" s="22" t="n">
        <x:f>IF(T1472="Ready",MIN(U1472,MAX(0,G1472-SUMIFS($U$1472:$U$1476,$O$1472:$O$1476,"&lt;"&amp;O1472))),"n.a.")</x:f>
        <x:v>0</x:v>
      </x:c>
      <x:c r="Q1472" s="22" t="n">
        <x:f>IF(T1472="Ready",ROUND(N1472+P1472,2),"n.a.")</x:f>
        <x:v>0</x:v>
      </x:c>
      <x:c r="R1472" s="22" t="n">
        <x:f>IF(T1472="Ready",ROUND(Q1472-M1472,2),"n.a.")</x:f>
        <x:v>0</x:v>
      </x:c>
      <x:c r="S1472" s="22" t="n">
        <x:f>IF(T1472="Ready",MAX(0,ROUND(I1472+M1472-Q1472,2)),"n.a.")</x:f>
        <x:v>0</x:v>
      </x:c>
      <x:c r="T1472" s="22" t="str">
        <x:f>IF(AND(COUNT($I$1472:$I$1476)=5,COUNT(E1472:F1472)=2),IF(E1472&gt;=F1472,"Ready","Budget below minima"),"Check inputs")</x:f>
        <x:v>Ready</x:v>
      </x:c>
      <x:c r="U1472" s="22" t="n">
        <x:f>IF(COUNT(I1472,M1472,N1472)=3,MAX(0,ROUND(I1472+M1472-N1472,2)),"n.a.")</x:f>
        <x:v>0</x:v>
      </x:c>
    </x:row>
    <x:row r="1473" ht="22" customHeight="1">
      <x:c r="A1473" s="2"/>
      <x:c r="B1473" s="2"/>
      <x:c r="C1473" s="27" t="n">
        <x:f>294</x:f>
        <x:v>294</x:v>
      </x:c>
      <x:c r="D1473" s="28" t="n">
        <x:f>IF(ISNUMBER('Inputs'!$D$7),EDATE('Inputs'!$D$7,293),"n.a.")</x:f>
        <x:v>55244</x:v>
      </x:c>
      <x:c r="E1473" s="26" t="n">
        <x:f>IF('Inputs'!$D$9&lt;&gt;"Ready","n.a.",IF(ISNUMBER('Inputs'!E312),IF('Inputs'!E312&gt;=0,'Inputs'!E312,"n.a."),IF('Inputs'!E312="",'Inputs'!$D$6,"n.a.")))</x:f>
        <x:v>500</x:v>
      </x:c>
      <x:c r="F1473" s="22" t="n">
        <x:f>IF(COUNT($N$1472:$N$1476)=5,SUM($N$1472:$N$1476),"n.a.")</x:f>
        <x:v>0</x:v>
      </x:c>
      <x:c r="G1473" s="22" t="n">
        <x:f>IF(COUNT(E1473:F1473)=2,MAX(0,E1473-F1473),"n.a.")</x:f>
        <x:v>500</x:v>
      </x:c>
      <x:c r="H1473" s="26" t="str">
        <x:f>'Inputs'!C12</x:f>
        <x:v>Card B</x:v>
      </x:c>
      <x:c r="I1473" s="26" t="n">
        <x:f>S1468</x:f>
        <x:v>0</x:v>
      </x:c>
      <x:c r="J1473" s="29" t="n">
        <x:f>IF('Inputs'!$D$9="Ready",'Inputs'!E12,"n.a.")</x:f>
        <x:v>0.18</x:v>
      </x:c>
      <x:c r="K1473" s="26" t="n">
        <x:f>IF('Inputs'!$D$9="Ready",'Inputs'!F12,"n.a.")</x:f>
        <x:v>60</x:v>
      </x:c>
      <x:c r="L1473" s="29" t="n">
        <x:f>IF('Inputs'!$D$9="Ready",'Inputs'!G12,"n.a.")</x:f>
        <x:v>0.02</x:v>
      </x:c>
      <x:c r="M1473" s="22" t="n">
        <x:f>IF(COUNT(I1473:L1473)=4,ROUND(I1473*J1473/12,2),"n.a.")</x:f>
        <x:v>0</x:v>
      </x:c>
      <x:c r="N1473" s="22" t="n">
        <x:f>IF(COUNT(I1473:M1473)=5,MIN(I1473+M1473,ROUND(MAX(K1473,I1473*L1473+M1473),2)),"n.a.")</x:f>
        <x:v>0</x:v>
      </x:c>
      <x:c r="O1473" s="30" t="n">
        <x:f>IF(COUNT($I$1472:$I$1476)&lt;&gt;5,"n.a.",IF(I1473=0,6,IF('Inputs'!$D$5=1,COUNTIFS($I$1472:$I$1476,"&gt;0",$I$1472:$I$1476,"&lt;"&amp;I1473)+COUNTIFS($I$1472:I1473,I1473),COUNTIFS($I$1472:$I$1476,"&gt;0",$J$1472:$J$1476,"&gt;"&amp;J1473)+COUNTIFS($I$1472:I1473,"&gt;0",$J$1472:J1473,J1473))))</x:f>
        <x:v>6</x:v>
      </x:c>
      <x:c r="P1473" s="22" t="n">
        <x:f>IF(T1473="Ready",MIN(U1473,MAX(0,G1473-SUMIFS($U$1472:$U$1476,$O$1472:$O$1476,"&lt;"&amp;O1473))),"n.a.")</x:f>
        <x:v>0</x:v>
      </x:c>
      <x:c r="Q1473" s="22" t="n">
        <x:f>IF(T1473="Ready",ROUND(N1473+P1473,2),"n.a.")</x:f>
        <x:v>0</x:v>
      </x:c>
      <x:c r="R1473" s="22" t="n">
        <x:f>IF(T1473="Ready",ROUND(Q1473-M1473,2),"n.a.")</x:f>
        <x:v>0</x:v>
      </x:c>
      <x:c r="S1473" s="22" t="n">
        <x:f>IF(T1473="Ready",MAX(0,ROUND(I1473+M1473-Q1473,2)),"n.a.")</x:f>
        <x:v>0</x:v>
      </x:c>
      <x:c r="T1473" s="22" t="str">
        <x:f>IF(AND(COUNT($I$1472:$I$1476)=5,COUNT(E1473:F1473)=2),IF(E1473&gt;=F1473,"Ready","Budget below minima"),"Check inputs")</x:f>
        <x:v>Ready</x:v>
      </x:c>
      <x:c r="U1473" s="22" t="n">
        <x:f>IF(COUNT(I1473,M1473,N1473)=3,MAX(0,ROUND(I1473+M1473-N1473,2)),"n.a.")</x:f>
        <x:v>0</x:v>
      </x:c>
    </x:row>
    <x:row r="1474" ht="22" customHeight="1">
      <x:c r="A1474" s="2"/>
      <x:c r="B1474" s="2"/>
      <x:c r="C1474" s="27" t="n">
        <x:f>294</x:f>
        <x:v>294</x:v>
      </x:c>
      <x:c r="D1474" s="28" t="n">
        <x:f>IF(ISNUMBER('Inputs'!$D$7),EDATE('Inputs'!$D$7,293),"n.a.")</x:f>
        <x:v>55244</x:v>
      </x:c>
      <x:c r="E1474" s="26" t="n">
        <x:f>IF('Inputs'!$D$9&lt;&gt;"Ready","n.a.",IF(ISNUMBER('Inputs'!E312),IF('Inputs'!E312&gt;=0,'Inputs'!E312,"n.a."),IF('Inputs'!E312="",'Inputs'!$D$6,"n.a.")))</x:f>
        <x:v>500</x:v>
      </x:c>
      <x:c r="F1474" s="22" t="n">
        <x:f>IF(COUNT($N$1472:$N$1476)=5,SUM($N$1472:$N$1476),"n.a.")</x:f>
        <x:v>0</x:v>
      </x:c>
      <x:c r="G1474" s="22" t="n">
        <x:f>IF(COUNT(E1474:F1474)=2,MAX(0,E1474-F1474),"n.a.")</x:f>
        <x:v>500</x:v>
      </x:c>
      <x:c r="H1474" s="26" t="str">
        <x:f>'Inputs'!C13</x:f>
        <x:v>Loan C</x:v>
      </x:c>
      <x:c r="I1474" s="26" t="n">
        <x:f>S1469</x:f>
        <x:v>0</x:v>
      </x:c>
      <x:c r="J1474" s="29" t="n">
        <x:f>IF('Inputs'!$D$9="Ready",'Inputs'!E13,"n.a.")</x:f>
        <x:v>0.08</x:v>
      </x:c>
      <x:c r="K1474" s="26" t="n">
        <x:f>IF('Inputs'!$D$9="Ready",'Inputs'!F13,"n.a.")</x:f>
        <x:v>150</x:v>
      </x:c>
      <x:c r="L1474" s="29" t="n">
        <x:f>IF('Inputs'!$D$9="Ready",'Inputs'!G13,"n.a.")</x:f>
        <x:v>0</x:v>
      </x:c>
      <x:c r="M1474" s="22" t="n">
        <x:f>IF(COUNT(I1474:L1474)=4,ROUND(I1474*J1474/12,2),"n.a.")</x:f>
        <x:v>0</x:v>
      </x:c>
      <x:c r="N1474" s="22" t="n">
        <x:f>IF(COUNT(I1474:M1474)=5,MIN(I1474+M1474,ROUND(MAX(K1474,I1474*L1474+M1474),2)),"n.a.")</x:f>
        <x:v>0</x:v>
      </x:c>
      <x:c r="O1474" s="30" t="n">
        <x:f>IF(COUNT($I$1472:$I$1476)&lt;&gt;5,"n.a.",IF(I1474=0,6,IF('Inputs'!$D$5=1,COUNTIFS($I$1472:$I$1476,"&gt;0",$I$1472:$I$1476,"&lt;"&amp;I1474)+COUNTIFS($I$1472:I1474,I1474),COUNTIFS($I$1472:$I$1476,"&gt;0",$J$1472:$J$1476,"&gt;"&amp;J1474)+COUNTIFS($I$1472:I1474,"&gt;0",$J$1472:J1474,J1474))))</x:f>
        <x:v>6</x:v>
      </x:c>
      <x:c r="P1474" s="22" t="n">
        <x:f>IF(T1474="Ready",MIN(U1474,MAX(0,G1474-SUMIFS($U$1472:$U$1476,$O$1472:$O$1476,"&lt;"&amp;O1474))),"n.a.")</x:f>
        <x:v>0</x:v>
      </x:c>
      <x:c r="Q1474" s="22" t="n">
        <x:f>IF(T1474="Ready",ROUND(N1474+P1474,2),"n.a.")</x:f>
        <x:v>0</x:v>
      </x:c>
      <x:c r="R1474" s="22" t="n">
        <x:f>IF(T1474="Ready",ROUND(Q1474-M1474,2),"n.a.")</x:f>
        <x:v>0</x:v>
      </x:c>
      <x:c r="S1474" s="22" t="n">
        <x:f>IF(T1474="Ready",MAX(0,ROUND(I1474+M1474-Q1474,2)),"n.a.")</x:f>
        <x:v>0</x:v>
      </x:c>
      <x:c r="T1474" s="22" t="str">
        <x:f>IF(AND(COUNT($I$1472:$I$1476)=5,COUNT(E1474:F1474)=2),IF(E1474&gt;=F1474,"Ready","Budget below minima"),"Check inputs")</x:f>
        <x:v>Ready</x:v>
      </x:c>
      <x:c r="U1474" s="22" t="n">
        <x:f>IF(COUNT(I1474,M1474,N1474)=3,MAX(0,ROUND(I1474+M1474-N1474,2)),"n.a.")</x:f>
        <x:v>0</x:v>
      </x:c>
    </x:row>
    <x:row r="1475" ht="22" customHeight="1">
      <x:c r="A1475" s="2"/>
      <x:c r="B1475" s="2"/>
      <x:c r="C1475" s="27" t="n">
        <x:f>294</x:f>
        <x:v>294</x:v>
      </x:c>
      <x:c r="D1475" s="28" t="n">
        <x:f>IF(ISNUMBER('Inputs'!$D$7),EDATE('Inputs'!$D$7,293),"n.a.")</x:f>
        <x:v>55244</x:v>
      </x:c>
      <x:c r="E1475" s="26" t="n">
        <x:f>IF('Inputs'!$D$9&lt;&gt;"Ready","n.a.",IF(ISNUMBER('Inputs'!E312),IF('Inputs'!E312&gt;=0,'Inputs'!E312,"n.a."),IF('Inputs'!E312="",'Inputs'!$D$6,"n.a.")))</x:f>
        <x:v>500</x:v>
      </x:c>
      <x:c r="F1475" s="22" t="n">
        <x:f>IF(COUNT($N$1472:$N$1476)=5,SUM($N$1472:$N$1476),"n.a.")</x:f>
        <x:v>0</x:v>
      </x:c>
      <x:c r="G1475" s="22" t="n">
        <x:f>IF(COUNT(E1475:F1475)=2,MAX(0,E1475-F1475),"n.a.")</x:f>
        <x:v>500</x:v>
      </x:c>
      <x:c r="H1475" s="26" t="str">
        <x:f>'Inputs'!C14</x:f>
        <x:v>Unused 4</x:v>
      </x:c>
      <x:c r="I1475" s="26" t="n">
        <x:f>S1470</x:f>
        <x:v>0</x:v>
      </x:c>
      <x:c r="J1475" s="29" t="n">
        <x:f>IF('Inputs'!$D$9="Ready",'Inputs'!E14,"n.a.")</x:f>
        <x:v>0</x:v>
      </x:c>
      <x:c r="K1475" s="26" t="n">
        <x:f>IF('Inputs'!$D$9="Ready",'Inputs'!F14,"n.a.")</x:f>
        <x:v>0</x:v>
      </x:c>
      <x:c r="L1475" s="29" t="n">
        <x:f>IF('Inputs'!$D$9="Ready",'Inputs'!G14,"n.a.")</x:f>
        <x:v>0</x:v>
      </x:c>
      <x:c r="M1475" s="22" t="n">
        <x:f>IF(COUNT(I1475:L1475)=4,ROUND(I1475*J1475/12,2),"n.a.")</x:f>
        <x:v>0</x:v>
      </x:c>
      <x:c r="N1475" s="22" t="n">
        <x:f>IF(COUNT(I1475:M1475)=5,MIN(I1475+M1475,ROUND(MAX(K1475,I1475*L1475+M1475),2)),"n.a.")</x:f>
        <x:v>0</x:v>
      </x:c>
      <x:c r="O1475" s="30" t="n">
        <x:f>IF(COUNT($I$1472:$I$1476)&lt;&gt;5,"n.a.",IF(I1475=0,6,IF('Inputs'!$D$5=1,COUNTIFS($I$1472:$I$1476,"&gt;0",$I$1472:$I$1476,"&lt;"&amp;I1475)+COUNTIFS($I$1472:I1475,I1475),COUNTIFS($I$1472:$I$1476,"&gt;0",$J$1472:$J$1476,"&gt;"&amp;J1475)+COUNTIFS($I$1472:I1475,"&gt;0",$J$1472:J1475,J1475))))</x:f>
        <x:v>6</x:v>
      </x:c>
      <x:c r="P1475" s="22" t="n">
        <x:f>IF(T1475="Ready",MIN(U1475,MAX(0,G1475-SUMIFS($U$1472:$U$1476,$O$1472:$O$1476,"&lt;"&amp;O1475))),"n.a.")</x:f>
        <x:v>0</x:v>
      </x:c>
      <x:c r="Q1475" s="22" t="n">
        <x:f>IF(T1475="Ready",ROUND(N1475+P1475,2),"n.a.")</x:f>
        <x:v>0</x:v>
      </x:c>
      <x:c r="R1475" s="22" t="n">
        <x:f>IF(T1475="Ready",ROUND(Q1475-M1475,2),"n.a.")</x:f>
        <x:v>0</x:v>
      </x:c>
      <x:c r="S1475" s="22" t="n">
        <x:f>IF(T1475="Ready",MAX(0,ROUND(I1475+M1475-Q1475,2)),"n.a.")</x:f>
        <x:v>0</x:v>
      </x:c>
      <x:c r="T1475" s="22" t="str">
        <x:f>IF(AND(COUNT($I$1472:$I$1476)=5,COUNT(E1475:F1475)=2),IF(E1475&gt;=F1475,"Ready","Budget below minima"),"Check inputs")</x:f>
        <x:v>Ready</x:v>
      </x:c>
      <x:c r="U1475" s="22" t="n">
        <x:f>IF(COUNT(I1475,M1475,N1475)=3,MAX(0,ROUND(I1475+M1475-N1475,2)),"n.a.")</x:f>
        <x:v>0</x:v>
      </x:c>
    </x:row>
    <x:row r="1476" ht="22" customHeight="1">
      <x:c r="A1476" s="2"/>
      <x:c r="B1476" s="2"/>
      <x:c r="C1476" s="27" t="n">
        <x:f>294</x:f>
        <x:v>294</x:v>
      </x:c>
      <x:c r="D1476" s="28" t="n">
        <x:f>IF(ISNUMBER('Inputs'!$D$7),EDATE('Inputs'!$D$7,293),"n.a.")</x:f>
        <x:v>55244</x:v>
      </x:c>
      <x:c r="E1476" s="26" t="n">
        <x:f>IF('Inputs'!$D$9&lt;&gt;"Ready","n.a.",IF(ISNUMBER('Inputs'!E312),IF('Inputs'!E312&gt;=0,'Inputs'!E312,"n.a."),IF('Inputs'!E312="",'Inputs'!$D$6,"n.a.")))</x:f>
        <x:v>500</x:v>
      </x:c>
      <x:c r="F1476" s="22" t="n">
        <x:f>IF(COUNT($N$1472:$N$1476)=5,SUM($N$1472:$N$1476),"n.a.")</x:f>
        <x:v>0</x:v>
      </x:c>
      <x:c r="G1476" s="22" t="n">
        <x:f>IF(COUNT(E1476:F1476)=2,MAX(0,E1476-F1476),"n.a.")</x:f>
        <x:v>500</x:v>
      </x:c>
      <x:c r="H1476" s="26" t="str">
        <x:f>'Inputs'!C15</x:f>
        <x:v>Unused 5</x:v>
      </x:c>
      <x:c r="I1476" s="26" t="n">
        <x:f>S1471</x:f>
        <x:v>0</x:v>
      </x:c>
      <x:c r="J1476" s="29" t="n">
        <x:f>IF('Inputs'!$D$9="Ready",'Inputs'!E15,"n.a.")</x:f>
        <x:v>0</x:v>
      </x:c>
      <x:c r="K1476" s="26" t="n">
        <x:f>IF('Inputs'!$D$9="Ready",'Inputs'!F15,"n.a.")</x:f>
        <x:v>0</x:v>
      </x:c>
      <x:c r="L1476" s="29" t="n">
        <x:f>IF('Inputs'!$D$9="Ready",'Inputs'!G15,"n.a.")</x:f>
        <x:v>0</x:v>
      </x:c>
      <x:c r="M1476" s="22" t="n">
        <x:f>IF(COUNT(I1476:L1476)=4,ROUND(I1476*J1476/12,2),"n.a.")</x:f>
        <x:v>0</x:v>
      </x:c>
      <x:c r="N1476" s="22" t="n">
        <x:f>IF(COUNT(I1476:M1476)=5,MIN(I1476+M1476,ROUND(MAX(K1476,I1476*L1476+M1476),2)),"n.a.")</x:f>
        <x:v>0</x:v>
      </x:c>
      <x:c r="O1476" s="30" t="n">
        <x:f>IF(COUNT($I$1472:$I$1476)&lt;&gt;5,"n.a.",IF(I1476=0,6,IF('Inputs'!$D$5=1,COUNTIFS($I$1472:$I$1476,"&gt;0",$I$1472:$I$1476,"&lt;"&amp;I1476)+COUNTIFS($I$1472:I1476,I1476),COUNTIFS($I$1472:$I$1476,"&gt;0",$J$1472:$J$1476,"&gt;"&amp;J1476)+COUNTIFS($I$1472:I1476,"&gt;0",$J$1472:J1476,J1476))))</x:f>
        <x:v>6</x:v>
      </x:c>
      <x:c r="P1476" s="22" t="n">
        <x:f>IF(T1476="Ready",MIN(U1476,MAX(0,G1476-SUMIFS($U$1472:$U$1476,$O$1472:$O$1476,"&lt;"&amp;O1476))),"n.a.")</x:f>
        <x:v>0</x:v>
      </x:c>
      <x:c r="Q1476" s="22" t="n">
        <x:f>IF(T1476="Ready",ROUND(N1476+P1476,2),"n.a.")</x:f>
        <x:v>0</x:v>
      </x:c>
      <x:c r="R1476" s="22" t="n">
        <x:f>IF(T1476="Ready",ROUND(Q1476-M1476,2),"n.a.")</x:f>
        <x:v>0</x:v>
      </x:c>
      <x:c r="S1476" s="22" t="n">
        <x:f>IF(T1476="Ready",MAX(0,ROUND(I1476+M1476-Q1476,2)),"n.a.")</x:f>
        <x:v>0</x:v>
      </x:c>
      <x:c r="T1476" s="22" t="str">
        <x:f>IF(AND(COUNT($I$1472:$I$1476)=5,COUNT(E1476:F1476)=2),IF(E1476&gt;=F1476,"Ready","Budget below minima"),"Check inputs")</x:f>
        <x:v>Ready</x:v>
      </x:c>
      <x:c r="U1476" s="22" t="n">
        <x:f>IF(COUNT(I1476,M1476,N1476)=3,MAX(0,ROUND(I1476+M1476-N1476,2)),"n.a.")</x:f>
        <x:v>0</x:v>
      </x:c>
    </x:row>
    <x:row r="1477" ht="22" customHeight="1">
      <x:c r="A1477" s="2"/>
      <x:c r="B1477" s="2"/>
      <x:c r="C1477" s="27" t="n">
        <x:f>295</x:f>
        <x:v>295</x:v>
      </x:c>
      <x:c r="D1477" s="28" t="n">
        <x:f>IF(ISNUMBER('Inputs'!$D$7),EDATE('Inputs'!$D$7,294),"n.a.")</x:f>
        <x:v>55274</x:v>
      </x:c>
      <x:c r="E1477" s="26" t="n">
        <x:f>IF('Inputs'!$D$9&lt;&gt;"Ready","n.a.",IF(ISNUMBER('Inputs'!E313),IF('Inputs'!E313&gt;=0,'Inputs'!E313,"n.a."),IF('Inputs'!E313="",'Inputs'!$D$6,"n.a.")))</x:f>
        <x:v>500</x:v>
      </x:c>
      <x:c r="F1477" s="22" t="n">
        <x:f>IF(COUNT($N$1477:$N$1481)=5,SUM($N$1477:$N$1481),"n.a.")</x:f>
        <x:v>0</x:v>
      </x:c>
      <x:c r="G1477" s="22" t="n">
        <x:f>IF(COUNT(E1477:F1477)=2,MAX(0,E1477-F1477),"n.a.")</x:f>
        <x:v>500</x:v>
      </x:c>
      <x:c r="H1477" s="26" t="str">
        <x:f>'Inputs'!C11</x:f>
        <x:v>Card A</x:v>
      </x:c>
      <x:c r="I1477" s="26" t="n">
        <x:f>S1472</x:f>
        <x:v>0</x:v>
      </x:c>
      <x:c r="J1477" s="29" t="n">
        <x:f>IF('Inputs'!$D$9="Ready",'Inputs'!E11,"n.a.")</x:f>
        <x:v>0.24</x:v>
      </x:c>
      <x:c r="K1477" s="26" t="n">
        <x:f>IF('Inputs'!$D$9="Ready",'Inputs'!F11,"n.a.")</x:f>
        <x:v>35</x:v>
      </x:c>
      <x:c r="L1477" s="29" t="n">
        <x:f>IF('Inputs'!$D$9="Ready",'Inputs'!G11,"n.a.")</x:f>
        <x:v>0.02</x:v>
      </x:c>
      <x:c r="M1477" s="22" t="n">
        <x:f>IF(COUNT(I1477:L1477)=4,ROUND(I1477*J1477/12,2),"n.a.")</x:f>
        <x:v>0</x:v>
      </x:c>
      <x:c r="N1477" s="22" t="n">
        <x:f>IF(COUNT(I1477:M1477)=5,MIN(I1477+M1477,ROUND(MAX(K1477,I1477*L1477+M1477),2)),"n.a.")</x:f>
        <x:v>0</x:v>
      </x:c>
      <x:c r="O1477" s="30" t="n">
        <x:f>IF(COUNT($I$1477:$I$1481)&lt;&gt;5,"n.a.",IF(I1477=0,6,IF('Inputs'!$D$5=1,COUNTIFS($I$1477:$I$1481,"&gt;0",$I$1477:$I$1481,"&lt;"&amp;I1477)+COUNTIFS($I$1477:I1477,I1477),COUNTIFS($I$1477:$I$1481,"&gt;0",$J$1477:$J$1481,"&gt;"&amp;J1477)+COUNTIFS($I$1477:I1477,"&gt;0",$J$1477:J1477,J1477))))</x:f>
        <x:v>6</x:v>
      </x:c>
      <x:c r="P1477" s="22" t="n">
        <x:f>IF(T1477="Ready",MIN(U1477,MAX(0,G1477-SUMIFS($U$1477:$U$1481,$O$1477:$O$1481,"&lt;"&amp;O1477))),"n.a.")</x:f>
        <x:v>0</x:v>
      </x:c>
      <x:c r="Q1477" s="22" t="n">
        <x:f>IF(T1477="Ready",ROUND(N1477+P1477,2),"n.a.")</x:f>
        <x:v>0</x:v>
      </x:c>
      <x:c r="R1477" s="22" t="n">
        <x:f>IF(T1477="Ready",ROUND(Q1477-M1477,2),"n.a.")</x:f>
        <x:v>0</x:v>
      </x:c>
      <x:c r="S1477" s="22" t="n">
        <x:f>IF(T1477="Ready",MAX(0,ROUND(I1477+M1477-Q1477,2)),"n.a.")</x:f>
        <x:v>0</x:v>
      </x:c>
      <x:c r="T1477" s="22" t="str">
        <x:f>IF(AND(COUNT($I$1477:$I$1481)=5,COUNT(E1477:F1477)=2),IF(E1477&gt;=F1477,"Ready","Budget below minima"),"Check inputs")</x:f>
        <x:v>Ready</x:v>
      </x:c>
      <x:c r="U1477" s="22" t="n">
        <x:f>IF(COUNT(I1477,M1477,N1477)=3,MAX(0,ROUND(I1477+M1477-N1477,2)),"n.a.")</x:f>
        <x:v>0</x:v>
      </x:c>
    </x:row>
    <x:row r="1478" ht="22" customHeight="1">
      <x:c r="A1478" s="2"/>
      <x:c r="B1478" s="2"/>
      <x:c r="C1478" s="27" t="n">
        <x:f>295</x:f>
        <x:v>295</x:v>
      </x:c>
      <x:c r="D1478" s="28" t="n">
        <x:f>IF(ISNUMBER('Inputs'!$D$7),EDATE('Inputs'!$D$7,294),"n.a.")</x:f>
        <x:v>55274</x:v>
      </x:c>
      <x:c r="E1478" s="26" t="n">
        <x:f>IF('Inputs'!$D$9&lt;&gt;"Ready","n.a.",IF(ISNUMBER('Inputs'!E313),IF('Inputs'!E313&gt;=0,'Inputs'!E313,"n.a."),IF('Inputs'!E313="",'Inputs'!$D$6,"n.a.")))</x:f>
        <x:v>500</x:v>
      </x:c>
      <x:c r="F1478" s="22" t="n">
        <x:f>IF(COUNT($N$1477:$N$1481)=5,SUM($N$1477:$N$1481),"n.a.")</x:f>
        <x:v>0</x:v>
      </x:c>
      <x:c r="G1478" s="22" t="n">
        <x:f>IF(COUNT(E1478:F1478)=2,MAX(0,E1478-F1478),"n.a.")</x:f>
        <x:v>500</x:v>
      </x:c>
      <x:c r="H1478" s="26" t="str">
        <x:f>'Inputs'!C12</x:f>
        <x:v>Card B</x:v>
      </x:c>
      <x:c r="I1478" s="26" t="n">
        <x:f>S1473</x:f>
        <x:v>0</x:v>
      </x:c>
      <x:c r="J1478" s="29" t="n">
        <x:f>IF('Inputs'!$D$9="Ready",'Inputs'!E12,"n.a.")</x:f>
        <x:v>0.18</x:v>
      </x:c>
      <x:c r="K1478" s="26" t="n">
        <x:f>IF('Inputs'!$D$9="Ready",'Inputs'!F12,"n.a.")</x:f>
        <x:v>60</x:v>
      </x:c>
      <x:c r="L1478" s="29" t="n">
        <x:f>IF('Inputs'!$D$9="Ready",'Inputs'!G12,"n.a.")</x:f>
        <x:v>0.02</x:v>
      </x:c>
      <x:c r="M1478" s="22" t="n">
        <x:f>IF(COUNT(I1478:L1478)=4,ROUND(I1478*J1478/12,2),"n.a.")</x:f>
        <x:v>0</x:v>
      </x:c>
      <x:c r="N1478" s="22" t="n">
        <x:f>IF(COUNT(I1478:M1478)=5,MIN(I1478+M1478,ROUND(MAX(K1478,I1478*L1478+M1478),2)),"n.a.")</x:f>
        <x:v>0</x:v>
      </x:c>
      <x:c r="O1478" s="30" t="n">
        <x:f>IF(COUNT($I$1477:$I$1481)&lt;&gt;5,"n.a.",IF(I1478=0,6,IF('Inputs'!$D$5=1,COUNTIFS($I$1477:$I$1481,"&gt;0",$I$1477:$I$1481,"&lt;"&amp;I1478)+COUNTIFS($I$1477:I1478,I1478),COUNTIFS($I$1477:$I$1481,"&gt;0",$J$1477:$J$1481,"&gt;"&amp;J1478)+COUNTIFS($I$1477:I1478,"&gt;0",$J$1477:J1478,J1478))))</x:f>
        <x:v>6</x:v>
      </x:c>
      <x:c r="P1478" s="22" t="n">
        <x:f>IF(T1478="Ready",MIN(U1478,MAX(0,G1478-SUMIFS($U$1477:$U$1481,$O$1477:$O$1481,"&lt;"&amp;O1478))),"n.a.")</x:f>
        <x:v>0</x:v>
      </x:c>
      <x:c r="Q1478" s="22" t="n">
        <x:f>IF(T1478="Ready",ROUND(N1478+P1478,2),"n.a.")</x:f>
        <x:v>0</x:v>
      </x:c>
      <x:c r="R1478" s="22" t="n">
        <x:f>IF(T1478="Ready",ROUND(Q1478-M1478,2),"n.a.")</x:f>
        <x:v>0</x:v>
      </x:c>
      <x:c r="S1478" s="22" t="n">
        <x:f>IF(T1478="Ready",MAX(0,ROUND(I1478+M1478-Q1478,2)),"n.a.")</x:f>
        <x:v>0</x:v>
      </x:c>
      <x:c r="T1478" s="22" t="str">
        <x:f>IF(AND(COUNT($I$1477:$I$1481)=5,COUNT(E1478:F1478)=2),IF(E1478&gt;=F1478,"Ready","Budget below minima"),"Check inputs")</x:f>
        <x:v>Ready</x:v>
      </x:c>
      <x:c r="U1478" s="22" t="n">
        <x:f>IF(COUNT(I1478,M1478,N1478)=3,MAX(0,ROUND(I1478+M1478-N1478,2)),"n.a.")</x:f>
        <x:v>0</x:v>
      </x:c>
    </x:row>
    <x:row r="1479" ht="22" customHeight="1">
      <x:c r="A1479" s="2"/>
      <x:c r="B1479" s="2"/>
      <x:c r="C1479" s="27" t="n">
        <x:f>295</x:f>
        <x:v>295</x:v>
      </x:c>
      <x:c r="D1479" s="28" t="n">
        <x:f>IF(ISNUMBER('Inputs'!$D$7),EDATE('Inputs'!$D$7,294),"n.a.")</x:f>
        <x:v>55274</x:v>
      </x:c>
      <x:c r="E1479" s="26" t="n">
        <x:f>IF('Inputs'!$D$9&lt;&gt;"Ready","n.a.",IF(ISNUMBER('Inputs'!E313),IF('Inputs'!E313&gt;=0,'Inputs'!E313,"n.a."),IF('Inputs'!E313="",'Inputs'!$D$6,"n.a.")))</x:f>
        <x:v>500</x:v>
      </x:c>
      <x:c r="F1479" s="22" t="n">
        <x:f>IF(COUNT($N$1477:$N$1481)=5,SUM($N$1477:$N$1481),"n.a.")</x:f>
        <x:v>0</x:v>
      </x:c>
      <x:c r="G1479" s="22" t="n">
        <x:f>IF(COUNT(E1479:F1479)=2,MAX(0,E1479-F1479),"n.a.")</x:f>
        <x:v>500</x:v>
      </x:c>
      <x:c r="H1479" s="26" t="str">
        <x:f>'Inputs'!C13</x:f>
        <x:v>Loan C</x:v>
      </x:c>
      <x:c r="I1479" s="26" t="n">
        <x:f>S1474</x:f>
        <x:v>0</x:v>
      </x:c>
      <x:c r="J1479" s="29" t="n">
        <x:f>IF('Inputs'!$D$9="Ready",'Inputs'!E13,"n.a.")</x:f>
        <x:v>0.08</x:v>
      </x:c>
      <x:c r="K1479" s="26" t="n">
        <x:f>IF('Inputs'!$D$9="Ready",'Inputs'!F13,"n.a.")</x:f>
        <x:v>150</x:v>
      </x:c>
      <x:c r="L1479" s="29" t="n">
        <x:f>IF('Inputs'!$D$9="Ready",'Inputs'!G13,"n.a.")</x:f>
        <x:v>0</x:v>
      </x:c>
      <x:c r="M1479" s="22" t="n">
        <x:f>IF(COUNT(I1479:L1479)=4,ROUND(I1479*J1479/12,2),"n.a.")</x:f>
        <x:v>0</x:v>
      </x:c>
      <x:c r="N1479" s="22" t="n">
        <x:f>IF(COUNT(I1479:M1479)=5,MIN(I1479+M1479,ROUND(MAX(K1479,I1479*L1479+M1479),2)),"n.a.")</x:f>
        <x:v>0</x:v>
      </x:c>
      <x:c r="O1479" s="30" t="n">
        <x:f>IF(COUNT($I$1477:$I$1481)&lt;&gt;5,"n.a.",IF(I1479=0,6,IF('Inputs'!$D$5=1,COUNTIFS($I$1477:$I$1481,"&gt;0",$I$1477:$I$1481,"&lt;"&amp;I1479)+COUNTIFS($I$1477:I1479,I1479),COUNTIFS($I$1477:$I$1481,"&gt;0",$J$1477:$J$1481,"&gt;"&amp;J1479)+COUNTIFS($I$1477:I1479,"&gt;0",$J$1477:J1479,J1479))))</x:f>
        <x:v>6</x:v>
      </x:c>
      <x:c r="P1479" s="22" t="n">
        <x:f>IF(T1479="Ready",MIN(U1479,MAX(0,G1479-SUMIFS($U$1477:$U$1481,$O$1477:$O$1481,"&lt;"&amp;O1479))),"n.a.")</x:f>
        <x:v>0</x:v>
      </x:c>
      <x:c r="Q1479" s="22" t="n">
        <x:f>IF(T1479="Ready",ROUND(N1479+P1479,2),"n.a.")</x:f>
        <x:v>0</x:v>
      </x:c>
      <x:c r="R1479" s="22" t="n">
        <x:f>IF(T1479="Ready",ROUND(Q1479-M1479,2),"n.a.")</x:f>
        <x:v>0</x:v>
      </x:c>
      <x:c r="S1479" s="22" t="n">
        <x:f>IF(T1479="Ready",MAX(0,ROUND(I1479+M1479-Q1479,2)),"n.a.")</x:f>
        <x:v>0</x:v>
      </x:c>
      <x:c r="T1479" s="22" t="str">
        <x:f>IF(AND(COUNT($I$1477:$I$1481)=5,COUNT(E1479:F1479)=2),IF(E1479&gt;=F1479,"Ready","Budget below minima"),"Check inputs")</x:f>
        <x:v>Ready</x:v>
      </x:c>
      <x:c r="U1479" s="22" t="n">
        <x:f>IF(COUNT(I1479,M1479,N1479)=3,MAX(0,ROUND(I1479+M1479-N1479,2)),"n.a.")</x:f>
        <x:v>0</x:v>
      </x:c>
    </x:row>
    <x:row r="1480" ht="22" customHeight="1">
      <x:c r="A1480" s="2"/>
      <x:c r="B1480" s="2"/>
      <x:c r="C1480" s="27" t="n">
        <x:f>295</x:f>
        <x:v>295</x:v>
      </x:c>
      <x:c r="D1480" s="28" t="n">
        <x:f>IF(ISNUMBER('Inputs'!$D$7),EDATE('Inputs'!$D$7,294),"n.a.")</x:f>
        <x:v>55274</x:v>
      </x:c>
      <x:c r="E1480" s="26" t="n">
        <x:f>IF('Inputs'!$D$9&lt;&gt;"Ready","n.a.",IF(ISNUMBER('Inputs'!E313),IF('Inputs'!E313&gt;=0,'Inputs'!E313,"n.a."),IF('Inputs'!E313="",'Inputs'!$D$6,"n.a.")))</x:f>
        <x:v>500</x:v>
      </x:c>
      <x:c r="F1480" s="22" t="n">
        <x:f>IF(COUNT($N$1477:$N$1481)=5,SUM($N$1477:$N$1481),"n.a.")</x:f>
        <x:v>0</x:v>
      </x:c>
      <x:c r="G1480" s="22" t="n">
        <x:f>IF(COUNT(E1480:F1480)=2,MAX(0,E1480-F1480),"n.a.")</x:f>
        <x:v>500</x:v>
      </x:c>
      <x:c r="H1480" s="26" t="str">
        <x:f>'Inputs'!C14</x:f>
        <x:v>Unused 4</x:v>
      </x:c>
      <x:c r="I1480" s="26" t="n">
        <x:f>S1475</x:f>
        <x:v>0</x:v>
      </x:c>
      <x:c r="J1480" s="29" t="n">
        <x:f>IF('Inputs'!$D$9="Ready",'Inputs'!E14,"n.a.")</x:f>
        <x:v>0</x:v>
      </x:c>
      <x:c r="K1480" s="26" t="n">
        <x:f>IF('Inputs'!$D$9="Ready",'Inputs'!F14,"n.a.")</x:f>
        <x:v>0</x:v>
      </x:c>
      <x:c r="L1480" s="29" t="n">
        <x:f>IF('Inputs'!$D$9="Ready",'Inputs'!G14,"n.a.")</x:f>
        <x:v>0</x:v>
      </x:c>
      <x:c r="M1480" s="22" t="n">
        <x:f>IF(COUNT(I1480:L1480)=4,ROUND(I1480*J1480/12,2),"n.a.")</x:f>
        <x:v>0</x:v>
      </x:c>
      <x:c r="N1480" s="22" t="n">
        <x:f>IF(COUNT(I1480:M1480)=5,MIN(I1480+M1480,ROUND(MAX(K1480,I1480*L1480+M1480),2)),"n.a.")</x:f>
        <x:v>0</x:v>
      </x:c>
      <x:c r="O1480" s="30" t="n">
        <x:f>IF(COUNT($I$1477:$I$1481)&lt;&gt;5,"n.a.",IF(I1480=0,6,IF('Inputs'!$D$5=1,COUNTIFS($I$1477:$I$1481,"&gt;0",$I$1477:$I$1481,"&lt;"&amp;I1480)+COUNTIFS($I$1477:I1480,I1480),COUNTIFS($I$1477:$I$1481,"&gt;0",$J$1477:$J$1481,"&gt;"&amp;J1480)+COUNTIFS($I$1477:I1480,"&gt;0",$J$1477:J1480,J1480))))</x:f>
        <x:v>6</x:v>
      </x:c>
      <x:c r="P1480" s="22" t="n">
        <x:f>IF(T1480="Ready",MIN(U1480,MAX(0,G1480-SUMIFS($U$1477:$U$1481,$O$1477:$O$1481,"&lt;"&amp;O1480))),"n.a.")</x:f>
        <x:v>0</x:v>
      </x:c>
      <x:c r="Q1480" s="22" t="n">
        <x:f>IF(T1480="Ready",ROUND(N1480+P1480,2),"n.a.")</x:f>
        <x:v>0</x:v>
      </x:c>
      <x:c r="R1480" s="22" t="n">
        <x:f>IF(T1480="Ready",ROUND(Q1480-M1480,2),"n.a.")</x:f>
        <x:v>0</x:v>
      </x:c>
      <x:c r="S1480" s="22" t="n">
        <x:f>IF(T1480="Ready",MAX(0,ROUND(I1480+M1480-Q1480,2)),"n.a.")</x:f>
        <x:v>0</x:v>
      </x:c>
      <x:c r="T1480" s="22" t="str">
        <x:f>IF(AND(COUNT($I$1477:$I$1481)=5,COUNT(E1480:F1480)=2),IF(E1480&gt;=F1480,"Ready","Budget below minima"),"Check inputs")</x:f>
        <x:v>Ready</x:v>
      </x:c>
      <x:c r="U1480" s="22" t="n">
        <x:f>IF(COUNT(I1480,M1480,N1480)=3,MAX(0,ROUND(I1480+M1480-N1480,2)),"n.a.")</x:f>
        <x:v>0</x:v>
      </x:c>
    </x:row>
    <x:row r="1481" ht="22" customHeight="1">
      <x:c r="A1481" s="2"/>
      <x:c r="B1481" s="2"/>
      <x:c r="C1481" s="27" t="n">
        <x:f>295</x:f>
        <x:v>295</x:v>
      </x:c>
      <x:c r="D1481" s="28" t="n">
        <x:f>IF(ISNUMBER('Inputs'!$D$7),EDATE('Inputs'!$D$7,294),"n.a.")</x:f>
        <x:v>55274</x:v>
      </x:c>
      <x:c r="E1481" s="26" t="n">
        <x:f>IF('Inputs'!$D$9&lt;&gt;"Ready","n.a.",IF(ISNUMBER('Inputs'!E313),IF('Inputs'!E313&gt;=0,'Inputs'!E313,"n.a."),IF('Inputs'!E313="",'Inputs'!$D$6,"n.a.")))</x:f>
        <x:v>500</x:v>
      </x:c>
      <x:c r="F1481" s="22" t="n">
        <x:f>IF(COUNT($N$1477:$N$1481)=5,SUM($N$1477:$N$1481),"n.a.")</x:f>
        <x:v>0</x:v>
      </x:c>
      <x:c r="G1481" s="22" t="n">
        <x:f>IF(COUNT(E1481:F1481)=2,MAX(0,E1481-F1481),"n.a.")</x:f>
        <x:v>500</x:v>
      </x:c>
      <x:c r="H1481" s="26" t="str">
        <x:f>'Inputs'!C15</x:f>
        <x:v>Unused 5</x:v>
      </x:c>
      <x:c r="I1481" s="26" t="n">
        <x:f>S1476</x:f>
        <x:v>0</x:v>
      </x:c>
      <x:c r="J1481" s="29" t="n">
        <x:f>IF('Inputs'!$D$9="Ready",'Inputs'!E15,"n.a.")</x:f>
        <x:v>0</x:v>
      </x:c>
      <x:c r="K1481" s="26" t="n">
        <x:f>IF('Inputs'!$D$9="Ready",'Inputs'!F15,"n.a.")</x:f>
        <x:v>0</x:v>
      </x:c>
      <x:c r="L1481" s="29" t="n">
        <x:f>IF('Inputs'!$D$9="Ready",'Inputs'!G15,"n.a.")</x:f>
        <x:v>0</x:v>
      </x:c>
      <x:c r="M1481" s="22" t="n">
        <x:f>IF(COUNT(I1481:L1481)=4,ROUND(I1481*J1481/12,2),"n.a.")</x:f>
        <x:v>0</x:v>
      </x:c>
      <x:c r="N1481" s="22" t="n">
        <x:f>IF(COUNT(I1481:M1481)=5,MIN(I1481+M1481,ROUND(MAX(K1481,I1481*L1481+M1481),2)),"n.a.")</x:f>
        <x:v>0</x:v>
      </x:c>
      <x:c r="O1481" s="30" t="n">
        <x:f>IF(COUNT($I$1477:$I$1481)&lt;&gt;5,"n.a.",IF(I1481=0,6,IF('Inputs'!$D$5=1,COUNTIFS($I$1477:$I$1481,"&gt;0",$I$1477:$I$1481,"&lt;"&amp;I1481)+COUNTIFS($I$1477:I1481,I1481),COUNTIFS($I$1477:$I$1481,"&gt;0",$J$1477:$J$1481,"&gt;"&amp;J1481)+COUNTIFS($I$1477:I1481,"&gt;0",$J$1477:J1481,J1481))))</x:f>
        <x:v>6</x:v>
      </x:c>
      <x:c r="P1481" s="22" t="n">
        <x:f>IF(T1481="Ready",MIN(U1481,MAX(0,G1481-SUMIFS($U$1477:$U$1481,$O$1477:$O$1481,"&lt;"&amp;O1481))),"n.a.")</x:f>
        <x:v>0</x:v>
      </x:c>
      <x:c r="Q1481" s="22" t="n">
        <x:f>IF(T1481="Ready",ROUND(N1481+P1481,2),"n.a.")</x:f>
        <x:v>0</x:v>
      </x:c>
      <x:c r="R1481" s="22" t="n">
        <x:f>IF(T1481="Ready",ROUND(Q1481-M1481,2),"n.a.")</x:f>
        <x:v>0</x:v>
      </x:c>
      <x:c r="S1481" s="22" t="n">
        <x:f>IF(T1481="Ready",MAX(0,ROUND(I1481+M1481-Q1481,2)),"n.a.")</x:f>
        <x:v>0</x:v>
      </x:c>
      <x:c r="T1481" s="22" t="str">
        <x:f>IF(AND(COUNT($I$1477:$I$1481)=5,COUNT(E1481:F1481)=2),IF(E1481&gt;=F1481,"Ready","Budget below minima"),"Check inputs")</x:f>
        <x:v>Ready</x:v>
      </x:c>
      <x:c r="U1481" s="22" t="n">
        <x:f>IF(COUNT(I1481,M1481,N1481)=3,MAX(0,ROUND(I1481+M1481-N1481,2)),"n.a.")</x:f>
        <x:v>0</x:v>
      </x:c>
    </x:row>
    <x:row r="1482" ht="22" customHeight="1">
      <x:c r="A1482" s="2"/>
      <x:c r="B1482" s="2"/>
      <x:c r="C1482" s="27" t="n">
        <x:f>296</x:f>
        <x:v>296</x:v>
      </x:c>
      <x:c r="D1482" s="28" t="n">
        <x:f>IF(ISNUMBER('Inputs'!$D$7),EDATE('Inputs'!$D$7,295),"n.a.")</x:f>
        <x:v>55305</x:v>
      </x:c>
      <x:c r="E1482" s="26" t="n">
        <x:f>IF('Inputs'!$D$9&lt;&gt;"Ready","n.a.",IF(ISNUMBER('Inputs'!E314),IF('Inputs'!E314&gt;=0,'Inputs'!E314,"n.a."),IF('Inputs'!E314="",'Inputs'!$D$6,"n.a.")))</x:f>
        <x:v>500</x:v>
      </x:c>
      <x:c r="F1482" s="22" t="n">
        <x:f>IF(COUNT($N$1482:$N$1486)=5,SUM($N$1482:$N$1486),"n.a.")</x:f>
        <x:v>0</x:v>
      </x:c>
      <x:c r="G1482" s="22" t="n">
        <x:f>IF(COUNT(E1482:F1482)=2,MAX(0,E1482-F1482),"n.a.")</x:f>
        <x:v>500</x:v>
      </x:c>
      <x:c r="H1482" s="26" t="str">
        <x:f>'Inputs'!C11</x:f>
        <x:v>Card A</x:v>
      </x:c>
      <x:c r="I1482" s="26" t="n">
        <x:f>S1477</x:f>
        <x:v>0</x:v>
      </x:c>
      <x:c r="J1482" s="29" t="n">
        <x:f>IF('Inputs'!$D$9="Ready",'Inputs'!E11,"n.a.")</x:f>
        <x:v>0.24</x:v>
      </x:c>
      <x:c r="K1482" s="26" t="n">
        <x:f>IF('Inputs'!$D$9="Ready",'Inputs'!F11,"n.a.")</x:f>
        <x:v>35</x:v>
      </x:c>
      <x:c r="L1482" s="29" t="n">
        <x:f>IF('Inputs'!$D$9="Ready",'Inputs'!G11,"n.a.")</x:f>
        <x:v>0.02</x:v>
      </x:c>
      <x:c r="M1482" s="22" t="n">
        <x:f>IF(COUNT(I1482:L1482)=4,ROUND(I1482*J1482/12,2),"n.a.")</x:f>
        <x:v>0</x:v>
      </x:c>
      <x:c r="N1482" s="22" t="n">
        <x:f>IF(COUNT(I1482:M1482)=5,MIN(I1482+M1482,ROUND(MAX(K1482,I1482*L1482+M1482),2)),"n.a.")</x:f>
        <x:v>0</x:v>
      </x:c>
      <x:c r="O1482" s="30" t="n">
        <x:f>IF(COUNT($I$1482:$I$1486)&lt;&gt;5,"n.a.",IF(I1482=0,6,IF('Inputs'!$D$5=1,COUNTIFS($I$1482:$I$1486,"&gt;0",$I$1482:$I$1486,"&lt;"&amp;I1482)+COUNTIFS($I$1482:I1482,I1482),COUNTIFS($I$1482:$I$1486,"&gt;0",$J$1482:$J$1486,"&gt;"&amp;J1482)+COUNTIFS($I$1482:I1482,"&gt;0",$J$1482:J1482,J1482))))</x:f>
        <x:v>6</x:v>
      </x:c>
      <x:c r="P1482" s="22" t="n">
        <x:f>IF(T1482="Ready",MIN(U1482,MAX(0,G1482-SUMIFS($U$1482:$U$1486,$O$1482:$O$1486,"&lt;"&amp;O1482))),"n.a.")</x:f>
        <x:v>0</x:v>
      </x:c>
      <x:c r="Q1482" s="22" t="n">
        <x:f>IF(T1482="Ready",ROUND(N1482+P1482,2),"n.a.")</x:f>
        <x:v>0</x:v>
      </x:c>
      <x:c r="R1482" s="22" t="n">
        <x:f>IF(T1482="Ready",ROUND(Q1482-M1482,2),"n.a.")</x:f>
        <x:v>0</x:v>
      </x:c>
      <x:c r="S1482" s="22" t="n">
        <x:f>IF(T1482="Ready",MAX(0,ROUND(I1482+M1482-Q1482,2)),"n.a.")</x:f>
        <x:v>0</x:v>
      </x:c>
      <x:c r="T1482" s="22" t="str">
        <x:f>IF(AND(COUNT($I$1482:$I$1486)=5,COUNT(E1482:F1482)=2),IF(E1482&gt;=F1482,"Ready","Budget below minima"),"Check inputs")</x:f>
        <x:v>Ready</x:v>
      </x:c>
      <x:c r="U1482" s="22" t="n">
        <x:f>IF(COUNT(I1482,M1482,N1482)=3,MAX(0,ROUND(I1482+M1482-N1482,2)),"n.a.")</x:f>
        <x:v>0</x:v>
      </x:c>
    </x:row>
    <x:row r="1483" ht="22" customHeight="1">
      <x:c r="A1483" s="2"/>
      <x:c r="B1483" s="2"/>
      <x:c r="C1483" s="27" t="n">
        <x:f>296</x:f>
        <x:v>296</x:v>
      </x:c>
      <x:c r="D1483" s="28" t="n">
        <x:f>IF(ISNUMBER('Inputs'!$D$7),EDATE('Inputs'!$D$7,295),"n.a.")</x:f>
        <x:v>55305</x:v>
      </x:c>
      <x:c r="E1483" s="26" t="n">
        <x:f>IF('Inputs'!$D$9&lt;&gt;"Ready","n.a.",IF(ISNUMBER('Inputs'!E314),IF('Inputs'!E314&gt;=0,'Inputs'!E314,"n.a."),IF('Inputs'!E314="",'Inputs'!$D$6,"n.a.")))</x:f>
        <x:v>500</x:v>
      </x:c>
      <x:c r="F1483" s="22" t="n">
        <x:f>IF(COUNT($N$1482:$N$1486)=5,SUM($N$1482:$N$1486),"n.a.")</x:f>
        <x:v>0</x:v>
      </x:c>
      <x:c r="G1483" s="22" t="n">
        <x:f>IF(COUNT(E1483:F1483)=2,MAX(0,E1483-F1483),"n.a.")</x:f>
        <x:v>500</x:v>
      </x:c>
      <x:c r="H1483" s="26" t="str">
        <x:f>'Inputs'!C12</x:f>
        <x:v>Card B</x:v>
      </x:c>
      <x:c r="I1483" s="26" t="n">
        <x:f>S1478</x:f>
        <x:v>0</x:v>
      </x:c>
      <x:c r="J1483" s="29" t="n">
        <x:f>IF('Inputs'!$D$9="Ready",'Inputs'!E12,"n.a.")</x:f>
        <x:v>0.18</x:v>
      </x:c>
      <x:c r="K1483" s="26" t="n">
        <x:f>IF('Inputs'!$D$9="Ready",'Inputs'!F12,"n.a.")</x:f>
        <x:v>60</x:v>
      </x:c>
      <x:c r="L1483" s="29" t="n">
        <x:f>IF('Inputs'!$D$9="Ready",'Inputs'!G12,"n.a.")</x:f>
        <x:v>0.02</x:v>
      </x:c>
      <x:c r="M1483" s="22" t="n">
        <x:f>IF(COUNT(I1483:L1483)=4,ROUND(I1483*J1483/12,2),"n.a.")</x:f>
        <x:v>0</x:v>
      </x:c>
      <x:c r="N1483" s="22" t="n">
        <x:f>IF(COUNT(I1483:M1483)=5,MIN(I1483+M1483,ROUND(MAX(K1483,I1483*L1483+M1483),2)),"n.a.")</x:f>
        <x:v>0</x:v>
      </x:c>
      <x:c r="O1483" s="30" t="n">
        <x:f>IF(COUNT($I$1482:$I$1486)&lt;&gt;5,"n.a.",IF(I1483=0,6,IF('Inputs'!$D$5=1,COUNTIFS($I$1482:$I$1486,"&gt;0",$I$1482:$I$1486,"&lt;"&amp;I1483)+COUNTIFS($I$1482:I1483,I1483),COUNTIFS($I$1482:$I$1486,"&gt;0",$J$1482:$J$1486,"&gt;"&amp;J1483)+COUNTIFS($I$1482:I1483,"&gt;0",$J$1482:J1483,J1483))))</x:f>
        <x:v>6</x:v>
      </x:c>
      <x:c r="P1483" s="22" t="n">
        <x:f>IF(T1483="Ready",MIN(U1483,MAX(0,G1483-SUMIFS($U$1482:$U$1486,$O$1482:$O$1486,"&lt;"&amp;O1483))),"n.a.")</x:f>
        <x:v>0</x:v>
      </x:c>
      <x:c r="Q1483" s="22" t="n">
        <x:f>IF(T1483="Ready",ROUND(N1483+P1483,2),"n.a.")</x:f>
        <x:v>0</x:v>
      </x:c>
      <x:c r="R1483" s="22" t="n">
        <x:f>IF(T1483="Ready",ROUND(Q1483-M1483,2),"n.a.")</x:f>
        <x:v>0</x:v>
      </x:c>
      <x:c r="S1483" s="22" t="n">
        <x:f>IF(T1483="Ready",MAX(0,ROUND(I1483+M1483-Q1483,2)),"n.a.")</x:f>
        <x:v>0</x:v>
      </x:c>
      <x:c r="T1483" s="22" t="str">
        <x:f>IF(AND(COUNT($I$1482:$I$1486)=5,COUNT(E1483:F1483)=2),IF(E1483&gt;=F1483,"Ready","Budget below minima"),"Check inputs")</x:f>
        <x:v>Ready</x:v>
      </x:c>
      <x:c r="U1483" s="22" t="n">
        <x:f>IF(COUNT(I1483,M1483,N1483)=3,MAX(0,ROUND(I1483+M1483-N1483,2)),"n.a.")</x:f>
        <x:v>0</x:v>
      </x:c>
    </x:row>
    <x:row r="1484" ht="22" customHeight="1">
      <x:c r="A1484" s="2"/>
      <x:c r="B1484" s="2"/>
      <x:c r="C1484" s="27" t="n">
        <x:f>296</x:f>
        <x:v>296</x:v>
      </x:c>
      <x:c r="D1484" s="28" t="n">
        <x:f>IF(ISNUMBER('Inputs'!$D$7),EDATE('Inputs'!$D$7,295),"n.a.")</x:f>
        <x:v>55305</x:v>
      </x:c>
      <x:c r="E1484" s="26" t="n">
        <x:f>IF('Inputs'!$D$9&lt;&gt;"Ready","n.a.",IF(ISNUMBER('Inputs'!E314),IF('Inputs'!E314&gt;=0,'Inputs'!E314,"n.a."),IF('Inputs'!E314="",'Inputs'!$D$6,"n.a.")))</x:f>
        <x:v>500</x:v>
      </x:c>
      <x:c r="F1484" s="22" t="n">
        <x:f>IF(COUNT($N$1482:$N$1486)=5,SUM($N$1482:$N$1486),"n.a.")</x:f>
        <x:v>0</x:v>
      </x:c>
      <x:c r="G1484" s="22" t="n">
        <x:f>IF(COUNT(E1484:F1484)=2,MAX(0,E1484-F1484),"n.a.")</x:f>
        <x:v>500</x:v>
      </x:c>
      <x:c r="H1484" s="26" t="str">
        <x:f>'Inputs'!C13</x:f>
        <x:v>Loan C</x:v>
      </x:c>
      <x:c r="I1484" s="26" t="n">
        <x:f>S1479</x:f>
        <x:v>0</x:v>
      </x:c>
      <x:c r="J1484" s="29" t="n">
        <x:f>IF('Inputs'!$D$9="Ready",'Inputs'!E13,"n.a.")</x:f>
        <x:v>0.08</x:v>
      </x:c>
      <x:c r="K1484" s="26" t="n">
        <x:f>IF('Inputs'!$D$9="Ready",'Inputs'!F13,"n.a.")</x:f>
        <x:v>150</x:v>
      </x:c>
      <x:c r="L1484" s="29" t="n">
        <x:f>IF('Inputs'!$D$9="Ready",'Inputs'!G13,"n.a.")</x:f>
        <x:v>0</x:v>
      </x:c>
      <x:c r="M1484" s="22" t="n">
        <x:f>IF(COUNT(I1484:L1484)=4,ROUND(I1484*J1484/12,2),"n.a.")</x:f>
        <x:v>0</x:v>
      </x:c>
      <x:c r="N1484" s="22" t="n">
        <x:f>IF(COUNT(I1484:M1484)=5,MIN(I1484+M1484,ROUND(MAX(K1484,I1484*L1484+M1484),2)),"n.a.")</x:f>
        <x:v>0</x:v>
      </x:c>
      <x:c r="O1484" s="30" t="n">
        <x:f>IF(COUNT($I$1482:$I$1486)&lt;&gt;5,"n.a.",IF(I1484=0,6,IF('Inputs'!$D$5=1,COUNTIFS($I$1482:$I$1486,"&gt;0",$I$1482:$I$1486,"&lt;"&amp;I1484)+COUNTIFS($I$1482:I1484,I1484),COUNTIFS($I$1482:$I$1486,"&gt;0",$J$1482:$J$1486,"&gt;"&amp;J1484)+COUNTIFS($I$1482:I1484,"&gt;0",$J$1482:J1484,J1484))))</x:f>
        <x:v>6</x:v>
      </x:c>
      <x:c r="P1484" s="22" t="n">
        <x:f>IF(T1484="Ready",MIN(U1484,MAX(0,G1484-SUMIFS($U$1482:$U$1486,$O$1482:$O$1486,"&lt;"&amp;O1484))),"n.a.")</x:f>
        <x:v>0</x:v>
      </x:c>
      <x:c r="Q1484" s="22" t="n">
        <x:f>IF(T1484="Ready",ROUND(N1484+P1484,2),"n.a.")</x:f>
        <x:v>0</x:v>
      </x:c>
      <x:c r="R1484" s="22" t="n">
        <x:f>IF(T1484="Ready",ROUND(Q1484-M1484,2),"n.a.")</x:f>
        <x:v>0</x:v>
      </x:c>
      <x:c r="S1484" s="22" t="n">
        <x:f>IF(T1484="Ready",MAX(0,ROUND(I1484+M1484-Q1484,2)),"n.a.")</x:f>
        <x:v>0</x:v>
      </x:c>
      <x:c r="T1484" s="22" t="str">
        <x:f>IF(AND(COUNT($I$1482:$I$1486)=5,COUNT(E1484:F1484)=2),IF(E1484&gt;=F1484,"Ready","Budget below minima"),"Check inputs")</x:f>
        <x:v>Ready</x:v>
      </x:c>
      <x:c r="U1484" s="22" t="n">
        <x:f>IF(COUNT(I1484,M1484,N1484)=3,MAX(0,ROUND(I1484+M1484-N1484,2)),"n.a.")</x:f>
        <x:v>0</x:v>
      </x:c>
    </x:row>
    <x:row r="1485" ht="22" customHeight="1">
      <x:c r="A1485" s="2"/>
      <x:c r="B1485" s="2"/>
      <x:c r="C1485" s="27" t="n">
        <x:f>296</x:f>
        <x:v>296</x:v>
      </x:c>
      <x:c r="D1485" s="28" t="n">
        <x:f>IF(ISNUMBER('Inputs'!$D$7),EDATE('Inputs'!$D$7,295),"n.a.")</x:f>
        <x:v>55305</x:v>
      </x:c>
      <x:c r="E1485" s="26" t="n">
        <x:f>IF('Inputs'!$D$9&lt;&gt;"Ready","n.a.",IF(ISNUMBER('Inputs'!E314),IF('Inputs'!E314&gt;=0,'Inputs'!E314,"n.a."),IF('Inputs'!E314="",'Inputs'!$D$6,"n.a.")))</x:f>
        <x:v>500</x:v>
      </x:c>
      <x:c r="F1485" s="22" t="n">
        <x:f>IF(COUNT($N$1482:$N$1486)=5,SUM($N$1482:$N$1486),"n.a.")</x:f>
        <x:v>0</x:v>
      </x:c>
      <x:c r="G1485" s="22" t="n">
        <x:f>IF(COUNT(E1485:F1485)=2,MAX(0,E1485-F1485),"n.a.")</x:f>
        <x:v>500</x:v>
      </x:c>
      <x:c r="H1485" s="26" t="str">
        <x:f>'Inputs'!C14</x:f>
        <x:v>Unused 4</x:v>
      </x:c>
      <x:c r="I1485" s="26" t="n">
        <x:f>S1480</x:f>
        <x:v>0</x:v>
      </x:c>
      <x:c r="J1485" s="29" t="n">
        <x:f>IF('Inputs'!$D$9="Ready",'Inputs'!E14,"n.a.")</x:f>
        <x:v>0</x:v>
      </x:c>
      <x:c r="K1485" s="26" t="n">
        <x:f>IF('Inputs'!$D$9="Ready",'Inputs'!F14,"n.a.")</x:f>
        <x:v>0</x:v>
      </x:c>
      <x:c r="L1485" s="29" t="n">
        <x:f>IF('Inputs'!$D$9="Ready",'Inputs'!G14,"n.a.")</x:f>
        <x:v>0</x:v>
      </x:c>
      <x:c r="M1485" s="22" t="n">
        <x:f>IF(COUNT(I1485:L1485)=4,ROUND(I1485*J1485/12,2),"n.a.")</x:f>
        <x:v>0</x:v>
      </x:c>
      <x:c r="N1485" s="22" t="n">
        <x:f>IF(COUNT(I1485:M1485)=5,MIN(I1485+M1485,ROUND(MAX(K1485,I1485*L1485+M1485),2)),"n.a.")</x:f>
        <x:v>0</x:v>
      </x:c>
      <x:c r="O1485" s="30" t="n">
        <x:f>IF(COUNT($I$1482:$I$1486)&lt;&gt;5,"n.a.",IF(I1485=0,6,IF('Inputs'!$D$5=1,COUNTIFS($I$1482:$I$1486,"&gt;0",$I$1482:$I$1486,"&lt;"&amp;I1485)+COUNTIFS($I$1482:I1485,I1485),COUNTIFS($I$1482:$I$1486,"&gt;0",$J$1482:$J$1486,"&gt;"&amp;J1485)+COUNTIFS($I$1482:I1485,"&gt;0",$J$1482:J1485,J1485))))</x:f>
        <x:v>6</x:v>
      </x:c>
      <x:c r="P1485" s="22" t="n">
        <x:f>IF(T1485="Ready",MIN(U1485,MAX(0,G1485-SUMIFS($U$1482:$U$1486,$O$1482:$O$1486,"&lt;"&amp;O1485))),"n.a.")</x:f>
        <x:v>0</x:v>
      </x:c>
      <x:c r="Q1485" s="22" t="n">
        <x:f>IF(T1485="Ready",ROUND(N1485+P1485,2),"n.a.")</x:f>
        <x:v>0</x:v>
      </x:c>
      <x:c r="R1485" s="22" t="n">
        <x:f>IF(T1485="Ready",ROUND(Q1485-M1485,2),"n.a.")</x:f>
        <x:v>0</x:v>
      </x:c>
      <x:c r="S1485" s="22" t="n">
        <x:f>IF(T1485="Ready",MAX(0,ROUND(I1485+M1485-Q1485,2)),"n.a.")</x:f>
        <x:v>0</x:v>
      </x:c>
      <x:c r="T1485" s="22" t="str">
        <x:f>IF(AND(COUNT($I$1482:$I$1486)=5,COUNT(E1485:F1485)=2),IF(E1485&gt;=F1485,"Ready","Budget below minima"),"Check inputs")</x:f>
        <x:v>Ready</x:v>
      </x:c>
      <x:c r="U1485" s="22" t="n">
        <x:f>IF(COUNT(I1485,M1485,N1485)=3,MAX(0,ROUND(I1485+M1485-N1485,2)),"n.a.")</x:f>
        <x:v>0</x:v>
      </x:c>
    </x:row>
    <x:row r="1486" ht="22" customHeight="1">
      <x:c r="A1486" s="2"/>
      <x:c r="B1486" s="2"/>
      <x:c r="C1486" s="27" t="n">
        <x:f>296</x:f>
        <x:v>296</x:v>
      </x:c>
      <x:c r="D1486" s="28" t="n">
        <x:f>IF(ISNUMBER('Inputs'!$D$7),EDATE('Inputs'!$D$7,295),"n.a.")</x:f>
        <x:v>55305</x:v>
      </x:c>
      <x:c r="E1486" s="26" t="n">
        <x:f>IF('Inputs'!$D$9&lt;&gt;"Ready","n.a.",IF(ISNUMBER('Inputs'!E314),IF('Inputs'!E314&gt;=0,'Inputs'!E314,"n.a."),IF('Inputs'!E314="",'Inputs'!$D$6,"n.a.")))</x:f>
        <x:v>500</x:v>
      </x:c>
      <x:c r="F1486" s="22" t="n">
        <x:f>IF(COUNT($N$1482:$N$1486)=5,SUM($N$1482:$N$1486),"n.a.")</x:f>
        <x:v>0</x:v>
      </x:c>
      <x:c r="G1486" s="22" t="n">
        <x:f>IF(COUNT(E1486:F1486)=2,MAX(0,E1486-F1486),"n.a.")</x:f>
        <x:v>500</x:v>
      </x:c>
      <x:c r="H1486" s="26" t="str">
        <x:f>'Inputs'!C15</x:f>
        <x:v>Unused 5</x:v>
      </x:c>
      <x:c r="I1486" s="26" t="n">
        <x:f>S1481</x:f>
        <x:v>0</x:v>
      </x:c>
      <x:c r="J1486" s="29" t="n">
        <x:f>IF('Inputs'!$D$9="Ready",'Inputs'!E15,"n.a.")</x:f>
        <x:v>0</x:v>
      </x:c>
      <x:c r="K1486" s="26" t="n">
        <x:f>IF('Inputs'!$D$9="Ready",'Inputs'!F15,"n.a.")</x:f>
        <x:v>0</x:v>
      </x:c>
      <x:c r="L1486" s="29" t="n">
        <x:f>IF('Inputs'!$D$9="Ready",'Inputs'!G15,"n.a.")</x:f>
        <x:v>0</x:v>
      </x:c>
      <x:c r="M1486" s="22" t="n">
        <x:f>IF(COUNT(I1486:L1486)=4,ROUND(I1486*J1486/12,2),"n.a.")</x:f>
        <x:v>0</x:v>
      </x:c>
      <x:c r="N1486" s="22" t="n">
        <x:f>IF(COUNT(I1486:M1486)=5,MIN(I1486+M1486,ROUND(MAX(K1486,I1486*L1486+M1486),2)),"n.a.")</x:f>
        <x:v>0</x:v>
      </x:c>
      <x:c r="O1486" s="30" t="n">
        <x:f>IF(COUNT($I$1482:$I$1486)&lt;&gt;5,"n.a.",IF(I1486=0,6,IF('Inputs'!$D$5=1,COUNTIFS($I$1482:$I$1486,"&gt;0",$I$1482:$I$1486,"&lt;"&amp;I1486)+COUNTIFS($I$1482:I1486,I1486),COUNTIFS($I$1482:$I$1486,"&gt;0",$J$1482:$J$1486,"&gt;"&amp;J1486)+COUNTIFS($I$1482:I1486,"&gt;0",$J$1482:J1486,J1486))))</x:f>
        <x:v>6</x:v>
      </x:c>
      <x:c r="P1486" s="22" t="n">
        <x:f>IF(T1486="Ready",MIN(U1486,MAX(0,G1486-SUMIFS($U$1482:$U$1486,$O$1482:$O$1486,"&lt;"&amp;O1486))),"n.a.")</x:f>
        <x:v>0</x:v>
      </x:c>
      <x:c r="Q1486" s="22" t="n">
        <x:f>IF(T1486="Ready",ROUND(N1486+P1486,2),"n.a.")</x:f>
        <x:v>0</x:v>
      </x:c>
      <x:c r="R1486" s="22" t="n">
        <x:f>IF(T1486="Ready",ROUND(Q1486-M1486,2),"n.a.")</x:f>
        <x:v>0</x:v>
      </x:c>
      <x:c r="S1486" s="22" t="n">
        <x:f>IF(T1486="Ready",MAX(0,ROUND(I1486+M1486-Q1486,2)),"n.a.")</x:f>
        <x:v>0</x:v>
      </x:c>
      <x:c r="T1486" s="22" t="str">
        <x:f>IF(AND(COUNT($I$1482:$I$1486)=5,COUNT(E1486:F1486)=2),IF(E1486&gt;=F1486,"Ready","Budget below minima"),"Check inputs")</x:f>
        <x:v>Ready</x:v>
      </x:c>
      <x:c r="U1486" s="22" t="n">
        <x:f>IF(COUNT(I1486,M1486,N1486)=3,MAX(0,ROUND(I1486+M1486-N1486,2)),"n.a.")</x:f>
        <x:v>0</x:v>
      </x:c>
    </x:row>
    <x:row r="1487" ht="22" customHeight="1">
      <x:c r="A1487" s="2"/>
      <x:c r="B1487" s="2"/>
      <x:c r="C1487" s="27" t="n">
        <x:f>297</x:f>
        <x:v>297</x:v>
      </x:c>
      <x:c r="D1487" s="28" t="n">
        <x:f>IF(ISNUMBER('Inputs'!$D$7),EDATE('Inputs'!$D$7,296),"n.a.")</x:f>
        <x:v>55335</x:v>
      </x:c>
      <x:c r="E1487" s="26" t="n">
        <x:f>IF('Inputs'!$D$9&lt;&gt;"Ready","n.a.",IF(ISNUMBER('Inputs'!E315),IF('Inputs'!E315&gt;=0,'Inputs'!E315,"n.a."),IF('Inputs'!E315="",'Inputs'!$D$6,"n.a.")))</x:f>
        <x:v>500</x:v>
      </x:c>
      <x:c r="F1487" s="22" t="n">
        <x:f>IF(COUNT($N$1487:$N$1491)=5,SUM($N$1487:$N$1491),"n.a.")</x:f>
        <x:v>0</x:v>
      </x:c>
      <x:c r="G1487" s="22" t="n">
        <x:f>IF(COUNT(E1487:F1487)=2,MAX(0,E1487-F1487),"n.a.")</x:f>
        <x:v>500</x:v>
      </x:c>
      <x:c r="H1487" s="26" t="str">
        <x:f>'Inputs'!C11</x:f>
        <x:v>Card A</x:v>
      </x:c>
      <x:c r="I1487" s="26" t="n">
        <x:f>S1482</x:f>
        <x:v>0</x:v>
      </x:c>
      <x:c r="J1487" s="29" t="n">
        <x:f>IF('Inputs'!$D$9="Ready",'Inputs'!E11,"n.a.")</x:f>
        <x:v>0.24</x:v>
      </x:c>
      <x:c r="K1487" s="26" t="n">
        <x:f>IF('Inputs'!$D$9="Ready",'Inputs'!F11,"n.a.")</x:f>
        <x:v>35</x:v>
      </x:c>
      <x:c r="L1487" s="29" t="n">
        <x:f>IF('Inputs'!$D$9="Ready",'Inputs'!G11,"n.a.")</x:f>
        <x:v>0.02</x:v>
      </x:c>
      <x:c r="M1487" s="22" t="n">
        <x:f>IF(COUNT(I1487:L1487)=4,ROUND(I1487*J1487/12,2),"n.a.")</x:f>
        <x:v>0</x:v>
      </x:c>
      <x:c r="N1487" s="22" t="n">
        <x:f>IF(COUNT(I1487:M1487)=5,MIN(I1487+M1487,ROUND(MAX(K1487,I1487*L1487+M1487),2)),"n.a.")</x:f>
        <x:v>0</x:v>
      </x:c>
      <x:c r="O1487" s="30" t="n">
        <x:f>IF(COUNT($I$1487:$I$1491)&lt;&gt;5,"n.a.",IF(I1487=0,6,IF('Inputs'!$D$5=1,COUNTIFS($I$1487:$I$1491,"&gt;0",$I$1487:$I$1491,"&lt;"&amp;I1487)+COUNTIFS($I$1487:I1487,I1487),COUNTIFS($I$1487:$I$1491,"&gt;0",$J$1487:$J$1491,"&gt;"&amp;J1487)+COUNTIFS($I$1487:I1487,"&gt;0",$J$1487:J1487,J1487))))</x:f>
        <x:v>6</x:v>
      </x:c>
      <x:c r="P1487" s="22" t="n">
        <x:f>IF(T1487="Ready",MIN(U1487,MAX(0,G1487-SUMIFS($U$1487:$U$1491,$O$1487:$O$1491,"&lt;"&amp;O1487))),"n.a.")</x:f>
        <x:v>0</x:v>
      </x:c>
      <x:c r="Q1487" s="22" t="n">
        <x:f>IF(T1487="Ready",ROUND(N1487+P1487,2),"n.a.")</x:f>
        <x:v>0</x:v>
      </x:c>
      <x:c r="R1487" s="22" t="n">
        <x:f>IF(T1487="Ready",ROUND(Q1487-M1487,2),"n.a.")</x:f>
        <x:v>0</x:v>
      </x:c>
      <x:c r="S1487" s="22" t="n">
        <x:f>IF(T1487="Ready",MAX(0,ROUND(I1487+M1487-Q1487,2)),"n.a.")</x:f>
        <x:v>0</x:v>
      </x:c>
      <x:c r="T1487" s="22" t="str">
        <x:f>IF(AND(COUNT($I$1487:$I$1491)=5,COUNT(E1487:F1487)=2),IF(E1487&gt;=F1487,"Ready","Budget below minima"),"Check inputs")</x:f>
        <x:v>Ready</x:v>
      </x:c>
      <x:c r="U1487" s="22" t="n">
        <x:f>IF(COUNT(I1487,M1487,N1487)=3,MAX(0,ROUND(I1487+M1487-N1487,2)),"n.a.")</x:f>
        <x:v>0</x:v>
      </x:c>
    </x:row>
    <x:row r="1488" ht="22" customHeight="1">
      <x:c r="A1488" s="2"/>
      <x:c r="B1488" s="2"/>
      <x:c r="C1488" s="27" t="n">
        <x:f>297</x:f>
        <x:v>297</x:v>
      </x:c>
      <x:c r="D1488" s="28" t="n">
        <x:f>IF(ISNUMBER('Inputs'!$D$7),EDATE('Inputs'!$D$7,296),"n.a.")</x:f>
        <x:v>55335</x:v>
      </x:c>
      <x:c r="E1488" s="26" t="n">
        <x:f>IF('Inputs'!$D$9&lt;&gt;"Ready","n.a.",IF(ISNUMBER('Inputs'!E315),IF('Inputs'!E315&gt;=0,'Inputs'!E315,"n.a."),IF('Inputs'!E315="",'Inputs'!$D$6,"n.a.")))</x:f>
        <x:v>500</x:v>
      </x:c>
      <x:c r="F1488" s="22" t="n">
        <x:f>IF(COUNT($N$1487:$N$1491)=5,SUM($N$1487:$N$1491),"n.a.")</x:f>
        <x:v>0</x:v>
      </x:c>
      <x:c r="G1488" s="22" t="n">
        <x:f>IF(COUNT(E1488:F1488)=2,MAX(0,E1488-F1488),"n.a.")</x:f>
        <x:v>500</x:v>
      </x:c>
      <x:c r="H1488" s="26" t="str">
        <x:f>'Inputs'!C12</x:f>
        <x:v>Card B</x:v>
      </x:c>
      <x:c r="I1488" s="26" t="n">
        <x:f>S1483</x:f>
        <x:v>0</x:v>
      </x:c>
      <x:c r="J1488" s="29" t="n">
        <x:f>IF('Inputs'!$D$9="Ready",'Inputs'!E12,"n.a.")</x:f>
        <x:v>0.18</x:v>
      </x:c>
      <x:c r="K1488" s="26" t="n">
        <x:f>IF('Inputs'!$D$9="Ready",'Inputs'!F12,"n.a.")</x:f>
        <x:v>60</x:v>
      </x:c>
      <x:c r="L1488" s="29" t="n">
        <x:f>IF('Inputs'!$D$9="Ready",'Inputs'!G12,"n.a.")</x:f>
        <x:v>0.02</x:v>
      </x:c>
      <x:c r="M1488" s="22" t="n">
        <x:f>IF(COUNT(I1488:L1488)=4,ROUND(I1488*J1488/12,2),"n.a.")</x:f>
        <x:v>0</x:v>
      </x:c>
      <x:c r="N1488" s="22" t="n">
        <x:f>IF(COUNT(I1488:M1488)=5,MIN(I1488+M1488,ROUND(MAX(K1488,I1488*L1488+M1488),2)),"n.a.")</x:f>
        <x:v>0</x:v>
      </x:c>
      <x:c r="O1488" s="30" t="n">
        <x:f>IF(COUNT($I$1487:$I$1491)&lt;&gt;5,"n.a.",IF(I1488=0,6,IF('Inputs'!$D$5=1,COUNTIFS($I$1487:$I$1491,"&gt;0",$I$1487:$I$1491,"&lt;"&amp;I1488)+COUNTIFS($I$1487:I1488,I1488),COUNTIFS($I$1487:$I$1491,"&gt;0",$J$1487:$J$1491,"&gt;"&amp;J1488)+COUNTIFS($I$1487:I1488,"&gt;0",$J$1487:J1488,J1488))))</x:f>
        <x:v>6</x:v>
      </x:c>
      <x:c r="P1488" s="22" t="n">
        <x:f>IF(T1488="Ready",MIN(U1488,MAX(0,G1488-SUMIFS($U$1487:$U$1491,$O$1487:$O$1491,"&lt;"&amp;O1488))),"n.a.")</x:f>
        <x:v>0</x:v>
      </x:c>
      <x:c r="Q1488" s="22" t="n">
        <x:f>IF(T1488="Ready",ROUND(N1488+P1488,2),"n.a.")</x:f>
        <x:v>0</x:v>
      </x:c>
      <x:c r="R1488" s="22" t="n">
        <x:f>IF(T1488="Ready",ROUND(Q1488-M1488,2),"n.a.")</x:f>
        <x:v>0</x:v>
      </x:c>
      <x:c r="S1488" s="22" t="n">
        <x:f>IF(T1488="Ready",MAX(0,ROUND(I1488+M1488-Q1488,2)),"n.a.")</x:f>
        <x:v>0</x:v>
      </x:c>
      <x:c r="T1488" s="22" t="str">
        <x:f>IF(AND(COUNT($I$1487:$I$1491)=5,COUNT(E1488:F1488)=2),IF(E1488&gt;=F1488,"Ready","Budget below minima"),"Check inputs")</x:f>
        <x:v>Ready</x:v>
      </x:c>
      <x:c r="U1488" s="22" t="n">
        <x:f>IF(COUNT(I1488,M1488,N1488)=3,MAX(0,ROUND(I1488+M1488-N1488,2)),"n.a.")</x:f>
        <x:v>0</x:v>
      </x:c>
    </x:row>
    <x:row r="1489" ht="22" customHeight="1">
      <x:c r="A1489" s="2"/>
      <x:c r="B1489" s="2"/>
      <x:c r="C1489" s="27" t="n">
        <x:f>297</x:f>
        <x:v>297</x:v>
      </x:c>
      <x:c r="D1489" s="28" t="n">
        <x:f>IF(ISNUMBER('Inputs'!$D$7),EDATE('Inputs'!$D$7,296),"n.a.")</x:f>
        <x:v>55335</x:v>
      </x:c>
      <x:c r="E1489" s="26" t="n">
        <x:f>IF('Inputs'!$D$9&lt;&gt;"Ready","n.a.",IF(ISNUMBER('Inputs'!E315),IF('Inputs'!E315&gt;=0,'Inputs'!E315,"n.a."),IF('Inputs'!E315="",'Inputs'!$D$6,"n.a.")))</x:f>
        <x:v>500</x:v>
      </x:c>
      <x:c r="F1489" s="22" t="n">
        <x:f>IF(COUNT($N$1487:$N$1491)=5,SUM($N$1487:$N$1491),"n.a.")</x:f>
        <x:v>0</x:v>
      </x:c>
      <x:c r="G1489" s="22" t="n">
        <x:f>IF(COUNT(E1489:F1489)=2,MAX(0,E1489-F1489),"n.a.")</x:f>
        <x:v>500</x:v>
      </x:c>
      <x:c r="H1489" s="26" t="str">
        <x:f>'Inputs'!C13</x:f>
        <x:v>Loan C</x:v>
      </x:c>
      <x:c r="I1489" s="26" t="n">
        <x:f>S1484</x:f>
        <x:v>0</x:v>
      </x:c>
      <x:c r="J1489" s="29" t="n">
        <x:f>IF('Inputs'!$D$9="Ready",'Inputs'!E13,"n.a.")</x:f>
        <x:v>0.08</x:v>
      </x:c>
      <x:c r="K1489" s="26" t="n">
        <x:f>IF('Inputs'!$D$9="Ready",'Inputs'!F13,"n.a.")</x:f>
        <x:v>150</x:v>
      </x:c>
      <x:c r="L1489" s="29" t="n">
        <x:f>IF('Inputs'!$D$9="Ready",'Inputs'!G13,"n.a.")</x:f>
        <x:v>0</x:v>
      </x:c>
      <x:c r="M1489" s="22" t="n">
        <x:f>IF(COUNT(I1489:L1489)=4,ROUND(I1489*J1489/12,2),"n.a.")</x:f>
        <x:v>0</x:v>
      </x:c>
      <x:c r="N1489" s="22" t="n">
        <x:f>IF(COUNT(I1489:M1489)=5,MIN(I1489+M1489,ROUND(MAX(K1489,I1489*L1489+M1489),2)),"n.a.")</x:f>
        <x:v>0</x:v>
      </x:c>
      <x:c r="O1489" s="30" t="n">
        <x:f>IF(COUNT($I$1487:$I$1491)&lt;&gt;5,"n.a.",IF(I1489=0,6,IF('Inputs'!$D$5=1,COUNTIFS($I$1487:$I$1491,"&gt;0",$I$1487:$I$1491,"&lt;"&amp;I1489)+COUNTIFS($I$1487:I1489,I1489),COUNTIFS($I$1487:$I$1491,"&gt;0",$J$1487:$J$1491,"&gt;"&amp;J1489)+COUNTIFS($I$1487:I1489,"&gt;0",$J$1487:J1489,J1489))))</x:f>
        <x:v>6</x:v>
      </x:c>
      <x:c r="P1489" s="22" t="n">
        <x:f>IF(T1489="Ready",MIN(U1489,MAX(0,G1489-SUMIFS($U$1487:$U$1491,$O$1487:$O$1491,"&lt;"&amp;O1489))),"n.a.")</x:f>
        <x:v>0</x:v>
      </x:c>
      <x:c r="Q1489" s="22" t="n">
        <x:f>IF(T1489="Ready",ROUND(N1489+P1489,2),"n.a.")</x:f>
        <x:v>0</x:v>
      </x:c>
      <x:c r="R1489" s="22" t="n">
        <x:f>IF(T1489="Ready",ROUND(Q1489-M1489,2),"n.a.")</x:f>
        <x:v>0</x:v>
      </x:c>
      <x:c r="S1489" s="22" t="n">
        <x:f>IF(T1489="Ready",MAX(0,ROUND(I1489+M1489-Q1489,2)),"n.a.")</x:f>
        <x:v>0</x:v>
      </x:c>
      <x:c r="T1489" s="22" t="str">
        <x:f>IF(AND(COUNT($I$1487:$I$1491)=5,COUNT(E1489:F1489)=2),IF(E1489&gt;=F1489,"Ready","Budget below minima"),"Check inputs")</x:f>
        <x:v>Ready</x:v>
      </x:c>
      <x:c r="U1489" s="22" t="n">
        <x:f>IF(COUNT(I1489,M1489,N1489)=3,MAX(0,ROUND(I1489+M1489-N1489,2)),"n.a.")</x:f>
        <x:v>0</x:v>
      </x:c>
    </x:row>
    <x:row r="1490" ht="22" customHeight="1">
      <x:c r="A1490" s="2"/>
      <x:c r="B1490" s="2"/>
      <x:c r="C1490" s="27" t="n">
        <x:f>297</x:f>
        <x:v>297</x:v>
      </x:c>
      <x:c r="D1490" s="28" t="n">
        <x:f>IF(ISNUMBER('Inputs'!$D$7),EDATE('Inputs'!$D$7,296),"n.a.")</x:f>
        <x:v>55335</x:v>
      </x:c>
      <x:c r="E1490" s="26" t="n">
        <x:f>IF('Inputs'!$D$9&lt;&gt;"Ready","n.a.",IF(ISNUMBER('Inputs'!E315),IF('Inputs'!E315&gt;=0,'Inputs'!E315,"n.a."),IF('Inputs'!E315="",'Inputs'!$D$6,"n.a.")))</x:f>
        <x:v>500</x:v>
      </x:c>
      <x:c r="F1490" s="22" t="n">
        <x:f>IF(COUNT($N$1487:$N$1491)=5,SUM($N$1487:$N$1491),"n.a.")</x:f>
        <x:v>0</x:v>
      </x:c>
      <x:c r="G1490" s="22" t="n">
        <x:f>IF(COUNT(E1490:F1490)=2,MAX(0,E1490-F1490),"n.a.")</x:f>
        <x:v>500</x:v>
      </x:c>
      <x:c r="H1490" s="26" t="str">
        <x:f>'Inputs'!C14</x:f>
        <x:v>Unused 4</x:v>
      </x:c>
      <x:c r="I1490" s="26" t="n">
        <x:f>S1485</x:f>
        <x:v>0</x:v>
      </x:c>
      <x:c r="J1490" s="29" t="n">
        <x:f>IF('Inputs'!$D$9="Ready",'Inputs'!E14,"n.a.")</x:f>
        <x:v>0</x:v>
      </x:c>
      <x:c r="K1490" s="26" t="n">
        <x:f>IF('Inputs'!$D$9="Ready",'Inputs'!F14,"n.a.")</x:f>
        <x:v>0</x:v>
      </x:c>
      <x:c r="L1490" s="29" t="n">
        <x:f>IF('Inputs'!$D$9="Ready",'Inputs'!G14,"n.a.")</x:f>
        <x:v>0</x:v>
      </x:c>
      <x:c r="M1490" s="22" t="n">
        <x:f>IF(COUNT(I1490:L1490)=4,ROUND(I1490*J1490/12,2),"n.a.")</x:f>
        <x:v>0</x:v>
      </x:c>
      <x:c r="N1490" s="22" t="n">
        <x:f>IF(COUNT(I1490:M1490)=5,MIN(I1490+M1490,ROUND(MAX(K1490,I1490*L1490+M1490),2)),"n.a.")</x:f>
        <x:v>0</x:v>
      </x:c>
      <x:c r="O1490" s="30" t="n">
        <x:f>IF(COUNT($I$1487:$I$1491)&lt;&gt;5,"n.a.",IF(I1490=0,6,IF('Inputs'!$D$5=1,COUNTIFS($I$1487:$I$1491,"&gt;0",$I$1487:$I$1491,"&lt;"&amp;I1490)+COUNTIFS($I$1487:I1490,I1490),COUNTIFS($I$1487:$I$1491,"&gt;0",$J$1487:$J$1491,"&gt;"&amp;J1490)+COUNTIFS($I$1487:I1490,"&gt;0",$J$1487:J1490,J1490))))</x:f>
        <x:v>6</x:v>
      </x:c>
      <x:c r="P1490" s="22" t="n">
        <x:f>IF(T1490="Ready",MIN(U1490,MAX(0,G1490-SUMIFS($U$1487:$U$1491,$O$1487:$O$1491,"&lt;"&amp;O1490))),"n.a.")</x:f>
        <x:v>0</x:v>
      </x:c>
      <x:c r="Q1490" s="22" t="n">
        <x:f>IF(T1490="Ready",ROUND(N1490+P1490,2),"n.a.")</x:f>
        <x:v>0</x:v>
      </x:c>
      <x:c r="R1490" s="22" t="n">
        <x:f>IF(T1490="Ready",ROUND(Q1490-M1490,2),"n.a.")</x:f>
        <x:v>0</x:v>
      </x:c>
      <x:c r="S1490" s="22" t="n">
        <x:f>IF(T1490="Ready",MAX(0,ROUND(I1490+M1490-Q1490,2)),"n.a.")</x:f>
        <x:v>0</x:v>
      </x:c>
      <x:c r="T1490" s="22" t="str">
        <x:f>IF(AND(COUNT($I$1487:$I$1491)=5,COUNT(E1490:F1490)=2),IF(E1490&gt;=F1490,"Ready","Budget below minima"),"Check inputs")</x:f>
        <x:v>Ready</x:v>
      </x:c>
      <x:c r="U1490" s="22" t="n">
        <x:f>IF(COUNT(I1490,M1490,N1490)=3,MAX(0,ROUND(I1490+M1490-N1490,2)),"n.a.")</x:f>
        <x:v>0</x:v>
      </x:c>
    </x:row>
    <x:row r="1491" ht="22" customHeight="1">
      <x:c r="A1491" s="2"/>
      <x:c r="B1491" s="2"/>
      <x:c r="C1491" s="27" t="n">
        <x:f>297</x:f>
        <x:v>297</x:v>
      </x:c>
      <x:c r="D1491" s="28" t="n">
        <x:f>IF(ISNUMBER('Inputs'!$D$7),EDATE('Inputs'!$D$7,296),"n.a.")</x:f>
        <x:v>55335</x:v>
      </x:c>
      <x:c r="E1491" s="26" t="n">
        <x:f>IF('Inputs'!$D$9&lt;&gt;"Ready","n.a.",IF(ISNUMBER('Inputs'!E315),IF('Inputs'!E315&gt;=0,'Inputs'!E315,"n.a."),IF('Inputs'!E315="",'Inputs'!$D$6,"n.a.")))</x:f>
        <x:v>500</x:v>
      </x:c>
      <x:c r="F1491" s="22" t="n">
        <x:f>IF(COUNT($N$1487:$N$1491)=5,SUM($N$1487:$N$1491),"n.a.")</x:f>
        <x:v>0</x:v>
      </x:c>
      <x:c r="G1491" s="22" t="n">
        <x:f>IF(COUNT(E1491:F1491)=2,MAX(0,E1491-F1491),"n.a.")</x:f>
        <x:v>500</x:v>
      </x:c>
      <x:c r="H1491" s="26" t="str">
        <x:f>'Inputs'!C15</x:f>
        <x:v>Unused 5</x:v>
      </x:c>
      <x:c r="I1491" s="26" t="n">
        <x:f>S1486</x:f>
        <x:v>0</x:v>
      </x:c>
      <x:c r="J1491" s="29" t="n">
        <x:f>IF('Inputs'!$D$9="Ready",'Inputs'!E15,"n.a.")</x:f>
        <x:v>0</x:v>
      </x:c>
      <x:c r="K1491" s="26" t="n">
        <x:f>IF('Inputs'!$D$9="Ready",'Inputs'!F15,"n.a.")</x:f>
        <x:v>0</x:v>
      </x:c>
      <x:c r="L1491" s="29" t="n">
        <x:f>IF('Inputs'!$D$9="Ready",'Inputs'!G15,"n.a.")</x:f>
        <x:v>0</x:v>
      </x:c>
      <x:c r="M1491" s="22" t="n">
        <x:f>IF(COUNT(I1491:L1491)=4,ROUND(I1491*J1491/12,2),"n.a.")</x:f>
        <x:v>0</x:v>
      </x:c>
      <x:c r="N1491" s="22" t="n">
        <x:f>IF(COUNT(I1491:M1491)=5,MIN(I1491+M1491,ROUND(MAX(K1491,I1491*L1491+M1491),2)),"n.a.")</x:f>
        <x:v>0</x:v>
      </x:c>
      <x:c r="O1491" s="30" t="n">
        <x:f>IF(COUNT($I$1487:$I$1491)&lt;&gt;5,"n.a.",IF(I1491=0,6,IF('Inputs'!$D$5=1,COUNTIFS($I$1487:$I$1491,"&gt;0",$I$1487:$I$1491,"&lt;"&amp;I1491)+COUNTIFS($I$1487:I1491,I1491),COUNTIFS($I$1487:$I$1491,"&gt;0",$J$1487:$J$1491,"&gt;"&amp;J1491)+COUNTIFS($I$1487:I1491,"&gt;0",$J$1487:J1491,J1491))))</x:f>
        <x:v>6</x:v>
      </x:c>
      <x:c r="P1491" s="22" t="n">
        <x:f>IF(T1491="Ready",MIN(U1491,MAX(0,G1491-SUMIFS($U$1487:$U$1491,$O$1487:$O$1491,"&lt;"&amp;O1491))),"n.a.")</x:f>
        <x:v>0</x:v>
      </x:c>
      <x:c r="Q1491" s="22" t="n">
        <x:f>IF(T1491="Ready",ROUND(N1491+P1491,2),"n.a.")</x:f>
        <x:v>0</x:v>
      </x:c>
      <x:c r="R1491" s="22" t="n">
        <x:f>IF(T1491="Ready",ROUND(Q1491-M1491,2),"n.a.")</x:f>
        <x:v>0</x:v>
      </x:c>
      <x:c r="S1491" s="22" t="n">
        <x:f>IF(T1491="Ready",MAX(0,ROUND(I1491+M1491-Q1491,2)),"n.a.")</x:f>
        <x:v>0</x:v>
      </x:c>
      <x:c r="T1491" s="22" t="str">
        <x:f>IF(AND(COUNT($I$1487:$I$1491)=5,COUNT(E1491:F1491)=2),IF(E1491&gt;=F1491,"Ready","Budget below minima"),"Check inputs")</x:f>
        <x:v>Ready</x:v>
      </x:c>
      <x:c r="U1491" s="22" t="n">
        <x:f>IF(COUNT(I1491,M1491,N1491)=3,MAX(0,ROUND(I1491+M1491-N1491,2)),"n.a.")</x:f>
        <x:v>0</x:v>
      </x:c>
    </x:row>
    <x:row r="1492" ht="22" customHeight="1">
      <x:c r="A1492" s="2"/>
      <x:c r="B1492" s="2"/>
      <x:c r="C1492" s="27" t="n">
        <x:f>298</x:f>
        <x:v>298</x:v>
      </x:c>
      <x:c r="D1492" s="28" t="n">
        <x:f>IF(ISNUMBER('Inputs'!$D$7),EDATE('Inputs'!$D$7,297),"n.a.")</x:f>
        <x:v>55366</x:v>
      </x:c>
      <x:c r="E1492" s="26" t="n">
        <x:f>IF('Inputs'!$D$9&lt;&gt;"Ready","n.a.",IF(ISNUMBER('Inputs'!E316),IF('Inputs'!E316&gt;=0,'Inputs'!E316,"n.a."),IF('Inputs'!E316="",'Inputs'!$D$6,"n.a.")))</x:f>
        <x:v>500</x:v>
      </x:c>
      <x:c r="F1492" s="22" t="n">
        <x:f>IF(COUNT($N$1492:$N$1496)=5,SUM($N$1492:$N$1496),"n.a.")</x:f>
        <x:v>0</x:v>
      </x:c>
      <x:c r="G1492" s="22" t="n">
        <x:f>IF(COUNT(E1492:F1492)=2,MAX(0,E1492-F1492),"n.a.")</x:f>
        <x:v>500</x:v>
      </x:c>
      <x:c r="H1492" s="26" t="str">
        <x:f>'Inputs'!C11</x:f>
        <x:v>Card A</x:v>
      </x:c>
      <x:c r="I1492" s="26" t="n">
        <x:f>S1487</x:f>
        <x:v>0</x:v>
      </x:c>
      <x:c r="J1492" s="29" t="n">
        <x:f>IF('Inputs'!$D$9="Ready",'Inputs'!E11,"n.a.")</x:f>
        <x:v>0.24</x:v>
      </x:c>
      <x:c r="K1492" s="26" t="n">
        <x:f>IF('Inputs'!$D$9="Ready",'Inputs'!F11,"n.a.")</x:f>
        <x:v>35</x:v>
      </x:c>
      <x:c r="L1492" s="29" t="n">
        <x:f>IF('Inputs'!$D$9="Ready",'Inputs'!G11,"n.a.")</x:f>
        <x:v>0.02</x:v>
      </x:c>
      <x:c r="M1492" s="22" t="n">
        <x:f>IF(COUNT(I1492:L1492)=4,ROUND(I1492*J1492/12,2),"n.a.")</x:f>
        <x:v>0</x:v>
      </x:c>
      <x:c r="N1492" s="22" t="n">
        <x:f>IF(COUNT(I1492:M1492)=5,MIN(I1492+M1492,ROUND(MAX(K1492,I1492*L1492+M1492),2)),"n.a.")</x:f>
        <x:v>0</x:v>
      </x:c>
      <x:c r="O1492" s="30" t="n">
        <x:f>IF(COUNT($I$1492:$I$1496)&lt;&gt;5,"n.a.",IF(I1492=0,6,IF('Inputs'!$D$5=1,COUNTIFS($I$1492:$I$1496,"&gt;0",$I$1492:$I$1496,"&lt;"&amp;I1492)+COUNTIFS($I$1492:I1492,I1492),COUNTIFS($I$1492:$I$1496,"&gt;0",$J$1492:$J$1496,"&gt;"&amp;J1492)+COUNTIFS($I$1492:I1492,"&gt;0",$J$1492:J1492,J1492))))</x:f>
        <x:v>6</x:v>
      </x:c>
      <x:c r="P1492" s="22" t="n">
        <x:f>IF(T1492="Ready",MIN(U1492,MAX(0,G1492-SUMIFS($U$1492:$U$1496,$O$1492:$O$1496,"&lt;"&amp;O1492))),"n.a.")</x:f>
        <x:v>0</x:v>
      </x:c>
      <x:c r="Q1492" s="22" t="n">
        <x:f>IF(T1492="Ready",ROUND(N1492+P1492,2),"n.a.")</x:f>
        <x:v>0</x:v>
      </x:c>
      <x:c r="R1492" s="22" t="n">
        <x:f>IF(T1492="Ready",ROUND(Q1492-M1492,2),"n.a.")</x:f>
        <x:v>0</x:v>
      </x:c>
      <x:c r="S1492" s="22" t="n">
        <x:f>IF(T1492="Ready",MAX(0,ROUND(I1492+M1492-Q1492,2)),"n.a.")</x:f>
        <x:v>0</x:v>
      </x:c>
      <x:c r="T1492" s="22" t="str">
        <x:f>IF(AND(COUNT($I$1492:$I$1496)=5,COUNT(E1492:F1492)=2),IF(E1492&gt;=F1492,"Ready","Budget below minima"),"Check inputs")</x:f>
        <x:v>Ready</x:v>
      </x:c>
      <x:c r="U1492" s="22" t="n">
        <x:f>IF(COUNT(I1492,M1492,N1492)=3,MAX(0,ROUND(I1492+M1492-N1492,2)),"n.a.")</x:f>
        <x:v>0</x:v>
      </x:c>
    </x:row>
    <x:row r="1493" ht="22" customHeight="1">
      <x:c r="A1493" s="2"/>
      <x:c r="B1493" s="2"/>
      <x:c r="C1493" s="27" t="n">
        <x:f>298</x:f>
        <x:v>298</x:v>
      </x:c>
      <x:c r="D1493" s="28" t="n">
        <x:f>IF(ISNUMBER('Inputs'!$D$7),EDATE('Inputs'!$D$7,297),"n.a.")</x:f>
        <x:v>55366</x:v>
      </x:c>
      <x:c r="E1493" s="26" t="n">
        <x:f>IF('Inputs'!$D$9&lt;&gt;"Ready","n.a.",IF(ISNUMBER('Inputs'!E316),IF('Inputs'!E316&gt;=0,'Inputs'!E316,"n.a."),IF('Inputs'!E316="",'Inputs'!$D$6,"n.a.")))</x:f>
        <x:v>500</x:v>
      </x:c>
      <x:c r="F1493" s="22" t="n">
        <x:f>IF(COUNT($N$1492:$N$1496)=5,SUM($N$1492:$N$1496),"n.a.")</x:f>
        <x:v>0</x:v>
      </x:c>
      <x:c r="G1493" s="22" t="n">
        <x:f>IF(COUNT(E1493:F1493)=2,MAX(0,E1493-F1493),"n.a.")</x:f>
        <x:v>500</x:v>
      </x:c>
      <x:c r="H1493" s="26" t="str">
        <x:f>'Inputs'!C12</x:f>
        <x:v>Card B</x:v>
      </x:c>
      <x:c r="I1493" s="26" t="n">
        <x:f>S1488</x:f>
        <x:v>0</x:v>
      </x:c>
      <x:c r="J1493" s="29" t="n">
        <x:f>IF('Inputs'!$D$9="Ready",'Inputs'!E12,"n.a.")</x:f>
        <x:v>0.18</x:v>
      </x:c>
      <x:c r="K1493" s="26" t="n">
        <x:f>IF('Inputs'!$D$9="Ready",'Inputs'!F12,"n.a.")</x:f>
        <x:v>60</x:v>
      </x:c>
      <x:c r="L1493" s="29" t="n">
        <x:f>IF('Inputs'!$D$9="Ready",'Inputs'!G12,"n.a.")</x:f>
        <x:v>0.02</x:v>
      </x:c>
      <x:c r="M1493" s="22" t="n">
        <x:f>IF(COUNT(I1493:L1493)=4,ROUND(I1493*J1493/12,2),"n.a.")</x:f>
        <x:v>0</x:v>
      </x:c>
      <x:c r="N1493" s="22" t="n">
        <x:f>IF(COUNT(I1493:M1493)=5,MIN(I1493+M1493,ROUND(MAX(K1493,I1493*L1493+M1493),2)),"n.a.")</x:f>
        <x:v>0</x:v>
      </x:c>
      <x:c r="O1493" s="30" t="n">
        <x:f>IF(COUNT($I$1492:$I$1496)&lt;&gt;5,"n.a.",IF(I1493=0,6,IF('Inputs'!$D$5=1,COUNTIFS($I$1492:$I$1496,"&gt;0",$I$1492:$I$1496,"&lt;"&amp;I1493)+COUNTIFS($I$1492:I1493,I1493),COUNTIFS($I$1492:$I$1496,"&gt;0",$J$1492:$J$1496,"&gt;"&amp;J1493)+COUNTIFS($I$1492:I1493,"&gt;0",$J$1492:J1493,J1493))))</x:f>
        <x:v>6</x:v>
      </x:c>
      <x:c r="P1493" s="22" t="n">
        <x:f>IF(T1493="Ready",MIN(U1493,MAX(0,G1493-SUMIFS($U$1492:$U$1496,$O$1492:$O$1496,"&lt;"&amp;O1493))),"n.a.")</x:f>
        <x:v>0</x:v>
      </x:c>
      <x:c r="Q1493" s="22" t="n">
        <x:f>IF(T1493="Ready",ROUND(N1493+P1493,2),"n.a.")</x:f>
        <x:v>0</x:v>
      </x:c>
      <x:c r="R1493" s="22" t="n">
        <x:f>IF(T1493="Ready",ROUND(Q1493-M1493,2),"n.a.")</x:f>
        <x:v>0</x:v>
      </x:c>
      <x:c r="S1493" s="22" t="n">
        <x:f>IF(T1493="Ready",MAX(0,ROUND(I1493+M1493-Q1493,2)),"n.a.")</x:f>
        <x:v>0</x:v>
      </x:c>
      <x:c r="T1493" s="22" t="str">
        <x:f>IF(AND(COUNT($I$1492:$I$1496)=5,COUNT(E1493:F1493)=2),IF(E1493&gt;=F1493,"Ready","Budget below minima"),"Check inputs")</x:f>
        <x:v>Ready</x:v>
      </x:c>
      <x:c r="U1493" s="22" t="n">
        <x:f>IF(COUNT(I1493,M1493,N1493)=3,MAX(0,ROUND(I1493+M1493-N1493,2)),"n.a.")</x:f>
        <x:v>0</x:v>
      </x:c>
    </x:row>
    <x:row r="1494" ht="22" customHeight="1">
      <x:c r="A1494" s="2"/>
      <x:c r="B1494" s="2"/>
      <x:c r="C1494" s="27" t="n">
        <x:f>298</x:f>
        <x:v>298</x:v>
      </x:c>
      <x:c r="D1494" s="28" t="n">
        <x:f>IF(ISNUMBER('Inputs'!$D$7),EDATE('Inputs'!$D$7,297),"n.a.")</x:f>
        <x:v>55366</x:v>
      </x:c>
      <x:c r="E1494" s="26" t="n">
        <x:f>IF('Inputs'!$D$9&lt;&gt;"Ready","n.a.",IF(ISNUMBER('Inputs'!E316),IF('Inputs'!E316&gt;=0,'Inputs'!E316,"n.a."),IF('Inputs'!E316="",'Inputs'!$D$6,"n.a.")))</x:f>
        <x:v>500</x:v>
      </x:c>
      <x:c r="F1494" s="22" t="n">
        <x:f>IF(COUNT($N$1492:$N$1496)=5,SUM($N$1492:$N$1496),"n.a.")</x:f>
        <x:v>0</x:v>
      </x:c>
      <x:c r="G1494" s="22" t="n">
        <x:f>IF(COUNT(E1494:F1494)=2,MAX(0,E1494-F1494),"n.a.")</x:f>
        <x:v>500</x:v>
      </x:c>
      <x:c r="H1494" s="26" t="str">
        <x:f>'Inputs'!C13</x:f>
        <x:v>Loan C</x:v>
      </x:c>
      <x:c r="I1494" s="26" t="n">
        <x:f>S1489</x:f>
        <x:v>0</x:v>
      </x:c>
      <x:c r="J1494" s="29" t="n">
        <x:f>IF('Inputs'!$D$9="Ready",'Inputs'!E13,"n.a.")</x:f>
        <x:v>0.08</x:v>
      </x:c>
      <x:c r="K1494" s="26" t="n">
        <x:f>IF('Inputs'!$D$9="Ready",'Inputs'!F13,"n.a.")</x:f>
        <x:v>150</x:v>
      </x:c>
      <x:c r="L1494" s="29" t="n">
        <x:f>IF('Inputs'!$D$9="Ready",'Inputs'!G13,"n.a.")</x:f>
        <x:v>0</x:v>
      </x:c>
      <x:c r="M1494" s="22" t="n">
        <x:f>IF(COUNT(I1494:L1494)=4,ROUND(I1494*J1494/12,2),"n.a.")</x:f>
        <x:v>0</x:v>
      </x:c>
      <x:c r="N1494" s="22" t="n">
        <x:f>IF(COUNT(I1494:M1494)=5,MIN(I1494+M1494,ROUND(MAX(K1494,I1494*L1494+M1494),2)),"n.a.")</x:f>
        <x:v>0</x:v>
      </x:c>
      <x:c r="O1494" s="30" t="n">
        <x:f>IF(COUNT($I$1492:$I$1496)&lt;&gt;5,"n.a.",IF(I1494=0,6,IF('Inputs'!$D$5=1,COUNTIFS($I$1492:$I$1496,"&gt;0",$I$1492:$I$1496,"&lt;"&amp;I1494)+COUNTIFS($I$1492:I1494,I1494),COUNTIFS($I$1492:$I$1496,"&gt;0",$J$1492:$J$1496,"&gt;"&amp;J1494)+COUNTIFS($I$1492:I1494,"&gt;0",$J$1492:J1494,J1494))))</x:f>
        <x:v>6</x:v>
      </x:c>
      <x:c r="P1494" s="22" t="n">
        <x:f>IF(T1494="Ready",MIN(U1494,MAX(0,G1494-SUMIFS($U$1492:$U$1496,$O$1492:$O$1496,"&lt;"&amp;O1494))),"n.a.")</x:f>
        <x:v>0</x:v>
      </x:c>
      <x:c r="Q1494" s="22" t="n">
        <x:f>IF(T1494="Ready",ROUND(N1494+P1494,2),"n.a.")</x:f>
        <x:v>0</x:v>
      </x:c>
      <x:c r="R1494" s="22" t="n">
        <x:f>IF(T1494="Ready",ROUND(Q1494-M1494,2),"n.a.")</x:f>
        <x:v>0</x:v>
      </x:c>
      <x:c r="S1494" s="22" t="n">
        <x:f>IF(T1494="Ready",MAX(0,ROUND(I1494+M1494-Q1494,2)),"n.a.")</x:f>
        <x:v>0</x:v>
      </x:c>
      <x:c r="T1494" s="22" t="str">
        <x:f>IF(AND(COUNT($I$1492:$I$1496)=5,COUNT(E1494:F1494)=2),IF(E1494&gt;=F1494,"Ready","Budget below minima"),"Check inputs")</x:f>
        <x:v>Ready</x:v>
      </x:c>
      <x:c r="U1494" s="22" t="n">
        <x:f>IF(COUNT(I1494,M1494,N1494)=3,MAX(0,ROUND(I1494+M1494-N1494,2)),"n.a.")</x:f>
        <x:v>0</x:v>
      </x:c>
    </x:row>
    <x:row r="1495" ht="22" customHeight="1">
      <x:c r="A1495" s="2"/>
      <x:c r="B1495" s="2"/>
      <x:c r="C1495" s="27" t="n">
        <x:f>298</x:f>
        <x:v>298</x:v>
      </x:c>
      <x:c r="D1495" s="28" t="n">
        <x:f>IF(ISNUMBER('Inputs'!$D$7),EDATE('Inputs'!$D$7,297),"n.a.")</x:f>
        <x:v>55366</x:v>
      </x:c>
      <x:c r="E1495" s="26" t="n">
        <x:f>IF('Inputs'!$D$9&lt;&gt;"Ready","n.a.",IF(ISNUMBER('Inputs'!E316),IF('Inputs'!E316&gt;=0,'Inputs'!E316,"n.a."),IF('Inputs'!E316="",'Inputs'!$D$6,"n.a.")))</x:f>
        <x:v>500</x:v>
      </x:c>
      <x:c r="F1495" s="22" t="n">
        <x:f>IF(COUNT($N$1492:$N$1496)=5,SUM($N$1492:$N$1496),"n.a.")</x:f>
        <x:v>0</x:v>
      </x:c>
      <x:c r="G1495" s="22" t="n">
        <x:f>IF(COUNT(E1495:F1495)=2,MAX(0,E1495-F1495),"n.a.")</x:f>
        <x:v>500</x:v>
      </x:c>
      <x:c r="H1495" s="26" t="str">
        <x:f>'Inputs'!C14</x:f>
        <x:v>Unused 4</x:v>
      </x:c>
      <x:c r="I1495" s="26" t="n">
        <x:f>S1490</x:f>
        <x:v>0</x:v>
      </x:c>
      <x:c r="J1495" s="29" t="n">
        <x:f>IF('Inputs'!$D$9="Ready",'Inputs'!E14,"n.a.")</x:f>
        <x:v>0</x:v>
      </x:c>
      <x:c r="K1495" s="26" t="n">
        <x:f>IF('Inputs'!$D$9="Ready",'Inputs'!F14,"n.a.")</x:f>
        <x:v>0</x:v>
      </x:c>
      <x:c r="L1495" s="29" t="n">
        <x:f>IF('Inputs'!$D$9="Ready",'Inputs'!G14,"n.a.")</x:f>
        <x:v>0</x:v>
      </x:c>
      <x:c r="M1495" s="22" t="n">
        <x:f>IF(COUNT(I1495:L1495)=4,ROUND(I1495*J1495/12,2),"n.a.")</x:f>
        <x:v>0</x:v>
      </x:c>
      <x:c r="N1495" s="22" t="n">
        <x:f>IF(COUNT(I1495:M1495)=5,MIN(I1495+M1495,ROUND(MAX(K1495,I1495*L1495+M1495),2)),"n.a.")</x:f>
        <x:v>0</x:v>
      </x:c>
      <x:c r="O1495" s="30" t="n">
        <x:f>IF(COUNT($I$1492:$I$1496)&lt;&gt;5,"n.a.",IF(I1495=0,6,IF('Inputs'!$D$5=1,COUNTIFS($I$1492:$I$1496,"&gt;0",$I$1492:$I$1496,"&lt;"&amp;I1495)+COUNTIFS($I$1492:I1495,I1495),COUNTIFS($I$1492:$I$1496,"&gt;0",$J$1492:$J$1496,"&gt;"&amp;J1495)+COUNTIFS($I$1492:I1495,"&gt;0",$J$1492:J1495,J1495))))</x:f>
        <x:v>6</x:v>
      </x:c>
      <x:c r="P1495" s="22" t="n">
        <x:f>IF(T1495="Ready",MIN(U1495,MAX(0,G1495-SUMIFS($U$1492:$U$1496,$O$1492:$O$1496,"&lt;"&amp;O1495))),"n.a.")</x:f>
        <x:v>0</x:v>
      </x:c>
      <x:c r="Q1495" s="22" t="n">
        <x:f>IF(T1495="Ready",ROUND(N1495+P1495,2),"n.a.")</x:f>
        <x:v>0</x:v>
      </x:c>
      <x:c r="R1495" s="22" t="n">
        <x:f>IF(T1495="Ready",ROUND(Q1495-M1495,2),"n.a.")</x:f>
        <x:v>0</x:v>
      </x:c>
      <x:c r="S1495" s="22" t="n">
        <x:f>IF(T1495="Ready",MAX(0,ROUND(I1495+M1495-Q1495,2)),"n.a.")</x:f>
        <x:v>0</x:v>
      </x:c>
      <x:c r="T1495" s="22" t="str">
        <x:f>IF(AND(COUNT($I$1492:$I$1496)=5,COUNT(E1495:F1495)=2),IF(E1495&gt;=F1495,"Ready","Budget below minima"),"Check inputs")</x:f>
        <x:v>Ready</x:v>
      </x:c>
      <x:c r="U1495" s="22" t="n">
        <x:f>IF(COUNT(I1495,M1495,N1495)=3,MAX(0,ROUND(I1495+M1495-N1495,2)),"n.a.")</x:f>
        <x:v>0</x:v>
      </x:c>
    </x:row>
    <x:row r="1496" ht="22" customHeight="1">
      <x:c r="A1496" s="2"/>
      <x:c r="B1496" s="2"/>
      <x:c r="C1496" s="27" t="n">
        <x:f>298</x:f>
        <x:v>298</x:v>
      </x:c>
      <x:c r="D1496" s="28" t="n">
        <x:f>IF(ISNUMBER('Inputs'!$D$7),EDATE('Inputs'!$D$7,297),"n.a.")</x:f>
        <x:v>55366</x:v>
      </x:c>
      <x:c r="E1496" s="26" t="n">
        <x:f>IF('Inputs'!$D$9&lt;&gt;"Ready","n.a.",IF(ISNUMBER('Inputs'!E316),IF('Inputs'!E316&gt;=0,'Inputs'!E316,"n.a."),IF('Inputs'!E316="",'Inputs'!$D$6,"n.a.")))</x:f>
        <x:v>500</x:v>
      </x:c>
      <x:c r="F1496" s="22" t="n">
        <x:f>IF(COUNT($N$1492:$N$1496)=5,SUM($N$1492:$N$1496),"n.a.")</x:f>
        <x:v>0</x:v>
      </x:c>
      <x:c r="G1496" s="22" t="n">
        <x:f>IF(COUNT(E1496:F1496)=2,MAX(0,E1496-F1496),"n.a.")</x:f>
        <x:v>500</x:v>
      </x:c>
      <x:c r="H1496" s="26" t="str">
        <x:f>'Inputs'!C15</x:f>
        <x:v>Unused 5</x:v>
      </x:c>
      <x:c r="I1496" s="26" t="n">
        <x:f>S1491</x:f>
        <x:v>0</x:v>
      </x:c>
      <x:c r="J1496" s="29" t="n">
        <x:f>IF('Inputs'!$D$9="Ready",'Inputs'!E15,"n.a.")</x:f>
        <x:v>0</x:v>
      </x:c>
      <x:c r="K1496" s="26" t="n">
        <x:f>IF('Inputs'!$D$9="Ready",'Inputs'!F15,"n.a.")</x:f>
        <x:v>0</x:v>
      </x:c>
      <x:c r="L1496" s="29" t="n">
        <x:f>IF('Inputs'!$D$9="Ready",'Inputs'!G15,"n.a.")</x:f>
        <x:v>0</x:v>
      </x:c>
      <x:c r="M1496" s="22" t="n">
        <x:f>IF(COUNT(I1496:L1496)=4,ROUND(I1496*J1496/12,2),"n.a.")</x:f>
        <x:v>0</x:v>
      </x:c>
      <x:c r="N1496" s="22" t="n">
        <x:f>IF(COUNT(I1496:M1496)=5,MIN(I1496+M1496,ROUND(MAX(K1496,I1496*L1496+M1496),2)),"n.a.")</x:f>
        <x:v>0</x:v>
      </x:c>
      <x:c r="O1496" s="30" t="n">
        <x:f>IF(COUNT($I$1492:$I$1496)&lt;&gt;5,"n.a.",IF(I1496=0,6,IF('Inputs'!$D$5=1,COUNTIFS($I$1492:$I$1496,"&gt;0",$I$1492:$I$1496,"&lt;"&amp;I1496)+COUNTIFS($I$1492:I1496,I1496),COUNTIFS($I$1492:$I$1496,"&gt;0",$J$1492:$J$1496,"&gt;"&amp;J1496)+COUNTIFS($I$1492:I1496,"&gt;0",$J$1492:J1496,J1496))))</x:f>
        <x:v>6</x:v>
      </x:c>
      <x:c r="P1496" s="22" t="n">
        <x:f>IF(T1496="Ready",MIN(U1496,MAX(0,G1496-SUMIFS($U$1492:$U$1496,$O$1492:$O$1496,"&lt;"&amp;O1496))),"n.a.")</x:f>
        <x:v>0</x:v>
      </x:c>
      <x:c r="Q1496" s="22" t="n">
        <x:f>IF(T1496="Ready",ROUND(N1496+P1496,2),"n.a.")</x:f>
        <x:v>0</x:v>
      </x:c>
      <x:c r="R1496" s="22" t="n">
        <x:f>IF(T1496="Ready",ROUND(Q1496-M1496,2),"n.a.")</x:f>
        <x:v>0</x:v>
      </x:c>
      <x:c r="S1496" s="22" t="n">
        <x:f>IF(T1496="Ready",MAX(0,ROUND(I1496+M1496-Q1496,2)),"n.a.")</x:f>
        <x:v>0</x:v>
      </x:c>
      <x:c r="T1496" s="22" t="str">
        <x:f>IF(AND(COUNT($I$1492:$I$1496)=5,COUNT(E1496:F1496)=2),IF(E1496&gt;=F1496,"Ready","Budget below minima"),"Check inputs")</x:f>
        <x:v>Ready</x:v>
      </x:c>
      <x:c r="U1496" s="22" t="n">
        <x:f>IF(COUNT(I1496,M1496,N1496)=3,MAX(0,ROUND(I1496+M1496-N1496,2)),"n.a.")</x:f>
        <x:v>0</x:v>
      </x:c>
    </x:row>
    <x:row r="1497" ht="22" customHeight="1">
      <x:c r="A1497" s="2"/>
      <x:c r="B1497" s="2"/>
      <x:c r="C1497" s="27" t="n">
        <x:f>299</x:f>
        <x:v>299</x:v>
      </x:c>
      <x:c r="D1497" s="28" t="n">
        <x:f>IF(ISNUMBER('Inputs'!$D$7),EDATE('Inputs'!$D$7,298),"n.a.")</x:f>
        <x:v>55397</x:v>
      </x:c>
      <x:c r="E1497" s="26" t="n">
        <x:f>IF('Inputs'!$D$9&lt;&gt;"Ready","n.a.",IF(ISNUMBER('Inputs'!E317),IF('Inputs'!E317&gt;=0,'Inputs'!E317,"n.a."),IF('Inputs'!E317="",'Inputs'!$D$6,"n.a.")))</x:f>
        <x:v>500</x:v>
      </x:c>
      <x:c r="F1497" s="22" t="n">
        <x:f>IF(COUNT($N$1497:$N$1501)=5,SUM($N$1497:$N$1501),"n.a.")</x:f>
        <x:v>0</x:v>
      </x:c>
      <x:c r="G1497" s="22" t="n">
        <x:f>IF(COUNT(E1497:F1497)=2,MAX(0,E1497-F1497),"n.a.")</x:f>
        <x:v>500</x:v>
      </x:c>
      <x:c r="H1497" s="26" t="str">
        <x:f>'Inputs'!C11</x:f>
        <x:v>Card A</x:v>
      </x:c>
      <x:c r="I1497" s="26" t="n">
        <x:f>S1492</x:f>
        <x:v>0</x:v>
      </x:c>
      <x:c r="J1497" s="29" t="n">
        <x:f>IF('Inputs'!$D$9="Ready",'Inputs'!E11,"n.a.")</x:f>
        <x:v>0.24</x:v>
      </x:c>
      <x:c r="K1497" s="26" t="n">
        <x:f>IF('Inputs'!$D$9="Ready",'Inputs'!F11,"n.a.")</x:f>
        <x:v>35</x:v>
      </x:c>
      <x:c r="L1497" s="29" t="n">
        <x:f>IF('Inputs'!$D$9="Ready",'Inputs'!G11,"n.a.")</x:f>
        <x:v>0.02</x:v>
      </x:c>
      <x:c r="M1497" s="22" t="n">
        <x:f>IF(COUNT(I1497:L1497)=4,ROUND(I1497*J1497/12,2),"n.a.")</x:f>
        <x:v>0</x:v>
      </x:c>
      <x:c r="N1497" s="22" t="n">
        <x:f>IF(COUNT(I1497:M1497)=5,MIN(I1497+M1497,ROUND(MAX(K1497,I1497*L1497+M1497),2)),"n.a.")</x:f>
        <x:v>0</x:v>
      </x:c>
      <x:c r="O1497" s="30" t="n">
        <x:f>IF(COUNT($I$1497:$I$1501)&lt;&gt;5,"n.a.",IF(I1497=0,6,IF('Inputs'!$D$5=1,COUNTIFS($I$1497:$I$1501,"&gt;0",$I$1497:$I$1501,"&lt;"&amp;I1497)+COUNTIFS($I$1497:I1497,I1497),COUNTIFS($I$1497:$I$1501,"&gt;0",$J$1497:$J$1501,"&gt;"&amp;J1497)+COUNTIFS($I$1497:I1497,"&gt;0",$J$1497:J1497,J1497))))</x:f>
        <x:v>6</x:v>
      </x:c>
      <x:c r="P1497" s="22" t="n">
        <x:f>IF(T1497="Ready",MIN(U1497,MAX(0,G1497-SUMIFS($U$1497:$U$1501,$O$1497:$O$1501,"&lt;"&amp;O1497))),"n.a.")</x:f>
        <x:v>0</x:v>
      </x:c>
      <x:c r="Q1497" s="22" t="n">
        <x:f>IF(T1497="Ready",ROUND(N1497+P1497,2),"n.a.")</x:f>
        <x:v>0</x:v>
      </x:c>
      <x:c r="R1497" s="22" t="n">
        <x:f>IF(T1497="Ready",ROUND(Q1497-M1497,2),"n.a.")</x:f>
        <x:v>0</x:v>
      </x:c>
      <x:c r="S1497" s="22" t="n">
        <x:f>IF(T1497="Ready",MAX(0,ROUND(I1497+M1497-Q1497,2)),"n.a.")</x:f>
        <x:v>0</x:v>
      </x:c>
      <x:c r="T1497" s="22" t="str">
        <x:f>IF(AND(COUNT($I$1497:$I$1501)=5,COUNT(E1497:F1497)=2),IF(E1497&gt;=F1497,"Ready","Budget below minima"),"Check inputs")</x:f>
        <x:v>Ready</x:v>
      </x:c>
      <x:c r="U1497" s="22" t="n">
        <x:f>IF(COUNT(I1497,M1497,N1497)=3,MAX(0,ROUND(I1497+M1497-N1497,2)),"n.a.")</x:f>
        <x:v>0</x:v>
      </x:c>
    </x:row>
    <x:row r="1498" ht="22" customHeight="1">
      <x:c r="A1498" s="2"/>
      <x:c r="B1498" s="2"/>
      <x:c r="C1498" s="27" t="n">
        <x:f>299</x:f>
        <x:v>299</x:v>
      </x:c>
      <x:c r="D1498" s="28" t="n">
        <x:f>IF(ISNUMBER('Inputs'!$D$7),EDATE('Inputs'!$D$7,298),"n.a.")</x:f>
        <x:v>55397</x:v>
      </x:c>
      <x:c r="E1498" s="26" t="n">
        <x:f>IF('Inputs'!$D$9&lt;&gt;"Ready","n.a.",IF(ISNUMBER('Inputs'!E317),IF('Inputs'!E317&gt;=0,'Inputs'!E317,"n.a."),IF('Inputs'!E317="",'Inputs'!$D$6,"n.a.")))</x:f>
        <x:v>500</x:v>
      </x:c>
      <x:c r="F1498" s="22" t="n">
        <x:f>IF(COUNT($N$1497:$N$1501)=5,SUM($N$1497:$N$1501),"n.a.")</x:f>
        <x:v>0</x:v>
      </x:c>
      <x:c r="G1498" s="22" t="n">
        <x:f>IF(COUNT(E1498:F1498)=2,MAX(0,E1498-F1498),"n.a.")</x:f>
        <x:v>500</x:v>
      </x:c>
      <x:c r="H1498" s="26" t="str">
        <x:f>'Inputs'!C12</x:f>
        <x:v>Card B</x:v>
      </x:c>
      <x:c r="I1498" s="26" t="n">
        <x:f>S1493</x:f>
        <x:v>0</x:v>
      </x:c>
      <x:c r="J1498" s="29" t="n">
        <x:f>IF('Inputs'!$D$9="Ready",'Inputs'!E12,"n.a.")</x:f>
        <x:v>0.18</x:v>
      </x:c>
      <x:c r="K1498" s="26" t="n">
        <x:f>IF('Inputs'!$D$9="Ready",'Inputs'!F12,"n.a.")</x:f>
        <x:v>60</x:v>
      </x:c>
      <x:c r="L1498" s="29" t="n">
        <x:f>IF('Inputs'!$D$9="Ready",'Inputs'!G12,"n.a.")</x:f>
        <x:v>0.02</x:v>
      </x:c>
      <x:c r="M1498" s="22" t="n">
        <x:f>IF(COUNT(I1498:L1498)=4,ROUND(I1498*J1498/12,2),"n.a.")</x:f>
        <x:v>0</x:v>
      </x:c>
      <x:c r="N1498" s="22" t="n">
        <x:f>IF(COUNT(I1498:M1498)=5,MIN(I1498+M1498,ROUND(MAX(K1498,I1498*L1498+M1498),2)),"n.a.")</x:f>
        <x:v>0</x:v>
      </x:c>
      <x:c r="O1498" s="30" t="n">
        <x:f>IF(COUNT($I$1497:$I$1501)&lt;&gt;5,"n.a.",IF(I1498=0,6,IF('Inputs'!$D$5=1,COUNTIFS($I$1497:$I$1501,"&gt;0",$I$1497:$I$1501,"&lt;"&amp;I1498)+COUNTIFS($I$1497:I1498,I1498),COUNTIFS($I$1497:$I$1501,"&gt;0",$J$1497:$J$1501,"&gt;"&amp;J1498)+COUNTIFS($I$1497:I1498,"&gt;0",$J$1497:J1498,J1498))))</x:f>
        <x:v>6</x:v>
      </x:c>
      <x:c r="P1498" s="22" t="n">
        <x:f>IF(T1498="Ready",MIN(U1498,MAX(0,G1498-SUMIFS($U$1497:$U$1501,$O$1497:$O$1501,"&lt;"&amp;O1498))),"n.a.")</x:f>
        <x:v>0</x:v>
      </x:c>
      <x:c r="Q1498" s="22" t="n">
        <x:f>IF(T1498="Ready",ROUND(N1498+P1498,2),"n.a.")</x:f>
        <x:v>0</x:v>
      </x:c>
      <x:c r="R1498" s="22" t="n">
        <x:f>IF(T1498="Ready",ROUND(Q1498-M1498,2),"n.a.")</x:f>
        <x:v>0</x:v>
      </x:c>
      <x:c r="S1498" s="22" t="n">
        <x:f>IF(T1498="Ready",MAX(0,ROUND(I1498+M1498-Q1498,2)),"n.a.")</x:f>
        <x:v>0</x:v>
      </x:c>
      <x:c r="T1498" s="22" t="str">
        <x:f>IF(AND(COUNT($I$1497:$I$1501)=5,COUNT(E1498:F1498)=2),IF(E1498&gt;=F1498,"Ready","Budget below minima"),"Check inputs")</x:f>
        <x:v>Ready</x:v>
      </x:c>
      <x:c r="U1498" s="22" t="n">
        <x:f>IF(COUNT(I1498,M1498,N1498)=3,MAX(0,ROUND(I1498+M1498-N1498,2)),"n.a.")</x:f>
        <x:v>0</x:v>
      </x:c>
    </x:row>
    <x:row r="1499" ht="22" customHeight="1">
      <x:c r="A1499" s="2"/>
      <x:c r="B1499" s="2"/>
      <x:c r="C1499" s="27" t="n">
        <x:f>299</x:f>
        <x:v>299</x:v>
      </x:c>
      <x:c r="D1499" s="28" t="n">
        <x:f>IF(ISNUMBER('Inputs'!$D$7),EDATE('Inputs'!$D$7,298),"n.a.")</x:f>
        <x:v>55397</x:v>
      </x:c>
      <x:c r="E1499" s="26" t="n">
        <x:f>IF('Inputs'!$D$9&lt;&gt;"Ready","n.a.",IF(ISNUMBER('Inputs'!E317),IF('Inputs'!E317&gt;=0,'Inputs'!E317,"n.a."),IF('Inputs'!E317="",'Inputs'!$D$6,"n.a.")))</x:f>
        <x:v>500</x:v>
      </x:c>
      <x:c r="F1499" s="22" t="n">
        <x:f>IF(COUNT($N$1497:$N$1501)=5,SUM($N$1497:$N$1501),"n.a.")</x:f>
        <x:v>0</x:v>
      </x:c>
      <x:c r="G1499" s="22" t="n">
        <x:f>IF(COUNT(E1499:F1499)=2,MAX(0,E1499-F1499),"n.a.")</x:f>
        <x:v>500</x:v>
      </x:c>
      <x:c r="H1499" s="26" t="str">
        <x:f>'Inputs'!C13</x:f>
        <x:v>Loan C</x:v>
      </x:c>
      <x:c r="I1499" s="26" t="n">
        <x:f>S1494</x:f>
        <x:v>0</x:v>
      </x:c>
      <x:c r="J1499" s="29" t="n">
        <x:f>IF('Inputs'!$D$9="Ready",'Inputs'!E13,"n.a.")</x:f>
        <x:v>0.08</x:v>
      </x:c>
      <x:c r="K1499" s="26" t="n">
        <x:f>IF('Inputs'!$D$9="Ready",'Inputs'!F13,"n.a.")</x:f>
        <x:v>150</x:v>
      </x:c>
      <x:c r="L1499" s="29" t="n">
        <x:f>IF('Inputs'!$D$9="Ready",'Inputs'!G13,"n.a.")</x:f>
        <x:v>0</x:v>
      </x:c>
      <x:c r="M1499" s="22" t="n">
        <x:f>IF(COUNT(I1499:L1499)=4,ROUND(I1499*J1499/12,2),"n.a.")</x:f>
        <x:v>0</x:v>
      </x:c>
      <x:c r="N1499" s="22" t="n">
        <x:f>IF(COUNT(I1499:M1499)=5,MIN(I1499+M1499,ROUND(MAX(K1499,I1499*L1499+M1499),2)),"n.a.")</x:f>
        <x:v>0</x:v>
      </x:c>
      <x:c r="O1499" s="30" t="n">
        <x:f>IF(COUNT($I$1497:$I$1501)&lt;&gt;5,"n.a.",IF(I1499=0,6,IF('Inputs'!$D$5=1,COUNTIFS($I$1497:$I$1501,"&gt;0",$I$1497:$I$1501,"&lt;"&amp;I1499)+COUNTIFS($I$1497:I1499,I1499),COUNTIFS($I$1497:$I$1501,"&gt;0",$J$1497:$J$1501,"&gt;"&amp;J1499)+COUNTIFS($I$1497:I1499,"&gt;0",$J$1497:J1499,J1499))))</x:f>
        <x:v>6</x:v>
      </x:c>
      <x:c r="P1499" s="22" t="n">
        <x:f>IF(T1499="Ready",MIN(U1499,MAX(0,G1499-SUMIFS($U$1497:$U$1501,$O$1497:$O$1501,"&lt;"&amp;O1499))),"n.a.")</x:f>
        <x:v>0</x:v>
      </x:c>
      <x:c r="Q1499" s="22" t="n">
        <x:f>IF(T1499="Ready",ROUND(N1499+P1499,2),"n.a.")</x:f>
        <x:v>0</x:v>
      </x:c>
      <x:c r="R1499" s="22" t="n">
        <x:f>IF(T1499="Ready",ROUND(Q1499-M1499,2),"n.a.")</x:f>
        <x:v>0</x:v>
      </x:c>
      <x:c r="S1499" s="22" t="n">
        <x:f>IF(T1499="Ready",MAX(0,ROUND(I1499+M1499-Q1499,2)),"n.a.")</x:f>
        <x:v>0</x:v>
      </x:c>
      <x:c r="T1499" s="22" t="str">
        <x:f>IF(AND(COUNT($I$1497:$I$1501)=5,COUNT(E1499:F1499)=2),IF(E1499&gt;=F1499,"Ready","Budget below minima"),"Check inputs")</x:f>
        <x:v>Ready</x:v>
      </x:c>
      <x:c r="U1499" s="22" t="n">
        <x:f>IF(COUNT(I1499,M1499,N1499)=3,MAX(0,ROUND(I1499+M1499-N1499,2)),"n.a.")</x:f>
        <x:v>0</x:v>
      </x:c>
    </x:row>
    <x:row r="1500" ht="22" customHeight="1">
      <x:c r="A1500" s="2"/>
      <x:c r="B1500" s="2"/>
      <x:c r="C1500" s="27" t="n">
        <x:f>299</x:f>
        <x:v>299</x:v>
      </x:c>
      <x:c r="D1500" s="28" t="n">
        <x:f>IF(ISNUMBER('Inputs'!$D$7),EDATE('Inputs'!$D$7,298),"n.a.")</x:f>
        <x:v>55397</x:v>
      </x:c>
      <x:c r="E1500" s="26" t="n">
        <x:f>IF('Inputs'!$D$9&lt;&gt;"Ready","n.a.",IF(ISNUMBER('Inputs'!E317),IF('Inputs'!E317&gt;=0,'Inputs'!E317,"n.a."),IF('Inputs'!E317="",'Inputs'!$D$6,"n.a.")))</x:f>
        <x:v>500</x:v>
      </x:c>
      <x:c r="F1500" s="22" t="n">
        <x:f>IF(COUNT($N$1497:$N$1501)=5,SUM($N$1497:$N$1501),"n.a.")</x:f>
        <x:v>0</x:v>
      </x:c>
      <x:c r="G1500" s="22" t="n">
        <x:f>IF(COUNT(E1500:F1500)=2,MAX(0,E1500-F1500),"n.a.")</x:f>
        <x:v>500</x:v>
      </x:c>
      <x:c r="H1500" s="26" t="str">
        <x:f>'Inputs'!C14</x:f>
        <x:v>Unused 4</x:v>
      </x:c>
      <x:c r="I1500" s="26" t="n">
        <x:f>S1495</x:f>
        <x:v>0</x:v>
      </x:c>
      <x:c r="J1500" s="29" t="n">
        <x:f>IF('Inputs'!$D$9="Ready",'Inputs'!E14,"n.a.")</x:f>
        <x:v>0</x:v>
      </x:c>
      <x:c r="K1500" s="26" t="n">
        <x:f>IF('Inputs'!$D$9="Ready",'Inputs'!F14,"n.a.")</x:f>
        <x:v>0</x:v>
      </x:c>
      <x:c r="L1500" s="29" t="n">
        <x:f>IF('Inputs'!$D$9="Ready",'Inputs'!G14,"n.a.")</x:f>
        <x:v>0</x:v>
      </x:c>
      <x:c r="M1500" s="22" t="n">
        <x:f>IF(COUNT(I1500:L1500)=4,ROUND(I1500*J1500/12,2),"n.a.")</x:f>
        <x:v>0</x:v>
      </x:c>
      <x:c r="N1500" s="22" t="n">
        <x:f>IF(COUNT(I1500:M1500)=5,MIN(I1500+M1500,ROUND(MAX(K1500,I1500*L1500+M1500),2)),"n.a.")</x:f>
        <x:v>0</x:v>
      </x:c>
      <x:c r="O1500" s="30" t="n">
        <x:f>IF(COUNT($I$1497:$I$1501)&lt;&gt;5,"n.a.",IF(I1500=0,6,IF('Inputs'!$D$5=1,COUNTIFS($I$1497:$I$1501,"&gt;0",$I$1497:$I$1501,"&lt;"&amp;I1500)+COUNTIFS($I$1497:I1500,I1500),COUNTIFS($I$1497:$I$1501,"&gt;0",$J$1497:$J$1501,"&gt;"&amp;J1500)+COUNTIFS($I$1497:I1500,"&gt;0",$J$1497:J1500,J1500))))</x:f>
        <x:v>6</x:v>
      </x:c>
      <x:c r="P1500" s="22" t="n">
        <x:f>IF(T1500="Ready",MIN(U1500,MAX(0,G1500-SUMIFS($U$1497:$U$1501,$O$1497:$O$1501,"&lt;"&amp;O1500))),"n.a.")</x:f>
        <x:v>0</x:v>
      </x:c>
      <x:c r="Q1500" s="22" t="n">
        <x:f>IF(T1500="Ready",ROUND(N1500+P1500,2),"n.a.")</x:f>
        <x:v>0</x:v>
      </x:c>
      <x:c r="R1500" s="22" t="n">
        <x:f>IF(T1500="Ready",ROUND(Q1500-M1500,2),"n.a.")</x:f>
        <x:v>0</x:v>
      </x:c>
      <x:c r="S1500" s="22" t="n">
        <x:f>IF(T1500="Ready",MAX(0,ROUND(I1500+M1500-Q1500,2)),"n.a.")</x:f>
        <x:v>0</x:v>
      </x:c>
      <x:c r="T1500" s="22" t="str">
        <x:f>IF(AND(COUNT($I$1497:$I$1501)=5,COUNT(E1500:F1500)=2),IF(E1500&gt;=F1500,"Ready","Budget below minima"),"Check inputs")</x:f>
        <x:v>Ready</x:v>
      </x:c>
      <x:c r="U1500" s="22" t="n">
        <x:f>IF(COUNT(I1500,M1500,N1500)=3,MAX(0,ROUND(I1500+M1500-N1500,2)),"n.a.")</x:f>
        <x:v>0</x:v>
      </x:c>
    </x:row>
    <x:row r="1501" ht="22" customHeight="1">
      <x:c r="A1501" s="2"/>
      <x:c r="B1501" s="2"/>
      <x:c r="C1501" s="27" t="n">
        <x:f>299</x:f>
        <x:v>299</x:v>
      </x:c>
      <x:c r="D1501" s="28" t="n">
        <x:f>IF(ISNUMBER('Inputs'!$D$7),EDATE('Inputs'!$D$7,298),"n.a.")</x:f>
        <x:v>55397</x:v>
      </x:c>
      <x:c r="E1501" s="26" t="n">
        <x:f>IF('Inputs'!$D$9&lt;&gt;"Ready","n.a.",IF(ISNUMBER('Inputs'!E317),IF('Inputs'!E317&gt;=0,'Inputs'!E317,"n.a."),IF('Inputs'!E317="",'Inputs'!$D$6,"n.a.")))</x:f>
        <x:v>500</x:v>
      </x:c>
      <x:c r="F1501" s="22" t="n">
        <x:f>IF(COUNT($N$1497:$N$1501)=5,SUM($N$1497:$N$1501),"n.a.")</x:f>
        <x:v>0</x:v>
      </x:c>
      <x:c r="G1501" s="22" t="n">
        <x:f>IF(COUNT(E1501:F1501)=2,MAX(0,E1501-F1501),"n.a.")</x:f>
        <x:v>500</x:v>
      </x:c>
      <x:c r="H1501" s="26" t="str">
        <x:f>'Inputs'!C15</x:f>
        <x:v>Unused 5</x:v>
      </x:c>
      <x:c r="I1501" s="26" t="n">
        <x:f>S1496</x:f>
        <x:v>0</x:v>
      </x:c>
      <x:c r="J1501" s="29" t="n">
        <x:f>IF('Inputs'!$D$9="Ready",'Inputs'!E15,"n.a.")</x:f>
        <x:v>0</x:v>
      </x:c>
      <x:c r="K1501" s="26" t="n">
        <x:f>IF('Inputs'!$D$9="Ready",'Inputs'!F15,"n.a.")</x:f>
        <x:v>0</x:v>
      </x:c>
      <x:c r="L1501" s="29" t="n">
        <x:f>IF('Inputs'!$D$9="Ready",'Inputs'!G15,"n.a.")</x:f>
        <x:v>0</x:v>
      </x:c>
      <x:c r="M1501" s="22" t="n">
        <x:f>IF(COUNT(I1501:L1501)=4,ROUND(I1501*J1501/12,2),"n.a.")</x:f>
        <x:v>0</x:v>
      </x:c>
      <x:c r="N1501" s="22" t="n">
        <x:f>IF(COUNT(I1501:M1501)=5,MIN(I1501+M1501,ROUND(MAX(K1501,I1501*L1501+M1501),2)),"n.a.")</x:f>
        <x:v>0</x:v>
      </x:c>
      <x:c r="O1501" s="30" t="n">
        <x:f>IF(COUNT($I$1497:$I$1501)&lt;&gt;5,"n.a.",IF(I1501=0,6,IF('Inputs'!$D$5=1,COUNTIFS($I$1497:$I$1501,"&gt;0",$I$1497:$I$1501,"&lt;"&amp;I1501)+COUNTIFS($I$1497:I1501,I1501),COUNTIFS($I$1497:$I$1501,"&gt;0",$J$1497:$J$1501,"&gt;"&amp;J1501)+COUNTIFS($I$1497:I1501,"&gt;0",$J$1497:J1501,J1501))))</x:f>
        <x:v>6</x:v>
      </x:c>
      <x:c r="P1501" s="22" t="n">
        <x:f>IF(T1501="Ready",MIN(U1501,MAX(0,G1501-SUMIFS($U$1497:$U$1501,$O$1497:$O$1501,"&lt;"&amp;O1501))),"n.a.")</x:f>
        <x:v>0</x:v>
      </x:c>
      <x:c r="Q1501" s="22" t="n">
        <x:f>IF(T1501="Ready",ROUND(N1501+P1501,2),"n.a.")</x:f>
        <x:v>0</x:v>
      </x:c>
      <x:c r="R1501" s="22" t="n">
        <x:f>IF(T1501="Ready",ROUND(Q1501-M1501,2),"n.a.")</x:f>
        <x:v>0</x:v>
      </x:c>
      <x:c r="S1501" s="22" t="n">
        <x:f>IF(T1501="Ready",MAX(0,ROUND(I1501+M1501-Q1501,2)),"n.a.")</x:f>
        <x:v>0</x:v>
      </x:c>
      <x:c r="T1501" s="22" t="str">
        <x:f>IF(AND(COUNT($I$1497:$I$1501)=5,COUNT(E1501:F1501)=2),IF(E1501&gt;=F1501,"Ready","Budget below minima"),"Check inputs")</x:f>
        <x:v>Ready</x:v>
      </x:c>
      <x:c r="U1501" s="22" t="n">
        <x:f>IF(COUNT(I1501,M1501,N1501)=3,MAX(0,ROUND(I1501+M1501-N1501,2)),"n.a.")</x:f>
        <x:v>0</x:v>
      </x:c>
    </x:row>
    <x:row r="1502" ht="22" customHeight="1">
      <x:c r="A1502" s="2"/>
      <x:c r="B1502" s="2"/>
      <x:c r="C1502" s="27" t="n">
        <x:f>300</x:f>
        <x:v>300</x:v>
      </x:c>
      <x:c r="D1502" s="28" t="n">
        <x:f>IF(ISNUMBER('Inputs'!$D$7),EDATE('Inputs'!$D$7,299),"n.a.")</x:f>
        <x:v>55427</x:v>
      </x:c>
      <x:c r="E1502" s="26" t="n">
        <x:f>IF('Inputs'!$D$9&lt;&gt;"Ready","n.a.",IF(ISNUMBER('Inputs'!E318),IF('Inputs'!E318&gt;=0,'Inputs'!E318,"n.a."),IF('Inputs'!E318="",'Inputs'!$D$6,"n.a.")))</x:f>
        <x:v>500</x:v>
      </x:c>
      <x:c r="F1502" s="22" t="n">
        <x:f>IF(COUNT($N$1502:$N$1506)=5,SUM($N$1502:$N$1506),"n.a.")</x:f>
        <x:v>0</x:v>
      </x:c>
      <x:c r="G1502" s="22" t="n">
        <x:f>IF(COUNT(E1502:F1502)=2,MAX(0,E1502-F1502),"n.a.")</x:f>
        <x:v>500</x:v>
      </x:c>
      <x:c r="H1502" s="26" t="str">
        <x:f>'Inputs'!C11</x:f>
        <x:v>Card A</x:v>
      </x:c>
      <x:c r="I1502" s="26" t="n">
        <x:f>S1497</x:f>
        <x:v>0</x:v>
      </x:c>
      <x:c r="J1502" s="29" t="n">
        <x:f>IF('Inputs'!$D$9="Ready",'Inputs'!E11,"n.a.")</x:f>
        <x:v>0.24</x:v>
      </x:c>
      <x:c r="K1502" s="26" t="n">
        <x:f>IF('Inputs'!$D$9="Ready",'Inputs'!F11,"n.a.")</x:f>
        <x:v>35</x:v>
      </x:c>
      <x:c r="L1502" s="29" t="n">
        <x:f>IF('Inputs'!$D$9="Ready",'Inputs'!G11,"n.a.")</x:f>
        <x:v>0.02</x:v>
      </x:c>
      <x:c r="M1502" s="22" t="n">
        <x:f>IF(COUNT(I1502:L1502)=4,ROUND(I1502*J1502/12,2),"n.a.")</x:f>
        <x:v>0</x:v>
      </x:c>
      <x:c r="N1502" s="22" t="n">
        <x:f>IF(COUNT(I1502:M1502)=5,MIN(I1502+M1502,ROUND(MAX(K1502,I1502*L1502+M1502),2)),"n.a.")</x:f>
        <x:v>0</x:v>
      </x:c>
      <x:c r="O1502" s="30" t="n">
        <x:f>IF(COUNT($I$1502:$I$1506)&lt;&gt;5,"n.a.",IF(I1502=0,6,IF('Inputs'!$D$5=1,COUNTIFS($I$1502:$I$1506,"&gt;0",$I$1502:$I$1506,"&lt;"&amp;I1502)+COUNTIFS($I$1502:I1502,I1502),COUNTIFS($I$1502:$I$1506,"&gt;0",$J$1502:$J$1506,"&gt;"&amp;J1502)+COUNTIFS($I$1502:I1502,"&gt;0",$J$1502:J1502,J1502))))</x:f>
        <x:v>6</x:v>
      </x:c>
      <x:c r="P1502" s="22" t="n">
        <x:f>IF(T1502="Ready",MIN(U1502,MAX(0,G1502-SUMIFS($U$1502:$U$1506,$O$1502:$O$1506,"&lt;"&amp;O1502))),"n.a.")</x:f>
        <x:v>0</x:v>
      </x:c>
      <x:c r="Q1502" s="22" t="n">
        <x:f>IF(T1502="Ready",ROUND(N1502+P1502,2),"n.a.")</x:f>
        <x:v>0</x:v>
      </x:c>
      <x:c r="R1502" s="22" t="n">
        <x:f>IF(T1502="Ready",ROUND(Q1502-M1502,2),"n.a.")</x:f>
        <x:v>0</x:v>
      </x:c>
      <x:c r="S1502" s="22" t="n">
        <x:f>IF(T1502="Ready",MAX(0,ROUND(I1502+M1502-Q1502,2)),"n.a.")</x:f>
        <x:v>0</x:v>
      </x:c>
      <x:c r="T1502" s="22" t="str">
        <x:f>IF(AND(COUNT($I$1502:$I$1506)=5,COUNT(E1502:F1502)=2),IF(E1502&gt;=F1502,"Ready","Budget below minima"),"Check inputs")</x:f>
        <x:v>Ready</x:v>
      </x:c>
      <x:c r="U1502" s="22" t="n">
        <x:f>IF(COUNT(I1502,M1502,N1502)=3,MAX(0,ROUND(I1502+M1502-N1502,2)),"n.a.")</x:f>
        <x:v>0</x:v>
      </x:c>
    </x:row>
    <x:row r="1503" ht="22" customHeight="1">
      <x:c r="A1503" s="2"/>
      <x:c r="B1503" s="2"/>
      <x:c r="C1503" s="27" t="n">
        <x:f>300</x:f>
        <x:v>300</x:v>
      </x:c>
      <x:c r="D1503" s="28" t="n">
        <x:f>IF(ISNUMBER('Inputs'!$D$7),EDATE('Inputs'!$D$7,299),"n.a.")</x:f>
        <x:v>55427</x:v>
      </x:c>
      <x:c r="E1503" s="26" t="n">
        <x:f>IF('Inputs'!$D$9&lt;&gt;"Ready","n.a.",IF(ISNUMBER('Inputs'!E318),IF('Inputs'!E318&gt;=0,'Inputs'!E318,"n.a."),IF('Inputs'!E318="",'Inputs'!$D$6,"n.a.")))</x:f>
        <x:v>500</x:v>
      </x:c>
      <x:c r="F1503" s="22" t="n">
        <x:f>IF(COUNT($N$1502:$N$1506)=5,SUM($N$1502:$N$1506),"n.a.")</x:f>
        <x:v>0</x:v>
      </x:c>
      <x:c r="G1503" s="22" t="n">
        <x:f>IF(COUNT(E1503:F1503)=2,MAX(0,E1503-F1503),"n.a.")</x:f>
        <x:v>500</x:v>
      </x:c>
      <x:c r="H1503" s="26" t="str">
        <x:f>'Inputs'!C12</x:f>
        <x:v>Card B</x:v>
      </x:c>
      <x:c r="I1503" s="26" t="n">
        <x:f>S1498</x:f>
        <x:v>0</x:v>
      </x:c>
      <x:c r="J1503" s="29" t="n">
        <x:f>IF('Inputs'!$D$9="Ready",'Inputs'!E12,"n.a.")</x:f>
        <x:v>0.18</x:v>
      </x:c>
      <x:c r="K1503" s="26" t="n">
        <x:f>IF('Inputs'!$D$9="Ready",'Inputs'!F12,"n.a.")</x:f>
        <x:v>60</x:v>
      </x:c>
      <x:c r="L1503" s="29" t="n">
        <x:f>IF('Inputs'!$D$9="Ready",'Inputs'!G12,"n.a.")</x:f>
        <x:v>0.02</x:v>
      </x:c>
      <x:c r="M1503" s="22" t="n">
        <x:f>IF(COUNT(I1503:L1503)=4,ROUND(I1503*J1503/12,2),"n.a.")</x:f>
        <x:v>0</x:v>
      </x:c>
      <x:c r="N1503" s="22" t="n">
        <x:f>IF(COUNT(I1503:M1503)=5,MIN(I1503+M1503,ROUND(MAX(K1503,I1503*L1503+M1503),2)),"n.a.")</x:f>
        <x:v>0</x:v>
      </x:c>
      <x:c r="O1503" s="30" t="n">
        <x:f>IF(COUNT($I$1502:$I$1506)&lt;&gt;5,"n.a.",IF(I1503=0,6,IF('Inputs'!$D$5=1,COUNTIFS($I$1502:$I$1506,"&gt;0",$I$1502:$I$1506,"&lt;"&amp;I1503)+COUNTIFS($I$1502:I1503,I1503),COUNTIFS($I$1502:$I$1506,"&gt;0",$J$1502:$J$1506,"&gt;"&amp;J1503)+COUNTIFS($I$1502:I1503,"&gt;0",$J$1502:J1503,J1503))))</x:f>
        <x:v>6</x:v>
      </x:c>
      <x:c r="P1503" s="22" t="n">
        <x:f>IF(T1503="Ready",MIN(U1503,MAX(0,G1503-SUMIFS($U$1502:$U$1506,$O$1502:$O$1506,"&lt;"&amp;O1503))),"n.a.")</x:f>
        <x:v>0</x:v>
      </x:c>
      <x:c r="Q1503" s="22" t="n">
        <x:f>IF(T1503="Ready",ROUND(N1503+P1503,2),"n.a.")</x:f>
        <x:v>0</x:v>
      </x:c>
      <x:c r="R1503" s="22" t="n">
        <x:f>IF(T1503="Ready",ROUND(Q1503-M1503,2),"n.a.")</x:f>
        <x:v>0</x:v>
      </x:c>
      <x:c r="S1503" s="22" t="n">
        <x:f>IF(T1503="Ready",MAX(0,ROUND(I1503+M1503-Q1503,2)),"n.a.")</x:f>
        <x:v>0</x:v>
      </x:c>
      <x:c r="T1503" s="22" t="str">
        <x:f>IF(AND(COUNT($I$1502:$I$1506)=5,COUNT(E1503:F1503)=2),IF(E1503&gt;=F1503,"Ready","Budget below minima"),"Check inputs")</x:f>
        <x:v>Ready</x:v>
      </x:c>
      <x:c r="U1503" s="22" t="n">
        <x:f>IF(COUNT(I1503,M1503,N1503)=3,MAX(0,ROUND(I1503+M1503-N1503,2)),"n.a.")</x:f>
        <x:v>0</x:v>
      </x:c>
    </x:row>
    <x:row r="1504" ht="22" customHeight="1">
      <x:c r="A1504" s="2"/>
      <x:c r="B1504" s="2"/>
      <x:c r="C1504" s="27" t="n">
        <x:f>300</x:f>
        <x:v>300</x:v>
      </x:c>
      <x:c r="D1504" s="28" t="n">
        <x:f>IF(ISNUMBER('Inputs'!$D$7),EDATE('Inputs'!$D$7,299),"n.a.")</x:f>
        <x:v>55427</x:v>
      </x:c>
      <x:c r="E1504" s="26" t="n">
        <x:f>IF('Inputs'!$D$9&lt;&gt;"Ready","n.a.",IF(ISNUMBER('Inputs'!E318),IF('Inputs'!E318&gt;=0,'Inputs'!E318,"n.a."),IF('Inputs'!E318="",'Inputs'!$D$6,"n.a.")))</x:f>
        <x:v>500</x:v>
      </x:c>
      <x:c r="F1504" s="22" t="n">
        <x:f>IF(COUNT($N$1502:$N$1506)=5,SUM($N$1502:$N$1506),"n.a.")</x:f>
        <x:v>0</x:v>
      </x:c>
      <x:c r="G1504" s="22" t="n">
        <x:f>IF(COUNT(E1504:F1504)=2,MAX(0,E1504-F1504),"n.a.")</x:f>
        <x:v>500</x:v>
      </x:c>
      <x:c r="H1504" s="26" t="str">
        <x:f>'Inputs'!C13</x:f>
        <x:v>Loan C</x:v>
      </x:c>
      <x:c r="I1504" s="26" t="n">
        <x:f>S1499</x:f>
        <x:v>0</x:v>
      </x:c>
      <x:c r="J1504" s="29" t="n">
        <x:f>IF('Inputs'!$D$9="Ready",'Inputs'!E13,"n.a.")</x:f>
        <x:v>0.08</x:v>
      </x:c>
      <x:c r="K1504" s="26" t="n">
        <x:f>IF('Inputs'!$D$9="Ready",'Inputs'!F13,"n.a.")</x:f>
        <x:v>150</x:v>
      </x:c>
      <x:c r="L1504" s="29" t="n">
        <x:f>IF('Inputs'!$D$9="Ready",'Inputs'!G13,"n.a.")</x:f>
        <x:v>0</x:v>
      </x:c>
      <x:c r="M1504" s="22" t="n">
        <x:f>IF(COUNT(I1504:L1504)=4,ROUND(I1504*J1504/12,2),"n.a.")</x:f>
        <x:v>0</x:v>
      </x:c>
      <x:c r="N1504" s="22" t="n">
        <x:f>IF(COUNT(I1504:M1504)=5,MIN(I1504+M1504,ROUND(MAX(K1504,I1504*L1504+M1504),2)),"n.a.")</x:f>
        <x:v>0</x:v>
      </x:c>
      <x:c r="O1504" s="30" t="n">
        <x:f>IF(COUNT($I$1502:$I$1506)&lt;&gt;5,"n.a.",IF(I1504=0,6,IF('Inputs'!$D$5=1,COUNTIFS($I$1502:$I$1506,"&gt;0",$I$1502:$I$1506,"&lt;"&amp;I1504)+COUNTIFS($I$1502:I1504,I1504),COUNTIFS($I$1502:$I$1506,"&gt;0",$J$1502:$J$1506,"&gt;"&amp;J1504)+COUNTIFS($I$1502:I1504,"&gt;0",$J$1502:J1504,J1504))))</x:f>
        <x:v>6</x:v>
      </x:c>
      <x:c r="P1504" s="22" t="n">
        <x:f>IF(T1504="Ready",MIN(U1504,MAX(0,G1504-SUMIFS($U$1502:$U$1506,$O$1502:$O$1506,"&lt;"&amp;O1504))),"n.a.")</x:f>
        <x:v>0</x:v>
      </x:c>
      <x:c r="Q1504" s="22" t="n">
        <x:f>IF(T1504="Ready",ROUND(N1504+P1504,2),"n.a.")</x:f>
        <x:v>0</x:v>
      </x:c>
      <x:c r="R1504" s="22" t="n">
        <x:f>IF(T1504="Ready",ROUND(Q1504-M1504,2),"n.a.")</x:f>
        <x:v>0</x:v>
      </x:c>
      <x:c r="S1504" s="22" t="n">
        <x:f>IF(T1504="Ready",MAX(0,ROUND(I1504+M1504-Q1504,2)),"n.a.")</x:f>
        <x:v>0</x:v>
      </x:c>
      <x:c r="T1504" s="22" t="str">
        <x:f>IF(AND(COUNT($I$1502:$I$1506)=5,COUNT(E1504:F1504)=2),IF(E1504&gt;=F1504,"Ready","Budget below minima"),"Check inputs")</x:f>
        <x:v>Ready</x:v>
      </x:c>
      <x:c r="U1504" s="22" t="n">
        <x:f>IF(COUNT(I1504,M1504,N1504)=3,MAX(0,ROUND(I1504+M1504-N1504,2)),"n.a.")</x:f>
        <x:v>0</x:v>
      </x:c>
    </x:row>
    <x:row r="1505" ht="22" customHeight="1">
      <x:c r="A1505" s="2"/>
      <x:c r="B1505" s="2"/>
      <x:c r="C1505" s="27" t="n">
        <x:f>300</x:f>
        <x:v>300</x:v>
      </x:c>
      <x:c r="D1505" s="28" t="n">
        <x:f>IF(ISNUMBER('Inputs'!$D$7),EDATE('Inputs'!$D$7,299),"n.a.")</x:f>
        <x:v>55427</x:v>
      </x:c>
      <x:c r="E1505" s="26" t="n">
        <x:f>IF('Inputs'!$D$9&lt;&gt;"Ready","n.a.",IF(ISNUMBER('Inputs'!E318),IF('Inputs'!E318&gt;=0,'Inputs'!E318,"n.a."),IF('Inputs'!E318="",'Inputs'!$D$6,"n.a.")))</x:f>
        <x:v>500</x:v>
      </x:c>
      <x:c r="F1505" s="22" t="n">
        <x:f>IF(COUNT($N$1502:$N$1506)=5,SUM($N$1502:$N$1506),"n.a.")</x:f>
        <x:v>0</x:v>
      </x:c>
      <x:c r="G1505" s="22" t="n">
        <x:f>IF(COUNT(E1505:F1505)=2,MAX(0,E1505-F1505),"n.a.")</x:f>
        <x:v>500</x:v>
      </x:c>
      <x:c r="H1505" s="26" t="str">
        <x:f>'Inputs'!C14</x:f>
        <x:v>Unused 4</x:v>
      </x:c>
      <x:c r="I1505" s="26" t="n">
        <x:f>S1500</x:f>
        <x:v>0</x:v>
      </x:c>
      <x:c r="J1505" s="29" t="n">
        <x:f>IF('Inputs'!$D$9="Ready",'Inputs'!E14,"n.a.")</x:f>
        <x:v>0</x:v>
      </x:c>
      <x:c r="K1505" s="26" t="n">
        <x:f>IF('Inputs'!$D$9="Ready",'Inputs'!F14,"n.a.")</x:f>
        <x:v>0</x:v>
      </x:c>
      <x:c r="L1505" s="29" t="n">
        <x:f>IF('Inputs'!$D$9="Ready",'Inputs'!G14,"n.a.")</x:f>
        <x:v>0</x:v>
      </x:c>
      <x:c r="M1505" s="22" t="n">
        <x:f>IF(COUNT(I1505:L1505)=4,ROUND(I1505*J1505/12,2),"n.a.")</x:f>
        <x:v>0</x:v>
      </x:c>
      <x:c r="N1505" s="22" t="n">
        <x:f>IF(COUNT(I1505:M1505)=5,MIN(I1505+M1505,ROUND(MAX(K1505,I1505*L1505+M1505),2)),"n.a.")</x:f>
        <x:v>0</x:v>
      </x:c>
      <x:c r="O1505" s="30" t="n">
        <x:f>IF(COUNT($I$1502:$I$1506)&lt;&gt;5,"n.a.",IF(I1505=0,6,IF('Inputs'!$D$5=1,COUNTIFS($I$1502:$I$1506,"&gt;0",$I$1502:$I$1506,"&lt;"&amp;I1505)+COUNTIFS($I$1502:I1505,I1505),COUNTIFS($I$1502:$I$1506,"&gt;0",$J$1502:$J$1506,"&gt;"&amp;J1505)+COUNTIFS($I$1502:I1505,"&gt;0",$J$1502:J1505,J1505))))</x:f>
        <x:v>6</x:v>
      </x:c>
      <x:c r="P1505" s="22" t="n">
        <x:f>IF(T1505="Ready",MIN(U1505,MAX(0,G1505-SUMIFS($U$1502:$U$1506,$O$1502:$O$1506,"&lt;"&amp;O1505))),"n.a.")</x:f>
        <x:v>0</x:v>
      </x:c>
      <x:c r="Q1505" s="22" t="n">
        <x:f>IF(T1505="Ready",ROUND(N1505+P1505,2),"n.a.")</x:f>
        <x:v>0</x:v>
      </x:c>
      <x:c r="R1505" s="22" t="n">
        <x:f>IF(T1505="Ready",ROUND(Q1505-M1505,2),"n.a.")</x:f>
        <x:v>0</x:v>
      </x:c>
      <x:c r="S1505" s="22" t="n">
        <x:f>IF(T1505="Ready",MAX(0,ROUND(I1505+M1505-Q1505,2)),"n.a.")</x:f>
        <x:v>0</x:v>
      </x:c>
      <x:c r="T1505" s="22" t="str">
        <x:f>IF(AND(COUNT($I$1502:$I$1506)=5,COUNT(E1505:F1505)=2),IF(E1505&gt;=F1505,"Ready","Budget below minima"),"Check inputs")</x:f>
        <x:v>Ready</x:v>
      </x:c>
      <x:c r="U1505" s="22" t="n">
        <x:f>IF(COUNT(I1505,M1505,N1505)=3,MAX(0,ROUND(I1505+M1505-N1505,2)),"n.a.")</x:f>
        <x:v>0</x:v>
      </x:c>
    </x:row>
    <x:row r="1506" ht="22" customHeight="1">
      <x:c r="A1506" s="2"/>
      <x:c r="B1506" s="2"/>
      <x:c r="C1506" s="27" t="n">
        <x:f>300</x:f>
        <x:v>300</x:v>
      </x:c>
      <x:c r="D1506" s="28" t="n">
        <x:f>IF(ISNUMBER('Inputs'!$D$7),EDATE('Inputs'!$D$7,299),"n.a.")</x:f>
        <x:v>55427</x:v>
      </x:c>
      <x:c r="E1506" s="26" t="n">
        <x:f>IF('Inputs'!$D$9&lt;&gt;"Ready","n.a.",IF(ISNUMBER('Inputs'!E318),IF('Inputs'!E318&gt;=0,'Inputs'!E318,"n.a."),IF('Inputs'!E318="",'Inputs'!$D$6,"n.a.")))</x:f>
        <x:v>500</x:v>
      </x:c>
      <x:c r="F1506" s="22" t="n">
        <x:f>IF(COUNT($N$1502:$N$1506)=5,SUM($N$1502:$N$1506),"n.a.")</x:f>
        <x:v>0</x:v>
      </x:c>
      <x:c r="G1506" s="22" t="n">
        <x:f>IF(COUNT(E1506:F1506)=2,MAX(0,E1506-F1506),"n.a.")</x:f>
        <x:v>500</x:v>
      </x:c>
      <x:c r="H1506" s="26" t="str">
        <x:f>'Inputs'!C15</x:f>
        <x:v>Unused 5</x:v>
      </x:c>
      <x:c r="I1506" s="26" t="n">
        <x:f>S1501</x:f>
        <x:v>0</x:v>
      </x:c>
      <x:c r="J1506" s="29" t="n">
        <x:f>IF('Inputs'!$D$9="Ready",'Inputs'!E15,"n.a.")</x:f>
        <x:v>0</x:v>
      </x:c>
      <x:c r="K1506" s="26" t="n">
        <x:f>IF('Inputs'!$D$9="Ready",'Inputs'!F15,"n.a.")</x:f>
        <x:v>0</x:v>
      </x:c>
      <x:c r="L1506" s="29" t="n">
        <x:f>IF('Inputs'!$D$9="Ready",'Inputs'!G15,"n.a.")</x:f>
        <x:v>0</x:v>
      </x:c>
      <x:c r="M1506" s="22" t="n">
        <x:f>IF(COUNT(I1506:L1506)=4,ROUND(I1506*J1506/12,2),"n.a.")</x:f>
        <x:v>0</x:v>
      </x:c>
      <x:c r="N1506" s="22" t="n">
        <x:f>IF(COUNT(I1506:M1506)=5,MIN(I1506+M1506,ROUND(MAX(K1506,I1506*L1506+M1506),2)),"n.a.")</x:f>
        <x:v>0</x:v>
      </x:c>
      <x:c r="O1506" s="30" t="n">
        <x:f>IF(COUNT($I$1502:$I$1506)&lt;&gt;5,"n.a.",IF(I1506=0,6,IF('Inputs'!$D$5=1,COUNTIFS($I$1502:$I$1506,"&gt;0",$I$1502:$I$1506,"&lt;"&amp;I1506)+COUNTIFS($I$1502:I1506,I1506),COUNTIFS($I$1502:$I$1506,"&gt;0",$J$1502:$J$1506,"&gt;"&amp;J1506)+COUNTIFS($I$1502:I1506,"&gt;0",$J$1502:J1506,J1506))))</x:f>
        <x:v>6</x:v>
      </x:c>
      <x:c r="P1506" s="22" t="n">
        <x:f>IF(T1506="Ready",MIN(U1506,MAX(0,G1506-SUMIFS($U$1502:$U$1506,$O$1502:$O$1506,"&lt;"&amp;O1506))),"n.a.")</x:f>
        <x:v>0</x:v>
      </x:c>
      <x:c r="Q1506" s="22" t="n">
        <x:f>IF(T1506="Ready",ROUND(N1506+P1506,2),"n.a.")</x:f>
        <x:v>0</x:v>
      </x:c>
      <x:c r="R1506" s="22" t="n">
        <x:f>IF(T1506="Ready",ROUND(Q1506-M1506,2),"n.a.")</x:f>
        <x:v>0</x:v>
      </x:c>
      <x:c r="S1506" s="22" t="n">
        <x:f>IF(T1506="Ready",MAX(0,ROUND(I1506+M1506-Q1506,2)),"n.a.")</x:f>
        <x:v>0</x:v>
      </x:c>
      <x:c r="T1506" s="22" t="str">
        <x:f>IF(AND(COUNT($I$1502:$I$1506)=5,COUNT(E1506:F1506)=2),IF(E1506&gt;=F1506,"Ready","Budget below minima"),"Check inputs")</x:f>
        <x:v>Ready</x:v>
      </x:c>
      <x:c r="U1506" s="22" t="n">
        <x:f>IF(COUNT(I1506,M1506,N1506)=3,MAX(0,ROUND(I1506+M1506-N1506,2)),"n.a.")</x:f>
        <x:v>0</x:v>
      </x:c>
    </x:row>
    <x:row r="1507" ht="22" customHeight="1">
      <x:c r="A1507" s="2"/>
      <x:c r="B1507" s="2"/>
      <x:c r="C1507" s="27" t="n">
        <x:f>301</x:f>
        <x:v>301</x:v>
      </x:c>
      <x:c r="D1507" s="28" t="n">
        <x:f>IF(ISNUMBER('Inputs'!$D$7),EDATE('Inputs'!$D$7,300),"n.a.")</x:f>
        <x:v>55458</x:v>
      </x:c>
      <x:c r="E1507" s="26" t="n">
        <x:f>IF('Inputs'!$D$9&lt;&gt;"Ready","n.a.",IF(ISNUMBER('Inputs'!E319),IF('Inputs'!E319&gt;=0,'Inputs'!E319,"n.a."),IF('Inputs'!E319="",'Inputs'!$D$6,"n.a.")))</x:f>
        <x:v>500</x:v>
      </x:c>
      <x:c r="F1507" s="22" t="n">
        <x:f>IF(COUNT($N$1507:$N$1511)=5,SUM($N$1507:$N$1511),"n.a.")</x:f>
        <x:v>0</x:v>
      </x:c>
      <x:c r="G1507" s="22" t="n">
        <x:f>IF(COUNT(E1507:F1507)=2,MAX(0,E1507-F1507),"n.a.")</x:f>
        <x:v>500</x:v>
      </x:c>
      <x:c r="H1507" s="26" t="str">
        <x:f>'Inputs'!C11</x:f>
        <x:v>Card A</x:v>
      </x:c>
      <x:c r="I1507" s="26" t="n">
        <x:f>S1502</x:f>
        <x:v>0</x:v>
      </x:c>
      <x:c r="J1507" s="29" t="n">
        <x:f>IF('Inputs'!$D$9="Ready",'Inputs'!E11,"n.a.")</x:f>
        <x:v>0.24</x:v>
      </x:c>
      <x:c r="K1507" s="26" t="n">
        <x:f>IF('Inputs'!$D$9="Ready",'Inputs'!F11,"n.a.")</x:f>
        <x:v>35</x:v>
      </x:c>
      <x:c r="L1507" s="29" t="n">
        <x:f>IF('Inputs'!$D$9="Ready",'Inputs'!G11,"n.a.")</x:f>
        <x:v>0.02</x:v>
      </x:c>
      <x:c r="M1507" s="22" t="n">
        <x:f>IF(COUNT(I1507:L1507)=4,ROUND(I1507*J1507/12,2),"n.a.")</x:f>
        <x:v>0</x:v>
      </x:c>
      <x:c r="N1507" s="22" t="n">
        <x:f>IF(COUNT(I1507:M1507)=5,MIN(I1507+M1507,ROUND(MAX(K1507,I1507*L1507+M1507),2)),"n.a.")</x:f>
        <x:v>0</x:v>
      </x:c>
      <x:c r="O1507" s="30" t="n">
        <x:f>IF(COUNT($I$1507:$I$1511)&lt;&gt;5,"n.a.",IF(I1507=0,6,IF('Inputs'!$D$5=1,COUNTIFS($I$1507:$I$1511,"&gt;0",$I$1507:$I$1511,"&lt;"&amp;I1507)+COUNTIFS($I$1507:I1507,I1507),COUNTIFS($I$1507:$I$1511,"&gt;0",$J$1507:$J$1511,"&gt;"&amp;J1507)+COUNTIFS($I$1507:I1507,"&gt;0",$J$1507:J1507,J1507))))</x:f>
        <x:v>6</x:v>
      </x:c>
      <x:c r="P1507" s="22" t="n">
        <x:f>IF(T1507="Ready",MIN(U1507,MAX(0,G1507-SUMIFS($U$1507:$U$1511,$O$1507:$O$1511,"&lt;"&amp;O1507))),"n.a.")</x:f>
        <x:v>0</x:v>
      </x:c>
      <x:c r="Q1507" s="22" t="n">
        <x:f>IF(T1507="Ready",ROUND(N1507+P1507,2),"n.a.")</x:f>
        <x:v>0</x:v>
      </x:c>
      <x:c r="R1507" s="22" t="n">
        <x:f>IF(T1507="Ready",ROUND(Q1507-M1507,2),"n.a.")</x:f>
        <x:v>0</x:v>
      </x:c>
      <x:c r="S1507" s="22" t="n">
        <x:f>IF(T1507="Ready",MAX(0,ROUND(I1507+M1507-Q1507,2)),"n.a.")</x:f>
        <x:v>0</x:v>
      </x:c>
      <x:c r="T1507" s="22" t="str">
        <x:f>IF(AND(COUNT($I$1507:$I$1511)=5,COUNT(E1507:F1507)=2),IF(E1507&gt;=F1507,"Ready","Budget below minima"),"Check inputs")</x:f>
        <x:v>Ready</x:v>
      </x:c>
      <x:c r="U1507" s="22" t="n">
        <x:f>IF(COUNT(I1507,M1507,N1507)=3,MAX(0,ROUND(I1507+M1507-N1507,2)),"n.a.")</x:f>
        <x:v>0</x:v>
      </x:c>
    </x:row>
    <x:row r="1508" ht="22" customHeight="1">
      <x:c r="A1508" s="2"/>
      <x:c r="B1508" s="2"/>
      <x:c r="C1508" s="27" t="n">
        <x:f>301</x:f>
        <x:v>301</x:v>
      </x:c>
      <x:c r="D1508" s="28" t="n">
        <x:f>IF(ISNUMBER('Inputs'!$D$7),EDATE('Inputs'!$D$7,300),"n.a.")</x:f>
        <x:v>55458</x:v>
      </x:c>
      <x:c r="E1508" s="26" t="n">
        <x:f>IF('Inputs'!$D$9&lt;&gt;"Ready","n.a.",IF(ISNUMBER('Inputs'!E319),IF('Inputs'!E319&gt;=0,'Inputs'!E319,"n.a."),IF('Inputs'!E319="",'Inputs'!$D$6,"n.a.")))</x:f>
        <x:v>500</x:v>
      </x:c>
      <x:c r="F1508" s="22" t="n">
        <x:f>IF(COUNT($N$1507:$N$1511)=5,SUM($N$1507:$N$1511),"n.a.")</x:f>
        <x:v>0</x:v>
      </x:c>
      <x:c r="G1508" s="22" t="n">
        <x:f>IF(COUNT(E1508:F1508)=2,MAX(0,E1508-F1508),"n.a.")</x:f>
        <x:v>500</x:v>
      </x:c>
      <x:c r="H1508" s="26" t="str">
        <x:f>'Inputs'!C12</x:f>
        <x:v>Card B</x:v>
      </x:c>
      <x:c r="I1508" s="26" t="n">
        <x:f>S1503</x:f>
        <x:v>0</x:v>
      </x:c>
      <x:c r="J1508" s="29" t="n">
        <x:f>IF('Inputs'!$D$9="Ready",'Inputs'!E12,"n.a.")</x:f>
        <x:v>0.18</x:v>
      </x:c>
      <x:c r="K1508" s="26" t="n">
        <x:f>IF('Inputs'!$D$9="Ready",'Inputs'!F12,"n.a.")</x:f>
        <x:v>60</x:v>
      </x:c>
      <x:c r="L1508" s="29" t="n">
        <x:f>IF('Inputs'!$D$9="Ready",'Inputs'!G12,"n.a.")</x:f>
        <x:v>0.02</x:v>
      </x:c>
      <x:c r="M1508" s="22" t="n">
        <x:f>IF(COUNT(I1508:L1508)=4,ROUND(I1508*J1508/12,2),"n.a.")</x:f>
        <x:v>0</x:v>
      </x:c>
      <x:c r="N1508" s="22" t="n">
        <x:f>IF(COUNT(I1508:M1508)=5,MIN(I1508+M1508,ROUND(MAX(K1508,I1508*L1508+M1508),2)),"n.a.")</x:f>
        <x:v>0</x:v>
      </x:c>
      <x:c r="O1508" s="30" t="n">
        <x:f>IF(COUNT($I$1507:$I$1511)&lt;&gt;5,"n.a.",IF(I1508=0,6,IF('Inputs'!$D$5=1,COUNTIFS($I$1507:$I$1511,"&gt;0",$I$1507:$I$1511,"&lt;"&amp;I1508)+COUNTIFS($I$1507:I1508,I1508),COUNTIFS($I$1507:$I$1511,"&gt;0",$J$1507:$J$1511,"&gt;"&amp;J1508)+COUNTIFS($I$1507:I1508,"&gt;0",$J$1507:J1508,J1508))))</x:f>
        <x:v>6</x:v>
      </x:c>
      <x:c r="P1508" s="22" t="n">
        <x:f>IF(T1508="Ready",MIN(U1508,MAX(0,G1508-SUMIFS($U$1507:$U$1511,$O$1507:$O$1511,"&lt;"&amp;O1508))),"n.a.")</x:f>
        <x:v>0</x:v>
      </x:c>
      <x:c r="Q1508" s="22" t="n">
        <x:f>IF(T1508="Ready",ROUND(N1508+P1508,2),"n.a.")</x:f>
        <x:v>0</x:v>
      </x:c>
      <x:c r="R1508" s="22" t="n">
        <x:f>IF(T1508="Ready",ROUND(Q1508-M1508,2),"n.a.")</x:f>
        <x:v>0</x:v>
      </x:c>
      <x:c r="S1508" s="22" t="n">
        <x:f>IF(T1508="Ready",MAX(0,ROUND(I1508+M1508-Q1508,2)),"n.a.")</x:f>
        <x:v>0</x:v>
      </x:c>
      <x:c r="T1508" s="22" t="str">
        <x:f>IF(AND(COUNT($I$1507:$I$1511)=5,COUNT(E1508:F1508)=2),IF(E1508&gt;=F1508,"Ready","Budget below minima"),"Check inputs")</x:f>
        <x:v>Ready</x:v>
      </x:c>
      <x:c r="U1508" s="22" t="n">
        <x:f>IF(COUNT(I1508,M1508,N1508)=3,MAX(0,ROUND(I1508+M1508-N1508,2)),"n.a.")</x:f>
        <x:v>0</x:v>
      </x:c>
    </x:row>
    <x:row r="1509" ht="22" customHeight="1">
      <x:c r="A1509" s="2"/>
      <x:c r="B1509" s="2"/>
      <x:c r="C1509" s="27" t="n">
        <x:f>301</x:f>
        <x:v>301</x:v>
      </x:c>
      <x:c r="D1509" s="28" t="n">
        <x:f>IF(ISNUMBER('Inputs'!$D$7),EDATE('Inputs'!$D$7,300),"n.a.")</x:f>
        <x:v>55458</x:v>
      </x:c>
      <x:c r="E1509" s="26" t="n">
        <x:f>IF('Inputs'!$D$9&lt;&gt;"Ready","n.a.",IF(ISNUMBER('Inputs'!E319),IF('Inputs'!E319&gt;=0,'Inputs'!E319,"n.a."),IF('Inputs'!E319="",'Inputs'!$D$6,"n.a.")))</x:f>
        <x:v>500</x:v>
      </x:c>
      <x:c r="F1509" s="22" t="n">
        <x:f>IF(COUNT($N$1507:$N$1511)=5,SUM($N$1507:$N$1511),"n.a.")</x:f>
        <x:v>0</x:v>
      </x:c>
      <x:c r="G1509" s="22" t="n">
        <x:f>IF(COUNT(E1509:F1509)=2,MAX(0,E1509-F1509),"n.a.")</x:f>
        <x:v>500</x:v>
      </x:c>
      <x:c r="H1509" s="26" t="str">
        <x:f>'Inputs'!C13</x:f>
        <x:v>Loan C</x:v>
      </x:c>
      <x:c r="I1509" s="26" t="n">
        <x:f>S1504</x:f>
        <x:v>0</x:v>
      </x:c>
      <x:c r="J1509" s="29" t="n">
        <x:f>IF('Inputs'!$D$9="Ready",'Inputs'!E13,"n.a.")</x:f>
        <x:v>0.08</x:v>
      </x:c>
      <x:c r="K1509" s="26" t="n">
        <x:f>IF('Inputs'!$D$9="Ready",'Inputs'!F13,"n.a.")</x:f>
        <x:v>150</x:v>
      </x:c>
      <x:c r="L1509" s="29" t="n">
        <x:f>IF('Inputs'!$D$9="Ready",'Inputs'!G13,"n.a.")</x:f>
        <x:v>0</x:v>
      </x:c>
      <x:c r="M1509" s="22" t="n">
        <x:f>IF(COUNT(I1509:L1509)=4,ROUND(I1509*J1509/12,2),"n.a.")</x:f>
        <x:v>0</x:v>
      </x:c>
      <x:c r="N1509" s="22" t="n">
        <x:f>IF(COUNT(I1509:M1509)=5,MIN(I1509+M1509,ROUND(MAX(K1509,I1509*L1509+M1509),2)),"n.a.")</x:f>
        <x:v>0</x:v>
      </x:c>
      <x:c r="O1509" s="30" t="n">
        <x:f>IF(COUNT($I$1507:$I$1511)&lt;&gt;5,"n.a.",IF(I1509=0,6,IF('Inputs'!$D$5=1,COUNTIFS($I$1507:$I$1511,"&gt;0",$I$1507:$I$1511,"&lt;"&amp;I1509)+COUNTIFS($I$1507:I1509,I1509),COUNTIFS($I$1507:$I$1511,"&gt;0",$J$1507:$J$1511,"&gt;"&amp;J1509)+COUNTIFS($I$1507:I1509,"&gt;0",$J$1507:J1509,J1509))))</x:f>
        <x:v>6</x:v>
      </x:c>
      <x:c r="P1509" s="22" t="n">
        <x:f>IF(T1509="Ready",MIN(U1509,MAX(0,G1509-SUMIFS($U$1507:$U$1511,$O$1507:$O$1511,"&lt;"&amp;O1509))),"n.a.")</x:f>
        <x:v>0</x:v>
      </x:c>
      <x:c r="Q1509" s="22" t="n">
        <x:f>IF(T1509="Ready",ROUND(N1509+P1509,2),"n.a.")</x:f>
        <x:v>0</x:v>
      </x:c>
      <x:c r="R1509" s="22" t="n">
        <x:f>IF(T1509="Ready",ROUND(Q1509-M1509,2),"n.a.")</x:f>
        <x:v>0</x:v>
      </x:c>
      <x:c r="S1509" s="22" t="n">
        <x:f>IF(T1509="Ready",MAX(0,ROUND(I1509+M1509-Q1509,2)),"n.a.")</x:f>
        <x:v>0</x:v>
      </x:c>
      <x:c r="T1509" s="22" t="str">
        <x:f>IF(AND(COUNT($I$1507:$I$1511)=5,COUNT(E1509:F1509)=2),IF(E1509&gt;=F1509,"Ready","Budget below minima"),"Check inputs")</x:f>
        <x:v>Ready</x:v>
      </x:c>
      <x:c r="U1509" s="22" t="n">
        <x:f>IF(COUNT(I1509,M1509,N1509)=3,MAX(0,ROUND(I1509+M1509-N1509,2)),"n.a.")</x:f>
        <x:v>0</x:v>
      </x:c>
    </x:row>
    <x:row r="1510" ht="22" customHeight="1">
      <x:c r="A1510" s="2"/>
      <x:c r="B1510" s="2"/>
      <x:c r="C1510" s="27" t="n">
        <x:f>301</x:f>
        <x:v>301</x:v>
      </x:c>
      <x:c r="D1510" s="28" t="n">
        <x:f>IF(ISNUMBER('Inputs'!$D$7),EDATE('Inputs'!$D$7,300),"n.a.")</x:f>
        <x:v>55458</x:v>
      </x:c>
      <x:c r="E1510" s="26" t="n">
        <x:f>IF('Inputs'!$D$9&lt;&gt;"Ready","n.a.",IF(ISNUMBER('Inputs'!E319),IF('Inputs'!E319&gt;=0,'Inputs'!E319,"n.a."),IF('Inputs'!E319="",'Inputs'!$D$6,"n.a.")))</x:f>
        <x:v>500</x:v>
      </x:c>
      <x:c r="F1510" s="22" t="n">
        <x:f>IF(COUNT($N$1507:$N$1511)=5,SUM($N$1507:$N$1511),"n.a.")</x:f>
        <x:v>0</x:v>
      </x:c>
      <x:c r="G1510" s="22" t="n">
        <x:f>IF(COUNT(E1510:F1510)=2,MAX(0,E1510-F1510),"n.a.")</x:f>
        <x:v>500</x:v>
      </x:c>
      <x:c r="H1510" s="26" t="str">
        <x:f>'Inputs'!C14</x:f>
        <x:v>Unused 4</x:v>
      </x:c>
      <x:c r="I1510" s="26" t="n">
        <x:f>S1505</x:f>
        <x:v>0</x:v>
      </x:c>
      <x:c r="J1510" s="29" t="n">
        <x:f>IF('Inputs'!$D$9="Ready",'Inputs'!E14,"n.a.")</x:f>
        <x:v>0</x:v>
      </x:c>
      <x:c r="K1510" s="26" t="n">
        <x:f>IF('Inputs'!$D$9="Ready",'Inputs'!F14,"n.a.")</x:f>
        <x:v>0</x:v>
      </x:c>
      <x:c r="L1510" s="29" t="n">
        <x:f>IF('Inputs'!$D$9="Ready",'Inputs'!G14,"n.a.")</x:f>
        <x:v>0</x:v>
      </x:c>
      <x:c r="M1510" s="22" t="n">
        <x:f>IF(COUNT(I1510:L1510)=4,ROUND(I1510*J1510/12,2),"n.a.")</x:f>
        <x:v>0</x:v>
      </x:c>
      <x:c r="N1510" s="22" t="n">
        <x:f>IF(COUNT(I1510:M1510)=5,MIN(I1510+M1510,ROUND(MAX(K1510,I1510*L1510+M1510),2)),"n.a.")</x:f>
        <x:v>0</x:v>
      </x:c>
      <x:c r="O1510" s="30" t="n">
        <x:f>IF(COUNT($I$1507:$I$1511)&lt;&gt;5,"n.a.",IF(I1510=0,6,IF('Inputs'!$D$5=1,COUNTIFS($I$1507:$I$1511,"&gt;0",$I$1507:$I$1511,"&lt;"&amp;I1510)+COUNTIFS($I$1507:I1510,I1510),COUNTIFS($I$1507:$I$1511,"&gt;0",$J$1507:$J$1511,"&gt;"&amp;J1510)+COUNTIFS($I$1507:I1510,"&gt;0",$J$1507:J1510,J1510))))</x:f>
        <x:v>6</x:v>
      </x:c>
      <x:c r="P1510" s="22" t="n">
        <x:f>IF(T1510="Ready",MIN(U1510,MAX(0,G1510-SUMIFS($U$1507:$U$1511,$O$1507:$O$1511,"&lt;"&amp;O1510))),"n.a.")</x:f>
        <x:v>0</x:v>
      </x:c>
      <x:c r="Q1510" s="22" t="n">
        <x:f>IF(T1510="Ready",ROUND(N1510+P1510,2),"n.a.")</x:f>
        <x:v>0</x:v>
      </x:c>
      <x:c r="R1510" s="22" t="n">
        <x:f>IF(T1510="Ready",ROUND(Q1510-M1510,2),"n.a.")</x:f>
        <x:v>0</x:v>
      </x:c>
      <x:c r="S1510" s="22" t="n">
        <x:f>IF(T1510="Ready",MAX(0,ROUND(I1510+M1510-Q1510,2)),"n.a.")</x:f>
        <x:v>0</x:v>
      </x:c>
      <x:c r="T1510" s="22" t="str">
        <x:f>IF(AND(COUNT($I$1507:$I$1511)=5,COUNT(E1510:F1510)=2),IF(E1510&gt;=F1510,"Ready","Budget below minima"),"Check inputs")</x:f>
        <x:v>Ready</x:v>
      </x:c>
      <x:c r="U1510" s="22" t="n">
        <x:f>IF(COUNT(I1510,M1510,N1510)=3,MAX(0,ROUND(I1510+M1510-N1510,2)),"n.a.")</x:f>
        <x:v>0</x:v>
      </x:c>
    </x:row>
    <x:row r="1511" ht="22" customHeight="1">
      <x:c r="A1511" s="2"/>
      <x:c r="B1511" s="2"/>
      <x:c r="C1511" s="27" t="n">
        <x:f>301</x:f>
        <x:v>301</x:v>
      </x:c>
      <x:c r="D1511" s="28" t="n">
        <x:f>IF(ISNUMBER('Inputs'!$D$7),EDATE('Inputs'!$D$7,300),"n.a.")</x:f>
        <x:v>55458</x:v>
      </x:c>
      <x:c r="E1511" s="26" t="n">
        <x:f>IF('Inputs'!$D$9&lt;&gt;"Ready","n.a.",IF(ISNUMBER('Inputs'!E319),IF('Inputs'!E319&gt;=0,'Inputs'!E319,"n.a."),IF('Inputs'!E319="",'Inputs'!$D$6,"n.a.")))</x:f>
        <x:v>500</x:v>
      </x:c>
      <x:c r="F1511" s="22" t="n">
        <x:f>IF(COUNT($N$1507:$N$1511)=5,SUM($N$1507:$N$1511),"n.a.")</x:f>
        <x:v>0</x:v>
      </x:c>
      <x:c r="G1511" s="22" t="n">
        <x:f>IF(COUNT(E1511:F1511)=2,MAX(0,E1511-F1511),"n.a.")</x:f>
        <x:v>500</x:v>
      </x:c>
      <x:c r="H1511" s="26" t="str">
        <x:f>'Inputs'!C15</x:f>
        <x:v>Unused 5</x:v>
      </x:c>
      <x:c r="I1511" s="26" t="n">
        <x:f>S1506</x:f>
        <x:v>0</x:v>
      </x:c>
      <x:c r="J1511" s="29" t="n">
        <x:f>IF('Inputs'!$D$9="Ready",'Inputs'!E15,"n.a.")</x:f>
        <x:v>0</x:v>
      </x:c>
      <x:c r="K1511" s="26" t="n">
        <x:f>IF('Inputs'!$D$9="Ready",'Inputs'!F15,"n.a.")</x:f>
        <x:v>0</x:v>
      </x:c>
      <x:c r="L1511" s="29" t="n">
        <x:f>IF('Inputs'!$D$9="Ready",'Inputs'!G15,"n.a.")</x:f>
        <x:v>0</x:v>
      </x:c>
      <x:c r="M1511" s="22" t="n">
        <x:f>IF(COUNT(I1511:L1511)=4,ROUND(I1511*J1511/12,2),"n.a.")</x:f>
        <x:v>0</x:v>
      </x:c>
      <x:c r="N1511" s="22" t="n">
        <x:f>IF(COUNT(I1511:M1511)=5,MIN(I1511+M1511,ROUND(MAX(K1511,I1511*L1511+M1511),2)),"n.a.")</x:f>
        <x:v>0</x:v>
      </x:c>
      <x:c r="O1511" s="30" t="n">
        <x:f>IF(COUNT($I$1507:$I$1511)&lt;&gt;5,"n.a.",IF(I1511=0,6,IF('Inputs'!$D$5=1,COUNTIFS($I$1507:$I$1511,"&gt;0",$I$1507:$I$1511,"&lt;"&amp;I1511)+COUNTIFS($I$1507:I1511,I1511),COUNTIFS($I$1507:$I$1511,"&gt;0",$J$1507:$J$1511,"&gt;"&amp;J1511)+COUNTIFS($I$1507:I1511,"&gt;0",$J$1507:J1511,J1511))))</x:f>
        <x:v>6</x:v>
      </x:c>
      <x:c r="P1511" s="22" t="n">
        <x:f>IF(T1511="Ready",MIN(U1511,MAX(0,G1511-SUMIFS($U$1507:$U$1511,$O$1507:$O$1511,"&lt;"&amp;O1511))),"n.a.")</x:f>
        <x:v>0</x:v>
      </x:c>
      <x:c r="Q1511" s="22" t="n">
        <x:f>IF(T1511="Ready",ROUND(N1511+P1511,2),"n.a.")</x:f>
        <x:v>0</x:v>
      </x:c>
      <x:c r="R1511" s="22" t="n">
        <x:f>IF(T1511="Ready",ROUND(Q1511-M1511,2),"n.a.")</x:f>
        <x:v>0</x:v>
      </x:c>
      <x:c r="S1511" s="22" t="n">
        <x:f>IF(T1511="Ready",MAX(0,ROUND(I1511+M1511-Q1511,2)),"n.a.")</x:f>
        <x:v>0</x:v>
      </x:c>
      <x:c r="T1511" s="22" t="str">
        <x:f>IF(AND(COUNT($I$1507:$I$1511)=5,COUNT(E1511:F1511)=2),IF(E1511&gt;=F1511,"Ready","Budget below minima"),"Check inputs")</x:f>
        <x:v>Ready</x:v>
      </x:c>
      <x:c r="U1511" s="22" t="n">
        <x:f>IF(COUNT(I1511,M1511,N1511)=3,MAX(0,ROUND(I1511+M1511-N1511,2)),"n.a.")</x:f>
        <x:v>0</x:v>
      </x:c>
    </x:row>
    <x:row r="1512" ht="22" customHeight="1">
      <x:c r="A1512" s="2"/>
      <x:c r="B1512" s="2"/>
      <x:c r="C1512" s="27" t="n">
        <x:f>302</x:f>
        <x:v>302</x:v>
      </x:c>
      <x:c r="D1512" s="28" t="n">
        <x:f>IF(ISNUMBER('Inputs'!$D$7),EDATE('Inputs'!$D$7,301),"n.a.")</x:f>
        <x:v>55488</x:v>
      </x:c>
      <x:c r="E1512" s="26" t="n">
        <x:f>IF('Inputs'!$D$9&lt;&gt;"Ready","n.a.",IF(ISNUMBER('Inputs'!E320),IF('Inputs'!E320&gt;=0,'Inputs'!E320,"n.a."),IF('Inputs'!E320="",'Inputs'!$D$6,"n.a.")))</x:f>
        <x:v>500</x:v>
      </x:c>
      <x:c r="F1512" s="22" t="n">
        <x:f>IF(COUNT($N$1512:$N$1516)=5,SUM($N$1512:$N$1516),"n.a.")</x:f>
        <x:v>0</x:v>
      </x:c>
      <x:c r="G1512" s="22" t="n">
        <x:f>IF(COUNT(E1512:F1512)=2,MAX(0,E1512-F1512),"n.a.")</x:f>
        <x:v>500</x:v>
      </x:c>
      <x:c r="H1512" s="26" t="str">
        <x:f>'Inputs'!C11</x:f>
        <x:v>Card A</x:v>
      </x:c>
      <x:c r="I1512" s="26" t="n">
        <x:f>S1507</x:f>
        <x:v>0</x:v>
      </x:c>
      <x:c r="J1512" s="29" t="n">
        <x:f>IF('Inputs'!$D$9="Ready",'Inputs'!E11,"n.a.")</x:f>
        <x:v>0.24</x:v>
      </x:c>
      <x:c r="K1512" s="26" t="n">
        <x:f>IF('Inputs'!$D$9="Ready",'Inputs'!F11,"n.a.")</x:f>
        <x:v>35</x:v>
      </x:c>
      <x:c r="L1512" s="29" t="n">
        <x:f>IF('Inputs'!$D$9="Ready",'Inputs'!G11,"n.a.")</x:f>
        <x:v>0.02</x:v>
      </x:c>
      <x:c r="M1512" s="22" t="n">
        <x:f>IF(COUNT(I1512:L1512)=4,ROUND(I1512*J1512/12,2),"n.a.")</x:f>
        <x:v>0</x:v>
      </x:c>
      <x:c r="N1512" s="22" t="n">
        <x:f>IF(COUNT(I1512:M1512)=5,MIN(I1512+M1512,ROUND(MAX(K1512,I1512*L1512+M1512),2)),"n.a.")</x:f>
        <x:v>0</x:v>
      </x:c>
      <x:c r="O1512" s="30" t="n">
        <x:f>IF(COUNT($I$1512:$I$1516)&lt;&gt;5,"n.a.",IF(I1512=0,6,IF('Inputs'!$D$5=1,COUNTIFS($I$1512:$I$1516,"&gt;0",$I$1512:$I$1516,"&lt;"&amp;I1512)+COUNTIFS($I$1512:I1512,I1512),COUNTIFS($I$1512:$I$1516,"&gt;0",$J$1512:$J$1516,"&gt;"&amp;J1512)+COUNTIFS($I$1512:I1512,"&gt;0",$J$1512:J1512,J1512))))</x:f>
        <x:v>6</x:v>
      </x:c>
      <x:c r="P1512" s="22" t="n">
        <x:f>IF(T1512="Ready",MIN(U1512,MAX(0,G1512-SUMIFS($U$1512:$U$1516,$O$1512:$O$1516,"&lt;"&amp;O1512))),"n.a.")</x:f>
        <x:v>0</x:v>
      </x:c>
      <x:c r="Q1512" s="22" t="n">
        <x:f>IF(T1512="Ready",ROUND(N1512+P1512,2),"n.a.")</x:f>
        <x:v>0</x:v>
      </x:c>
      <x:c r="R1512" s="22" t="n">
        <x:f>IF(T1512="Ready",ROUND(Q1512-M1512,2),"n.a.")</x:f>
        <x:v>0</x:v>
      </x:c>
      <x:c r="S1512" s="22" t="n">
        <x:f>IF(T1512="Ready",MAX(0,ROUND(I1512+M1512-Q1512,2)),"n.a.")</x:f>
        <x:v>0</x:v>
      </x:c>
      <x:c r="T1512" s="22" t="str">
        <x:f>IF(AND(COUNT($I$1512:$I$1516)=5,COUNT(E1512:F1512)=2),IF(E1512&gt;=F1512,"Ready","Budget below minima"),"Check inputs")</x:f>
        <x:v>Ready</x:v>
      </x:c>
      <x:c r="U1512" s="22" t="n">
        <x:f>IF(COUNT(I1512,M1512,N1512)=3,MAX(0,ROUND(I1512+M1512-N1512,2)),"n.a.")</x:f>
        <x:v>0</x:v>
      </x:c>
    </x:row>
    <x:row r="1513" ht="22" customHeight="1">
      <x:c r="A1513" s="2"/>
      <x:c r="B1513" s="2"/>
      <x:c r="C1513" s="27" t="n">
        <x:f>302</x:f>
        <x:v>302</x:v>
      </x:c>
      <x:c r="D1513" s="28" t="n">
        <x:f>IF(ISNUMBER('Inputs'!$D$7),EDATE('Inputs'!$D$7,301),"n.a.")</x:f>
        <x:v>55488</x:v>
      </x:c>
      <x:c r="E1513" s="26" t="n">
        <x:f>IF('Inputs'!$D$9&lt;&gt;"Ready","n.a.",IF(ISNUMBER('Inputs'!E320),IF('Inputs'!E320&gt;=0,'Inputs'!E320,"n.a."),IF('Inputs'!E320="",'Inputs'!$D$6,"n.a.")))</x:f>
        <x:v>500</x:v>
      </x:c>
      <x:c r="F1513" s="22" t="n">
        <x:f>IF(COUNT($N$1512:$N$1516)=5,SUM($N$1512:$N$1516),"n.a.")</x:f>
        <x:v>0</x:v>
      </x:c>
      <x:c r="G1513" s="22" t="n">
        <x:f>IF(COUNT(E1513:F1513)=2,MAX(0,E1513-F1513),"n.a.")</x:f>
        <x:v>500</x:v>
      </x:c>
      <x:c r="H1513" s="26" t="str">
        <x:f>'Inputs'!C12</x:f>
        <x:v>Card B</x:v>
      </x:c>
      <x:c r="I1513" s="26" t="n">
        <x:f>S1508</x:f>
        <x:v>0</x:v>
      </x:c>
      <x:c r="J1513" s="29" t="n">
        <x:f>IF('Inputs'!$D$9="Ready",'Inputs'!E12,"n.a.")</x:f>
        <x:v>0.18</x:v>
      </x:c>
      <x:c r="K1513" s="26" t="n">
        <x:f>IF('Inputs'!$D$9="Ready",'Inputs'!F12,"n.a.")</x:f>
        <x:v>60</x:v>
      </x:c>
      <x:c r="L1513" s="29" t="n">
        <x:f>IF('Inputs'!$D$9="Ready",'Inputs'!G12,"n.a.")</x:f>
        <x:v>0.02</x:v>
      </x:c>
      <x:c r="M1513" s="22" t="n">
        <x:f>IF(COUNT(I1513:L1513)=4,ROUND(I1513*J1513/12,2),"n.a.")</x:f>
        <x:v>0</x:v>
      </x:c>
      <x:c r="N1513" s="22" t="n">
        <x:f>IF(COUNT(I1513:M1513)=5,MIN(I1513+M1513,ROUND(MAX(K1513,I1513*L1513+M1513),2)),"n.a.")</x:f>
        <x:v>0</x:v>
      </x:c>
      <x:c r="O1513" s="30" t="n">
        <x:f>IF(COUNT($I$1512:$I$1516)&lt;&gt;5,"n.a.",IF(I1513=0,6,IF('Inputs'!$D$5=1,COUNTIFS($I$1512:$I$1516,"&gt;0",$I$1512:$I$1516,"&lt;"&amp;I1513)+COUNTIFS($I$1512:I1513,I1513),COUNTIFS($I$1512:$I$1516,"&gt;0",$J$1512:$J$1516,"&gt;"&amp;J1513)+COUNTIFS($I$1512:I1513,"&gt;0",$J$1512:J1513,J1513))))</x:f>
        <x:v>6</x:v>
      </x:c>
      <x:c r="P1513" s="22" t="n">
        <x:f>IF(T1513="Ready",MIN(U1513,MAX(0,G1513-SUMIFS($U$1512:$U$1516,$O$1512:$O$1516,"&lt;"&amp;O1513))),"n.a.")</x:f>
        <x:v>0</x:v>
      </x:c>
      <x:c r="Q1513" s="22" t="n">
        <x:f>IF(T1513="Ready",ROUND(N1513+P1513,2),"n.a.")</x:f>
        <x:v>0</x:v>
      </x:c>
      <x:c r="R1513" s="22" t="n">
        <x:f>IF(T1513="Ready",ROUND(Q1513-M1513,2),"n.a.")</x:f>
        <x:v>0</x:v>
      </x:c>
      <x:c r="S1513" s="22" t="n">
        <x:f>IF(T1513="Ready",MAX(0,ROUND(I1513+M1513-Q1513,2)),"n.a.")</x:f>
        <x:v>0</x:v>
      </x:c>
      <x:c r="T1513" s="22" t="str">
        <x:f>IF(AND(COUNT($I$1512:$I$1516)=5,COUNT(E1513:F1513)=2),IF(E1513&gt;=F1513,"Ready","Budget below minima"),"Check inputs")</x:f>
        <x:v>Ready</x:v>
      </x:c>
      <x:c r="U1513" s="22" t="n">
        <x:f>IF(COUNT(I1513,M1513,N1513)=3,MAX(0,ROUND(I1513+M1513-N1513,2)),"n.a.")</x:f>
        <x:v>0</x:v>
      </x:c>
    </x:row>
    <x:row r="1514" ht="22" customHeight="1">
      <x:c r="A1514" s="2"/>
      <x:c r="B1514" s="2"/>
      <x:c r="C1514" s="27" t="n">
        <x:f>302</x:f>
        <x:v>302</x:v>
      </x:c>
      <x:c r="D1514" s="28" t="n">
        <x:f>IF(ISNUMBER('Inputs'!$D$7),EDATE('Inputs'!$D$7,301),"n.a.")</x:f>
        <x:v>55488</x:v>
      </x:c>
      <x:c r="E1514" s="26" t="n">
        <x:f>IF('Inputs'!$D$9&lt;&gt;"Ready","n.a.",IF(ISNUMBER('Inputs'!E320),IF('Inputs'!E320&gt;=0,'Inputs'!E320,"n.a."),IF('Inputs'!E320="",'Inputs'!$D$6,"n.a.")))</x:f>
        <x:v>500</x:v>
      </x:c>
      <x:c r="F1514" s="22" t="n">
        <x:f>IF(COUNT($N$1512:$N$1516)=5,SUM($N$1512:$N$1516),"n.a.")</x:f>
        <x:v>0</x:v>
      </x:c>
      <x:c r="G1514" s="22" t="n">
        <x:f>IF(COUNT(E1514:F1514)=2,MAX(0,E1514-F1514),"n.a.")</x:f>
        <x:v>500</x:v>
      </x:c>
      <x:c r="H1514" s="26" t="str">
        <x:f>'Inputs'!C13</x:f>
        <x:v>Loan C</x:v>
      </x:c>
      <x:c r="I1514" s="26" t="n">
        <x:f>S1509</x:f>
        <x:v>0</x:v>
      </x:c>
      <x:c r="J1514" s="29" t="n">
        <x:f>IF('Inputs'!$D$9="Ready",'Inputs'!E13,"n.a.")</x:f>
        <x:v>0.08</x:v>
      </x:c>
      <x:c r="K1514" s="26" t="n">
        <x:f>IF('Inputs'!$D$9="Ready",'Inputs'!F13,"n.a.")</x:f>
        <x:v>150</x:v>
      </x:c>
      <x:c r="L1514" s="29" t="n">
        <x:f>IF('Inputs'!$D$9="Ready",'Inputs'!G13,"n.a.")</x:f>
        <x:v>0</x:v>
      </x:c>
      <x:c r="M1514" s="22" t="n">
        <x:f>IF(COUNT(I1514:L1514)=4,ROUND(I1514*J1514/12,2),"n.a.")</x:f>
        <x:v>0</x:v>
      </x:c>
      <x:c r="N1514" s="22" t="n">
        <x:f>IF(COUNT(I1514:M1514)=5,MIN(I1514+M1514,ROUND(MAX(K1514,I1514*L1514+M1514),2)),"n.a.")</x:f>
        <x:v>0</x:v>
      </x:c>
      <x:c r="O1514" s="30" t="n">
        <x:f>IF(COUNT($I$1512:$I$1516)&lt;&gt;5,"n.a.",IF(I1514=0,6,IF('Inputs'!$D$5=1,COUNTIFS($I$1512:$I$1516,"&gt;0",$I$1512:$I$1516,"&lt;"&amp;I1514)+COUNTIFS($I$1512:I1514,I1514),COUNTIFS($I$1512:$I$1516,"&gt;0",$J$1512:$J$1516,"&gt;"&amp;J1514)+COUNTIFS($I$1512:I1514,"&gt;0",$J$1512:J1514,J1514))))</x:f>
        <x:v>6</x:v>
      </x:c>
      <x:c r="P1514" s="22" t="n">
        <x:f>IF(T1514="Ready",MIN(U1514,MAX(0,G1514-SUMIFS($U$1512:$U$1516,$O$1512:$O$1516,"&lt;"&amp;O1514))),"n.a.")</x:f>
        <x:v>0</x:v>
      </x:c>
      <x:c r="Q1514" s="22" t="n">
        <x:f>IF(T1514="Ready",ROUND(N1514+P1514,2),"n.a.")</x:f>
        <x:v>0</x:v>
      </x:c>
      <x:c r="R1514" s="22" t="n">
        <x:f>IF(T1514="Ready",ROUND(Q1514-M1514,2),"n.a.")</x:f>
        <x:v>0</x:v>
      </x:c>
      <x:c r="S1514" s="22" t="n">
        <x:f>IF(T1514="Ready",MAX(0,ROUND(I1514+M1514-Q1514,2)),"n.a.")</x:f>
        <x:v>0</x:v>
      </x:c>
      <x:c r="T1514" s="22" t="str">
        <x:f>IF(AND(COUNT($I$1512:$I$1516)=5,COUNT(E1514:F1514)=2),IF(E1514&gt;=F1514,"Ready","Budget below minima"),"Check inputs")</x:f>
        <x:v>Ready</x:v>
      </x:c>
      <x:c r="U1514" s="22" t="n">
        <x:f>IF(COUNT(I1514,M1514,N1514)=3,MAX(0,ROUND(I1514+M1514-N1514,2)),"n.a.")</x:f>
        <x:v>0</x:v>
      </x:c>
    </x:row>
    <x:row r="1515" ht="22" customHeight="1">
      <x:c r="A1515" s="2"/>
      <x:c r="B1515" s="2"/>
      <x:c r="C1515" s="27" t="n">
        <x:f>302</x:f>
        <x:v>302</x:v>
      </x:c>
      <x:c r="D1515" s="28" t="n">
        <x:f>IF(ISNUMBER('Inputs'!$D$7),EDATE('Inputs'!$D$7,301),"n.a.")</x:f>
        <x:v>55488</x:v>
      </x:c>
      <x:c r="E1515" s="26" t="n">
        <x:f>IF('Inputs'!$D$9&lt;&gt;"Ready","n.a.",IF(ISNUMBER('Inputs'!E320),IF('Inputs'!E320&gt;=0,'Inputs'!E320,"n.a."),IF('Inputs'!E320="",'Inputs'!$D$6,"n.a.")))</x:f>
        <x:v>500</x:v>
      </x:c>
      <x:c r="F1515" s="22" t="n">
        <x:f>IF(COUNT($N$1512:$N$1516)=5,SUM($N$1512:$N$1516),"n.a.")</x:f>
        <x:v>0</x:v>
      </x:c>
      <x:c r="G1515" s="22" t="n">
        <x:f>IF(COUNT(E1515:F1515)=2,MAX(0,E1515-F1515),"n.a.")</x:f>
        <x:v>500</x:v>
      </x:c>
      <x:c r="H1515" s="26" t="str">
        <x:f>'Inputs'!C14</x:f>
        <x:v>Unused 4</x:v>
      </x:c>
      <x:c r="I1515" s="26" t="n">
        <x:f>S1510</x:f>
        <x:v>0</x:v>
      </x:c>
      <x:c r="J1515" s="29" t="n">
        <x:f>IF('Inputs'!$D$9="Ready",'Inputs'!E14,"n.a.")</x:f>
        <x:v>0</x:v>
      </x:c>
      <x:c r="K1515" s="26" t="n">
        <x:f>IF('Inputs'!$D$9="Ready",'Inputs'!F14,"n.a.")</x:f>
        <x:v>0</x:v>
      </x:c>
      <x:c r="L1515" s="29" t="n">
        <x:f>IF('Inputs'!$D$9="Ready",'Inputs'!G14,"n.a.")</x:f>
        <x:v>0</x:v>
      </x:c>
      <x:c r="M1515" s="22" t="n">
        <x:f>IF(COUNT(I1515:L1515)=4,ROUND(I1515*J1515/12,2),"n.a.")</x:f>
        <x:v>0</x:v>
      </x:c>
      <x:c r="N1515" s="22" t="n">
        <x:f>IF(COUNT(I1515:M1515)=5,MIN(I1515+M1515,ROUND(MAX(K1515,I1515*L1515+M1515),2)),"n.a.")</x:f>
        <x:v>0</x:v>
      </x:c>
      <x:c r="O1515" s="30" t="n">
        <x:f>IF(COUNT($I$1512:$I$1516)&lt;&gt;5,"n.a.",IF(I1515=0,6,IF('Inputs'!$D$5=1,COUNTIFS($I$1512:$I$1516,"&gt;0",$I$1512:$I$1516,"&lt;"&amp;I1515)+COUNTIFS($I$1512:I1515,I1515),COUNTIFS($I$1512:$I$1516,"&gt;0",$J$1512:$J$1516,"&gt;"&amp;J1515)+COUNTIFS($I$1512:I1515,"&gt;0",$J$1512:J1515,J1515))))</x:f>
        <x:v>6</x:v>
      </x:c>
      <x:c r="P1515" s="22" t="n">
        <x:f>IF(T1515="Ready",MIN(U1515,MAX(0,G1515-SUMIFS($U$1512:$U$1516,$O$1512:$O$1516,"&lt;"&amp;O1515))),"n.a.")</x:f>
        <x:v>0</x:v>
      </x:c>
      <x:c r="Q1515" s="22" t="n">
        <x:f>IF(T1515="Ready",ROUND(N1515+P1515,2),"n.a.")</x:f>
        <x:v>0</x:v>
      </x:c>
      <x:c r="R1515" s="22" t="n">
        <x:f>IF(T1515="Ready",ROUND(Q1515-M1515,2),"n.a.")</x:f>
        <x:v>0</x:v>
      </x:c>
      <x:c r="S1515" s="22" t="n">
        <x:f>IF(T1515="Ready",MAX(0,ROUND(I1515+M1515-Q1515,2)),"n.a.")</x:f>
        <x:v>0</x:v>
      </x:c>
      <x:c r="T1515" s="22" t="str">
        <x:f>IF(AND(COUNT($I$1512:$I$1516)=5,COUNT(E1515:F1515)=2),IF(E1515&gt;=F1515,"Ready","Budget below minima"),"Check inputs")</x:f>
        <x:v>Ready</x:v>
      </x:c>
      <x:c r="U1515" s="22" t="n">
        <x:f>IF(COUNT(I1515,M1515,N1515)=3,MAX(0,ROUND(I1515+M1515-N1515,2)),"n.a.")</x:f>
        <x:v>0</x:v>
      </x:c>
    </x:row>
    <x:row r="1516" ht="22" customHeight="1">
      <x:c r="A1516" s="2"/>
      <x:c r="B1516" s="2"/>
      <x:c r="C1516" s="27" t="n">
        <x:f>302</x:f>
        <x:v>302</x:v>
      </x:c>
      <x:c r="D1516" s="28" t="n">
        <x:f>IF(ISNUMBER('Inputs'!$D$7),EDATE('Inputs'!$D$7,301),"n.a.")</x:f>
        <x:v>55488</x:v>
      </x:c>
      <x:c r="E1516" s="26" t="n">
        <x:f>IF('Inputs'!$D$9&lt;&gt;"Ready","n.a.",IF(ISNUMBER('Inputs'!E320),IF('Inputs'!E320&gt;=0,'Inputs'!E320,"n.a."),IF('Inputs'!E320="",'Inputs'!$D$6,"n.a.")))</x:f>
        <x:v>500</x:v>
      </x:c>
      <x:c r="F1516" s="22" t="n">
        <x:f>IF(COUNT($N$1512:$N$1516)=5,SUM($N$1512:$N$1516),"n.a.")</x:f>
        <x:v>0</x:v>
      </x:c>
      <x:c r="G1516" s="22" t="n">
        <x:f>IF(COUNT(E1516:F1516)=2,MAX(0,E1516-F1516),"n.a.")</x:f>
        <x:v>500</x:v>
      </x:c>
      <x:c r="H1516" s="26" t="str">
        <x:f>'Inputs'!C15</x:f>
        <x:v>Unused 5</x:v>
      </x:c>
      <x:c r="I1516" s="26" t="n">
        <x:f>S1511</x:f>
        <x:v>0</x:v>
      </x:c>
      <x:c r="J1516" s="29" t="n">
        <x:f>IF('Inputs'!$D$9="Ready",'Inputs'!E15,"n.a.")</x:f>
        <x:v>0</x:v>
      </x:c>
      <x:c r="K1516" s="26" t="n">
        <x:f>IF('Inputs'!$D$9="Ready",'Inputs'!F15,"n.a.")</x:f>
        <x:v>0</x:v>
      </x:c>
      <x:c r="L1516" s="29" t="n">
        <x:f>IF('Inputs'!$D$9="Ready",'Inputs'!G15,"n.a.")</x:f>
        <x:v>0</x:v>
      </x:c>
      <x:c r="M1516" s="22" t="n">
        <x:f>IF(COUNT(I1516:L1516)=4,ROUND(I1516*J1516/12,2),"n.a.")</x:f>
        <x:v>0</x:v>
      </x:c>
      <x:c r="N1516" s="22" t="n">
        <x:f>IF(COUNT(I1516:M1516)=5,MIN(I1516+M1516,ROUND(MAX(K1516,I1516*L1516+M1516),2)),"n.a.")</x:f>
        <x:v>0</x:v>
      </x:c>
      <x:c r="O1516" s="30" t="n">
        <x:f>IF(COUNT($I$1512:$I$1516)&lt;&gt;5,"n.a.",IF(I1516=0,6,IF('Inputs'!$D$5=1,COUNTIFS($I$1512:$I$1516,"&gt;0",$I$1512:$I$1516,"&lt;"&amp;I1516)+COUNTIFS($I$1512:I1516,I1516),COUNTIFS($I$1512:$I$1516,"&gt;0",$J$1512:$J$1516,"&gt;"&amp;J1516)+COUNTIFS($I$1512:I1516,"&gt;0",$J$1512:J1516,J1516))))</x:f>
        <x:v>6</x:v>
      </x:c>
      <x:c r="P1516" s="22" t="n">
        <x:f>IF(T1516="Ready",MIN(U1516,MAX(0,G1516-SUMIFS($U$1512:$U$1516,$O$1512:$O$1516,"&lt;"&amp;O1516))),"n.a.")</x:f>
        <x:v>0</x:v>
      </x:c>
      <x:c r="Q1516" s="22" t="n">
        <x:f>IF(T1516="Ready",ROUND(N1516+P1516,2),"n.a.")</x:f>
        <x:v>0</x:v>
      </x:c>
      <x:c r="R1516" s="22" t="n">
        <x:f>IF(T1516="Ready",ROUND(Q1516-M1516,2),"n.a.")</x:f>
        <x:v>0</x:v>
      </x:c>
      <x:c r="S1516" s="22" t="n">
        <x:f>IF(T1516="Ready",MAX(0,ROUND(I1516+M1516-Q1516,2)),"n.a.")</x:f>
        <x:v>0</x:v>
      </x:c>
      <x:c r="T1516" s="22" t="str">
        <x:f>IF(AND(COUNT($I$1512:$I$1516)=5,COUNT(E1516:F1516)=2),IF(E1516&gt;=F1516,"Ready","Budget below minima"),"Check inputs")</x:f>
        <x:v>Ready</x:v>
      </x:c>
      <x:c r="U1516" s="22" t="n">
        <x:f>IF(COUNT(I1516,M1516,N1516)=3,MAX(0,ROUND(I1516+M1516-N1516,2)),"n.a.")</x:f>
        <x:v>0</x:v>
      </x:c>
    </x:row>
    <x:row r="1517" ht="22" customHeight="1">
      <x:c r="A1517" s="2"/>
      <x:c r="B1517" s="2"/>
      <x:c r="C1517" s="27" t="n">
        <x:f>303</x:f>
        <x:v>303</x:v>
      </x:c>
      <x:c r="D1517" s="28" t="n">
        <x:f>IF(ISNUMBER('Inputs'!$D$7),EDATE('Inputs'!$D$7,302),"n.a.")</x:f>
        <x:v>55519</x:v>
      </x:c>
      <x:c r="E1517" s="26" t="n">
        <x:f>IF('Inputs'!$D$9&lt;&gt;"Ready","n.a.",IF(ISNUMBER('Inputs'!E321),IF('Inputs'!E321&gt;=0,'Inputs'!E321,"n.a."),IF('Inputs'!E321="",'Inputs'!$D$6,"n.a.")))</x:f>
        <x:v>500</x:v>
      </x:c>
      <x:c r="F1517" s="22" t="n">
        <x:f>IF(COUNT($N$1517:$N$1521)=5,SUM($N$1517:$N$1521),"n.a.")</x:f>
        <x:v>0</x:v>
      </x:c>
      <x:c r="G1517" s="22" t="n">
        <x:f>IF(COUNT(E1517:F1517)=2,MAX(0,E1517-F1517),"n.a.")</x:f>
        <x:v>500</x:v>
      </x:c>
      <x:c r="H1517" s="26" t="str">
        <x:f>'Inputs'!C11</x:f>
        <x:v>Card A</x:v>
      </x:c>
      <x:c r="I1517" s="26" t="n">
        <x:f>S1512</x:f>
        <x:v>0</x:v>
      </x:c>
      <x:c r="J1517" s="29" t="n">
        <x:f>IF('Inputs'!$D$9="Ready",'Inputs'!E11,"n.a.")</x:f>
        <x:v>0.24</x:v>
      </x:c>
      <x:c r="K1517" s="26" t="n">
        <x:f>IF('Inputs'!$D$9="Ready",'Inputs'!F11,"n.a.")</x:f>
        <x:v>35</x:v>
      </x:c>
      <x:c r="L1517" s="29" t="n">
        <x:f>IF('Inputs'!$D$9="Ready",'Inputs'!G11,"n.a.")</x:f>
        <x:v>0.02</x:v>
      </x:c>
      <x:c r="M1517" s="22" t="n">
        <x:f>IF(COUNT(I1517:L1517)=4,ROUND(I1517*J1517/12,2),"n.a.")</x:f>
        <x:v>0</x:v>
      </x:c>
      <x:c r="N1517" s="22" t="n">
        <x:f>IF(COUNT(I1517:M1517)=5,MIN(I1517+M1517,ROUND(MAX(K1517,I1517*L1517+M1517),2)),"n.a.")</x:f>
        <x:v>0</x:v>
      </x:c>
      <x:c r="O1517" s="30" t="n">
        <x:f>IF(COUNT($I$1517:$I$1521)&lt;&gt;5,"n.a.",IF(I1517=0,6,IF('Inputs'!$D$5=1,COUNTIFS($I$1517:$I$1521,"&gt;0",$I$1517:$I$1521,"&lt;"&amp;I1517)+COUNTIFS($I$1517:I1517,I1517),COUNTIFS($I$1517:$I$1521,"&gt;0",$J$1517:$J$1521,"&gt;"&amp;J1517)+COUNTIFS($I$1517:I1517,"&gt;0",$J$1517:J1517,J1517))))</x:f>
        <x:v>6</x:v>
      </x:c>
      <x:c r="P1517" s="22" t="n">
        <x:f>IF(T1517="Ready",MIN(U1517,MAX(0,G1517-SUMIFS($U$1517:$U$1521,$O$1517:$O$1521,"&lt;"&amp;O1517))),"n.a.")</x:f>
        <x:v>0</x:v>
      </x:c>
      <x:c r="Q1517" s="22" t="n">
        <x:f>IF(T1517="Ready",ROUND(N1517+P1517,2),"n.a.")</x:f>
        <x:v>0</x:v>
      </x:c>
      <x:c r="R1517" s="22" t="n">
        <x:f>IF(T1517="Ready",ROUND(Q1517-M1517,2),"n.a.")</x:f>
        <x:v>0</x:v>
      </x:c>
      <x:c r="S1517" s="22" t="n">
        <x:f>IF(T1517="Ready",MAX(0,ROUND(I1517+M1517-Q1517,2)),"n.a.")</x:f>
        <x:v>0</x:v>
      </x:c>
      <x:c r="T1517" s="22" t="str">
        <x:f>IF(AND(COUNT($I$1517:$I$1521)=5,COUNT(E1517:F1517)=2),IF(E1517&gt;=F1517,"Ready","Budget below minima"),"Check inputs")</x:f>
        <x:v>Ready</x:v>
      </x:c>
      <x:c r="U1517" s="22" t="n">
        <x:f>IF(COUNT(I1517,M1517,N1517)=3,MAX(0,ROUND(I1517+M1517-N1517,2)),"n.a.")</x:f>
        <x:v>0</x:v>
      </x:c>
    </x:row>
    <x:row r="1518" ht="22" customHeight="1">
      <x:c r="A1518" s="2"/>
      <x:c r="B1518" s="2"/>
      <x:c r="C1518" s="27" t="n">
        <x:f>303</x:f>
        <x:v>303</x:v>
      </x:c>
      <x:c r="D1518" s="28" t="n">
        <x:f>IF(ISNUMBER('Inputs'!$D$7),EDATE('Inputs'!$D$7,302),"n.a.")</x:f>
        <x:v>55519</x:v>
      </x:c>
      <x:c r="E1518" s="26" t="n">
        <x:f>IF('Inputs'!$D$9&lt;&gt;"Ready","n.a.",IF(ISNUMBER('Inputs'!E321),IF('Inputs'!E321&gt;=0,'Inputs'!E321,"n.a."),IF('Inputs'!E321="",'Inputs'!$D$6,"n.a.")))</x:f>
        <x:v>500</x:v>
      </x:c>
      <x:c r="F1518" s="22" t="n">
        <x:f>IF(COUNT($N$1517:$N$1521)=5,SUM($N$1517:$N$1521),"n.a.")</x:f>
        <x:v>0</x:v>
      </x:c>
      <x:c r="G1518" s="22" t="n">
        <x:f>IF(COUNT(E1518:F1518)=2,MAX(0,E1518-F1518),"n.a.")</x:f>
        <x:v>500</x:v>
      </x:c>
      <x:c r="H1518" s="26" t="str">
        <x:f>'Inputs'!C12</x:f>
        <x:v>Card B</x:v>
      </x:c>
      <x:c r="I1518" s="26" t="n">
        <x:f>S1513</x:f>
        <x:v>0</x:v>
      </x:c>
      <x:c r="J1518" s="29" t="n">
        <x:f>IF('Inputs'!$D$9="Ready",'Inputs'!E12,"n.a.")</x:f>
        <x:v>0.18</x:v>
      </x:c>
      <x:c r="K1518" s="26" t="n">
        <x:f>IF('Inputs'!$D$9="Ready",'Inputs'!F12,"n.a.")</x:f>
        <x:v>60</x:v>
      </x:c>
      <x:c r="L1518" s="29" t="n">
        <x:f>IF('Inputs'!$D$9="Ready",'Inputs'!G12,"n.a.")</x:f>
        <x:v>0.02</x:v>
      </x:c>
      <x:c r="M1518" s="22" t="n">
        <x:f>IF(COUNT(I1518:L1518)=4,ROUND(I1518*J1518/12,2),"n.a.")</x:f>
        <x:v>0</x:v>
      </x:c>
      <x:c r="N1518" s="22" t="n">
        <x:f>IF(COUNT(I1518:M1518)=5,MIN(I1518+M1518,ROUND(MAX(K1518,I1518*L1518+M1518),2)),"n.a.")</x:f>
        <x:v>0</x:v>
      </x:c>
      <x:c r="O1518" s="30" t="n">
        <x:f>IF(COUNT($I$1517:$I$1521)&lt;&gt;5,"n.a.",IF(I1518=0,6,IF('Inputs'!$D$5=1,COUNTIFS($I$1517:$I$1521,"&gt;0",$I$1517:$I$1521,"&lt;"&amp;I1518)+COUNTIFS($I$1517:I1518,I1518),COUNTIFS($I$1517:$I$1521,"&gt;0",$J$1517:$J$1521,"&gt;"&amp;J1518)+COUNTIFS($I$1517:I1518,"&gt;0",$J$1517:J1518,J1518))))</x:f>
        <x:v>6</x:v>
      </x:c>
      <x:c r="P1518" s="22" t="n">
        <x:f>IF(T1518="Ready",MIN(U1518,MAX(0,G1518-SUMIFS($U$1517:$U$1521,$O$1517:$O$1521,"&lt;"&amp;O1518))),"n.a.")</x:f>
        <x:v>0</x:v>
      </x:c>
      <x:c r="Q1518" s="22" t="n">
        <x:f>IF(T1518="Ready",ROUND(N1518+P1518,2),"n.a.")</x:f>
        <x:v>0</x:v>
      </x:c>
      <x:c r="R1518" s="22" t="n">
        <x:f>IF(T1518="Ready",ROUND(Q1518-M1518,2),"n.a.")</x:f>
        <x:v>0</x:v>
      </x:c>
      <x:c r="S1518" s="22" t="n">
        <x:f>IF(T1518="Ready",MAX(0,ROUND(I1518+M1518-Q1518,2)),"n.a.")</x:f>
        <x:v>0</x:v>
      </x:c>
      <x:c r="T1518" s="22" t="str">
        <x:f>IF(AND(COUNT($I$1517:$I$1521)=5,COUNT(E1518:F1518)=2),IF(E1518&gt;=F1518,"Ready","Budget below minima"),"Check inputs")</x:f>
        <x:v>Ready</x:v>
      </x:c>
      <x:c r="U1518" s="22" t="n">
        <x:f>IF(COUNT(I1518,M1518,N1518)=3,MAX(0,ROUND(I1518+M1518-N1518,2)),"n.a.")</x:f>
        <x:v>0</x:v>
      </x:c>
    </x:row>
    <x:row r="1519" ht="22" customHeight="1">
      <x:c r="A1519" s="2"/>
      <x:c r="B1519" s="2"/>
      <x:c r="C1519" s="27" t="n">
        <x:f>303</x:f>
        <x:v>303</x:v>
      </x:c>
      <x:c r="D1519" s="28" t="n">
        <x:f>IF(ISNUMBER('Inputs'!$D$7),EDATE('Inputs'!$D$7,302),"n.a.")</x:f>
        <x:v>55519</x:v>
      </x:c>
      <x:c r="E1519" s="26" t="n">
        <x:f>IF('Inputs'!$D$9&lt;&gt;"Ready","n.a.",IF(ISNUMBER('Inputs'!E321),IF('Inputs'!E321&gt;=0,'Inputs'!E321,"n.a."),IF('Inputs'!E321="",'Inputs'!$D$6,"n.a.")))</x:f>
        <x:v>500</x:v>
      </x:c>
      <x:c r="F1519" s="22" t="n">
        <x:f>IF(COUNT($N$1517:$N$1521)=5,SUM($N$1517:$N$1521),"n.a.")</x:f>
        <x:v>0</x:v>
      </x:c>
      <x:c r="G1519" s="22" t="n">
        <x:f>IF(COUNT(E1519:F1519)=2,MAX(0,E1519-F1519),"n.a.")</x:f>
        <x:v>500</x:v>
      </x:c>
      <x:c r="H1519" s="26" t="str">
        <x:f>'Inputs'!C13</x:f>
        <x:v>Loan C</x:v>
      </x:c>
      <x:c r="I1519" s="26" t="n">
        <x:f>S1514</x:f>
        <x:v>0</x:v>
      </x:c>
      <x:c r="J1519" s="29" t="n">
        <x:f>IF('Inputs'!$D$9="Ready",'Inputs'!E13,"n.a.")</x:f>
        <x:v>0.08</x:v>
      </x:c>
      <x:c r="K1519" s="26" t="n">
        <x:f>IF('Inputs'!$D$9="Ready",'Inputs'!F13,"n.a.")</x:f>
        <x:v>150</x:v>
      </x:c>
      <x:c r="L1519" s="29" t="n">
        <x:f>IF('Inputs'!$D$9="Ready",'Inputs'!G13,"n.a.")</x:f>
        <x:v>0</x:v>
      </x:c>
      <x:c r="M1519" s="22" t="n">
        <x:f>IF(COUNT(I1519:L1519)=4,ROUND(I1519*J1519/12,2),"n.a.")</x:f>
        <x:v>0</x:v>
      </x:c>
      <x:c r="N1519" s="22" t="n">
        <x:f>IF(COUNT(I1519:M1519)=5,MIN(I1519+M1519,ROUND(MAX(K1519,I1519*L1519+M1519),2)),"n.a.")</x:f>
        <x:v>0</x:v>
      </x:c>
      <x:c r="O1519" s="30" t="n">
        <x:f>IF(COUNT($I$1517:$I$1521)&lt;&gt;5,"n.a.",IF(I1519=0,6,IF('Inputs'!$D$5=1,COUNTIFS($I$1517:$I$1521,"&gt;0",$I$1517:$I$1521,"&lt;"&amp;I1519)+COUNTIFS($I$1517:I1519,I1519),COUNTIFS($I$1517:$I$1521,"&gt;0",$J$1517:$J$1521,"&gt;"&amp;J1519)+COUNTIFS($I$1517:I1519,"&gt;0",$J$1517:J1519,J1519))))</x:f>
        <x:v>6</x:v>
      </x:c>
      <x:c r="P1519" s="22" t="n">
        <x:f>IF(T1519="Ready",MIN(U1519,MAX(0,G1519-SUMIFS($U$1517:$U$1521,$O$1517:$O$1521,"&lt;"&amp;O1519))),"n.a.")</x:f>
        <x:v>0</x:v>
      </x:c>
      <x:c r="Q1519" s="22" t="n">
        <x:f>IF(T1519="Ready",ROUND(N1519+P1519,2),"n.a.")</x:f>
        <x:v>0</x:v>
      </x:c>
      <x:c r="R1519" s="22" t="n">
        <x:f>IF(T1519="Ready",ROUND(Q1519-M1519,2),"n.a.")</x:f>
        <x:v>0</x:v>
      </x:c>
      <x:c r="S1519" s="22" t="n">
        <x:f>IF(T1519="Ready",MAX(0,ROUND(I1519+M1519-Q1519,2)),"n.a.")</x:f>
        <x:v>0</x:v>
      </x:c>
      <x:c r="T1519" s="22" t="str">
        <x:f>IF(AND(COUNT($I$1517:$I$1521)=5,COUNT(E1519:F1519)=2),IF(E1519&gt;=F1519,"Ready","Budget below minima"),"Check inputs")</x:f>
        <x:v>Ready</x:v>
      </x:c>
      <x:c r="U1519" s="22" t="n">
        <x:f>IF(COUNT(I1519,M1519,N1519)=3,MAX(0,ROUND(I1519+M1519-N1519,2)),"n.a.")</x:f>
        <x:v>0</x:v>
      </x:c>
    </x:row>
    <x:row r="1520" ht="22" customHeight="1">
      <x:c r="A1520" s="2"/>
      <x:c r="B1520" s="2"/>
      <x:c r="C1520" s="27" t="n">
        <x:f>303</x:f>
        <x:v>303</x:v>
      </x:c>
      <x:c r="D1520" s="28" t="n">
        <x:f>IF(ISNUMBER('Inputs'!$D$7),EDATE('Inputs'!$D$7,302),"n.a.")</x:f>
        <x:v>55519</x:v>
      </x:c>
      <x:c r="E1520" s="26" t="n">
        <x:f>IF('Inputs'!$D$9&lt;&gt;"Ready","n.a.",IF(ISNUMBER('Inputs'!E321),IF('Inputs'!E321&gt;=0,'Inputs'!E321,"n.a."),IF('Inputs'!E321="",'Inputs'!$D$6,"n.a.")))</x:f>
        <x:v>500</x:v>
      </x:c>
      <x:c r="F1520" s="22" t="n">
        <x:f>IF(COUNT($N$1517:$N$1521)=5,SUM($N$1517:$N$1521),"n.a.")</x:f>
        <x:v>0</x:v>
      </x:c>
      <x:c r="G1520" s="22" t="n">
        <x:f>IF(COUNT(E1520:F1520)=2,MAX(0,E1520-F1520),"n.a.")</x:f>
        <x:v>500</x:v>
      </x:c>
      <x:c r="H1520" s="26" t="str">
        <x:f>'Inputs'!C14</x:f>
        <x:v>Unused 4</x:v>
      </x:c>
      <x:c r="I1520" s="26" t="n">
        <x:f>S1515</x:f>
        <x:v>0</x:v>
      </x:c>
      <x:c r="J1520" s="29" t="n">
        <x:f>IF('Inputs'!$D$9="Ready",'Inputs'!E14,"n.a.")</x:f>
        <x:v>0</x:v>
      </x:c>
      <x:c r="K1520" s="26" t="n">
        <x:f>IF('Inputs'!$D$9="Ready",'Inputs'!F14,"n.a.")</x:f>
        <x:v>0</x:v>
      </x:c>
      <x:c r="L1520" s="29" t="n">
        <x:f>IF('Inputs'!$D$9="Ready",'Inputs'!G14,"n.a.")</x:f>
        <x:v>0</x:v>
      </x:c>
      <x:c r="M1520" s="22" t="n">
        <x:f>IF(COUNT(I1520:L1520)=4,ROUND(I1520*J1520/12,2),"n.a.")</x:f>
        <x:v>0</x:v>
      </x:c>
      <x:c r="N1520" s="22" t="n">
        <x:f>IF(COUNT(I1520:M1520)=5,MIN(I1520+M1520,ROUND(MAX(K1520,I1520*L1520+M1520),2)),"n.a.")</x:f>
        <x:v>0</x:v>
      </x:c>
      <x:c r="O1520" s="30" t="n">
        <x:f>IF(COUNT($I$1517:$I$1521)&lt;&gt;5,"n.a.",IF(I1520=0,6,IF('Inputs'!$D$5=1,COUNTIFS($I$1517:$I$1521,"&gt;0",$I$1517:$I$1521,"&lt;"&amp;I1520)+COUNTIFS($I$1517:I1520,I1520),COUNTIFS($I$1517:$I$1521,"&gt;0",$J$1517:$J$1521,"&gt;"&amp;J1520)+COUNTIFS($I$1517:I1520,"&gt;0",$J$1517:J1520,J1520))))</x:f>
        <x:v>6</x:v>
      </x:c>
      <x:c r="P1520" s="22" t="n">
        <x:f>IF(T1520="Ready",MIN(U1520,MAX(0,G1520-SUMIFS($U$1517:$U$1521,$O$1517:$O$1521,"&lt;"&amp;O1520))),"n.a.")</x:f>
        <x:v>0</x:v>
      </x:c>
      <x:c r="Q1520" s="22" t="n">
        <x:f>IF(T1520="Ready",ROUND(N1520+P1520,2),"n.a.")</x:f>
        <x:v>0</x:v>
      </x:c>
      <x:c r="R1520" s="22" t="n">
        <x:f>IF(T1520="Ready",ROUND(Q1520-M1520,2),"n.a.")</x:f>
        <x:v>0</x:v>
      </x:c>
      <x:c r="S1520" s="22" t="n">
        <x:f>IF(T1520="Ready",MAX(0,ROUND(I1520+M1520-Q1520,2)),"n.a.")</x:f>
        <x:v>0</x:v>
      </x:c>
      <x:c r="T1520" s="22" t="str">
        <x:f>IF(AND(COUNT($I$1517:$I$1521)=5,COUNT(E1520:F1520)=2),IF(E1520&gt;=F1520,"Ready","Budget below minima"),"Check inputs")</x:f>
        <x:v>Ready</x:v>
      </x:c>
      <x:c r="U1520" s="22" t="n">
        <x:f>IF(COUNT(I1520,M1520,N1520)=3,MAX(0,ROUND(I1520+M1520-N1520,2)),"n.a.")</x:f>
        <x:v>0</x:v>
      </x:c>
    </x:row>
    <x:row r="1521" ht="22" customHeight="1">
      <x:c r="A1521" s="2"/>
      <x:c r="B1521" s="2"/>
      <x:c r="C1521" s="27" t="n">
        <x:f>303</x:f>
        <x:v>303</x:v>
      </x:c>
      <x:c r="D1521" s="28" t="n">
        <x:f>IF(ISNUMBER('Inputs'!$D$7),EDATE('Inputs'!$D$7,302),"n.a.")</x:f>
        <x:v>55519</x:v>
      </x:c>
      <x:c r="E1521" s="26" t="n">
        <x:f>IF('Inputs'!$D$9&lt;&gt;"Ready","n.a.",IF(ISNUMBER('Inputs'!E321),IF('Inputs'!E321&gt;=0,'Inputs'!E321,"n.a."),IF('Inputs'!E321="",'Inputs'!$D$6,"n.a.")))</x:f>
        <x:v>500</x:v>
      </x:c>
      <x:c r="F1521" s="22" t="n">
        <x:f>IF(COUNT($N$1517:$N$1521)=5,SUM($N$1517:$N$1521),"n.a.")</x:f>
        <x:v>0</x:v>
      </x:c>
      <x:c r="G1521" s="22" t="n">
        <x:f>IF(COUNT(E1521:F1521)=2,MAX(0,E1521-F1521),"n.a.")</x:f>
        <x:v>500</x:v>
      </x:c>
      <x:c r="H1521" s="26" t="str">
        <x:f>'Inputs'!C15</x:f>
        <x:v>Unused 5</x:v>
      </x:c>
      <x:c r="I1521" s="26" t="n">
        <x:f>S1516</x:f>
        <x:v>0</x:v>
      </x:c>
      <x:c r="J1521" s="29" t="n">
        <x:f>IF('Inputs'!$D$9="Ready",'Inputs'!E15,"n.a.")</x:f>
        <x:v>0</x:v>
      </x:c>
      <x:c r="K1521" s="26" t="n">
        <x:f>IF('Inputs'!$D$9="Ready",'Inputs'!F15,"n.a.")</x:f>
        <x:v>0</x:v>
      </x:c>
      <x:c r="L1521" s="29" t="n">
        <x:f>IF('Inputs'!$D$9="Ready",'Inputs'!G15,"n.a.")</x:f>
        <x:v>0</x:v>
      </x:c>
      <x:c r="M1521" s="22" t="n">
        <x:f>IF(COUNT(I1521:L1521)=4,ROUND(I1521*J1521/12,2),"n.a.")</x:f>
        <x:v>0</x:v>
      </x:c>
      <x:c r="N1521" s="22" t="n">
        <x:f>IF(COUNT(I1521:M1521)=5,MIN(I1521+M1521,ROUND(MAX(K1521,I1521*L1521+M1521),2)),"n.a.")</x:f>
        <x:v>0</x:v>
      </x:c>
      <x:c r="O1521" s="30" t="n">
        <x:f>IF(COUNT($I$1517:$I$1521)&lt;&gt;5,"n.a.",IF(I1521=0,6,IF('Inputs'!$D$5=1,COUNTIFS($I$1517:$I$1521,"&gt;0",$I$1517:$I$1521,"&lt;"&amp;I1521)+COUNTIFS($I$1517:I1521,I1521),COUNTIFS($I$1517:$I$1521,"&gt;0",$J$1517:$J$1521,"&gt;"&amp;J1521)+COUNTIFS($I$1517:I1521,"&gt;0",$J$1517:J1521,J1521))))</x:f>
        <x:v>6</x:v>
      </x:c>
      <x:c r="P1521" s="22" t="n">
        <x:f>IF(T1521="Ready",MIN(U1521,MAX(0,G1521-SUMIFS($U$1517:$U$1521,$O$1517:$O$1521,"&lt;"&amp;O1521))),"n.a.")</x:f>
        <x:v>0</x:v>
      </x:c>
      <x:c r="Q1521" s="22" t="n">
        <x:f>IF(T1521="Ready",ROUND(N1521+P1521,2),"n.a.")</x:f>
        <x:v>0</x:v>
      </x:c>
      <x:c r="R1521" s="22" t="n">
        <x:f>IF(T1521="Ready",ROUND(Q1521-M1521,2),"n.a.")</x:f>
        <x:v>0</x:v>
      </x:c>
      <x:c r="S1521" s="22" t="n">
        <x:f>IF(T1521="Ready",MAX(0,ROUND(I1521+M1521-Q1521,2)),"n.a.")</x:f>
        <x:v>0</x:v>
      </x:c>
      <x:c r="T1521" s="22" t="str">
        <x:f>IF(AND(COUNT($I$1517:$I$1521)=5,COUNT(E1521:F1521)=2),IF(E1521&gt;=F1521,"Ready","Budget below minima"),"Check inputs")</x:f>
        <x:v>Ready</x:v>
      </x:c>
      <x:c r="U1521" s="22" t="n">
        <x:f>IF(COUNT(I1521,M1521,N1521)=3,MAX(0,ROUND(I1521+M1521-N1521,2)),"n.a.")</x:f>
        <x:v>0</x:v>
      </x:c>
    </x:row>
    <x:row r="1522" ht="22" customHeight="1">
      <x:c r="A1522" s="2"/>
      <x:c r="B1522" s="2"/>
      <x:c r="C1522" s="27" t="n">
        <x:f>304</x:f>
        <x:v>304</x:v>
      </x:c>
      <x:c r="D1522" s="28" t="n">
        <x:f>IF(ISNUMBER('Inputs'!$D$7),EDATE('Inputs'!$D$7,303),"n.a.")</x:f>
        <x:v>55550</x:v>
      </x:c>
      <x:c r="E1522" s="26" t="n">
        <x:f>IF('Inputs'!$D$9&lt;&gt;"Ready","n.a.",IF(ISNUMBER('Inputs'!E322),IF('Inputs'!E322&gt;=0,'Inputs'!E322,"n.a."),IF('Inputs'!E322="",'Inputs'!$D$6,"n.a.")))</x:f>
        <x:v>500</x:v>
      </x:c>
      <x:c r="F1522" s="22" t="n">
        <x:f>IF(COUNT($N$1522:$N$1526)=5,SUM($N$1522:$N$1526),"n.a.")</x:f>
        <x:v>0</x:v>
      </x:c>
      <x:c r="G1522" s="22" t="n">
        <x:f>IF(COUNT(E1522:F1522)=2,MAX(0,E1522-F1522),"n.a.")</x:f>
        <x:v>500</x:v>
      </x:c>
      <x:c r="H1522" s="26" t="str">
        <x:f>'Inputs'!C11</x:f>
        <x:v>Card A</x:v>
      </x:c>
      <x:c r="I1522" s="26" t="n">
        <x:f>S1517</x:f>
        <x:v>0</x:v>
      </x:c>
      <x:c r="J1522" s="29" t="n">
        <x:f>IF('Inputs'!$D$9="Ready",'Inputs'!E11,"n.a.")</x:f>
        <x:v>0.24</x:v>
      </x:c>
      <x:c r="K1522" s="26" t="n">
        <x:f>IF('Inputs'!$D$9="Ready",'Inputs'!F11,"n.a.")</x:f>
        <x:v>35</x:v>
      </x:c>
      <x:c r="L1522" s="29" t="n">
        <x:f>IF('Inputs'!$D$9="Ready",'Inputs'!G11,"n.a.")</x:f>
        <x:v>0.02</x:v>
      </x:c>
      <x:c r="M1522" s="22" t="n">
        <x:f>IF(COUNT(I1522:L1522)=4,ROUND(I1522*J1522/12,2),"n.a.")</x:f>
        <x:v>0</x:v>
      </x:c>
      <x:c r="N1522" s="22" t="n">
        <x:f>IF(COUNT(I1522:M1522)=5,MIN(I1522+M1522,ROUND(MAX(K1522,I1522*L1522+M1522),2)),"n.a.")</x:f>
        <x:v>0</x:v>
      </x:c>
      <x:c r="O1522" s="30" t="n">
        <x:f>IF(COUNT($I$1522:$I$1526)&lt;&gt;5,"n.a.",IF(I1522=0,6,IF('Inputs'!$D$5=1,COUNTIFS($I$1522:$I$1526,"&gt;0",$I$1522:$I$1526,"&lt;"&amp;I1522)+COUNTIFS($I$1522:I1522,I1522),COUNTIFS($I$1522:$I$1526,"&gt;0",$J$1522:$J$1526,"&gt;"&amp;J1522)+COUNTIFS($I$1522:I1522,"&gt;0",$J$1522:J1522,J1522))))</x:f>
        <x:v>6</x:v>
      </x:c>
      <x:c r="P1522" s="22" t="n">
        <x:f>IF(T1522="Ready",MIN(U1522,MAX(0,G1522-SUMIFS($U$1522:$U$1526,$O$1522:$O$1526,"&lt;"&amp;O1522))),"n.a.")</x:f>
        <x:v>0</x:v>
      </x:c>
      <x:c r="Q1522" s="22" t="n">
        <x:f>IF(T1522="Ready",ROUND(N1522+P1522,2),"n.a.")</x:f>
        <x:v>0</x:v>
      </x:c>
      <x:c r="R1522" s="22" t="n">
        <x:f>IF(T1522="Ready",ROUND(Q1522-M1522,2),"n.a.")</x:f>
        <x:v>0</x:v>
      </x:c>
      <x:c r="S1522" s="22" t="n">
        <x:f>IF(T1522="Ready",MAX(0,ROUND(I1522+M1522-Q1522,2)),"n.a.")</x:f>
        <x:v>0</x:v>
      </x:c>
      <x:c r="T1522" s="22" t="str">
        <x:f>IF(AND(COUNT($I$1522:$I$1526)=5,COUNT(E1522:F1522)=2),IF(E1522&gt;=F1522,"Ready","Budget below minima"),"Check inputs")</x:f>
        <x:v>Ready</x:v>
      </x:c>
      <x:c r="U1522" s="22" t="n">
        <x:f>IF(COUNT(I1522,M1522,N1522)=3,MAX(0,ROUND(I1522+M1522-N1522,2)),"n.a.")</x:f>
        <x:v>0</x:v>
      </x:c>
    </x:row>
    <x:row r="1523" ht="22" customHeight="1">
      <x:c r="A1523" s="2"/>
      <x:c r="B1523" s="2"/>
      <x:c r="C1523" s="27" t="n">
        <x:f>304</x:f>
        <x:v>304</x:v>
      </x:c>
      <x:c r="D1523" s="28" t="n">
        <x:f>IF(ISNUMBER('Inputs'!$D$7),EDATE('Inputs'!$D$7,303),"n.a.")</x:f>
        <x:v>55550</x:v>
      </x:c>
      <x:c r="E1523" s="26" t="n">
        <x:f>IF('Inputs'!$D$9&lt;&gt;"Ready","n.a.",IF(ISNUMBER('Inputs'!E322),IF('Inputs'!E322&gt;=0,'Inputs'!E322,"n.a."),IF('Inputs'!E322="",'Inputs'!$D$6,"n.a.")))</x:f>
        <x:v>500</x:v>
      </x:c>
      <x:c r="F1523" s="22" t="n">
        <x:f>IF(COUNT($N$1522:$N$1526)=5,SUM($N$1522:$N$1526),"n.a.")</x:f>
        <x:v>0</x:v>
      </x:c>
      <x:c r="G1523" s="22" t="n">
        <x:f>IF(COUNT(E1523:F1523)=2,MAX(0,E1523-F1523),"n.a.")</x:f>
        <x:v>500</x:v>
      </x:c>
      <x:c r="H1523" s="26" t="str">
        <x:f>'Inputs'!C12</x:f>
        <x:v>Card B</x:v>
      </x:c>
      <x:c r="I1523" s="26" t="n">
        <x:f>S1518</x:f>
        <x:v>0</x:v>
      </x:c>
      <x:c r="J1523" s="29" t="n">
        <x:f>IF('Inputs'!$D$9="Ready",'Inputs'!E12,"n.a.")</x:f>
        <x:v>0.18</x:v>
      </x:c>
      <x:c r="K1523" s="26" t="n">
        <x:f>IF('Inputs'!$D$9="Ready",'Inputs'!F12,"n.a.")</x:f>
        <x:v>60</x:v>
      </x:c>
      <x:c r="L1523" s="29" t="n">
        <x:f>IF('Inputs'!$D$9="Ready",'Inputs'!G12,"n.a.")</x:f>
        <x:v>0.02</x:v>
      </x:c>
      <x:c r="M1523" s="22" t="n">
        <x:f>IF(COUNT(I1523:L1523)=4,ROUND(I1523*J1523/12,2),"n.a.")</x:f>
        <x:v>0</x:v>
      </x:c>
      <x:c r="N1523" s="22" t="n">
        <x:f>IF(COUNT(I1523:M1523)=5,MIN(I1523+M1523,ROUND(MAX(K1523,I1523*L1523+M1523),2)),"n.a.")</x:f>
        <x:v>0</x:v>
      </x:c>
      <x:c r="O1523" s="30" t="n">
        <x:f>IF(COUNT($I$1522:$I$1526)&lt;&gt;5,"n.a.",IF(I1523=0,6,IF('Inputs'!$D$5=1,COUNTIFS($I$1522:$I$1526,"&gt;0",$I$1522:$I$1526,"&lt;"&amp;I1523)+COUNTIFS($I$1522:I1523,I1523),COUNTIFS($I$1522:$I$1526,"&gt;0",$J$1522:$J$1526,"&gt;"&amp;J1523)+COUNTIFS($I$1522:I1523,"&gt;0",$J$1522:J1523,J1523))))</x:f>
        <x:v>6</x:v>
      </x:c>
      <x:c r="P1523" s="22" t="n">
        <x:f>IF(T1523="Ready",MIN(U1523,MAX(0,G1523-SUMIFS($U$1522:$U$1526,$O$1522:$O$1526,"&lt;"&amp;O1523))),"n.a.")</x:f>
        <x:v>0</x:v>
      </x:c>
      <x:c r="Q1523" s="22" t="n">
        <x:f>IF(T1523="Ready",ROUND(N1523+P1523,2),"n.a.")</x:f>
        <x:v>0</x:v>
      </x:c>
      <x:c r="R1523" s="22" t="n">
        <x:f>IF(T1523="Ready",ROUND(Q1523-M1523,2),"n.a.")</x:f>
        <x:v>0</x:v>
      </x:c>
      <x:c r="S1523" s="22" t="n">
        <x:f>IF(T1523="Ready",MAX(0,ROUND(I1523+M1523-Q1523,2)),"n.a.")</x:f>
        <x:v>0</x:v>
      </x:c>
      <x:c r="T1523" s="22" t="str">
        <x:f>IF(AND(COUNT($I$1522:$I$1526)=5,COUNT(E1523:F1523)=2),IF(E1523&gt;=F1523,"Ready","Budget below minima"),"Check inputs")</x:f>
        <x:v>Ready</x:v>
      </x:c>
      <x:c r="U1523" s="22" t="n">
        <x:f>IF(COUNT(I1523,M1523,N1523)=3,MAX(0,ROUND(I1523+M1523-N1523,2)),"n.a.")</x:f>
        <x:v>0</x:v>
      </x:c>
    </x:row>
    <x:row r="1524" ht="22" customHeight="1">
      <x:c r="A1524" s="2"/>
      <x:c r="B1524" s="2"/>
      <x:c r="C1524" s="27" t="n">
        <x:f>304</x:f>
        <x:v>304</x:v>
      </x:c>
      <x:c r="D1524" s="28" t="n">
        <x:f>IF(ISNUMBER('Inputs'!$D$7),EDATE('Inputs'!$D$7,303),"n.a.")</x:f>
        <x:v>55550</x:v>
      </x:c>
      <x:c r="E1524" s="26" t="n">
        <x:f>IF('Inputs'!$D$9&lt;&gt;"Ready","n.a.",IF(ISNUMBER('Inputs'!E322),IF('Inputs'!E322&gt;=0,'Inputs'!E322,"n.a."),IF('Inputs'!E322="",'Inputs'!$D$6,"n.a.")))</x:f>
        <x:v>500</x:v>
      </x:c>
      <x:c r="F1524" s="22" t="n">
        <x:f>IF(COUNT($N$1522:$N$1526)=5,SUM($N$1522:$N$1526),"n.a.")</x:f>
        <x:v>0</x:v>
      </x:c>
      <x:c r="G1524" s="22" t="n">
        <x:f>IF(COUNT(E1524:F1524)=2,MAX(0,E1524-F1524),"n.a.")</x:f>
        <x:v>500</x:v>
      </x:c>
      <x:c r="H1524" s="26" t="str">
        <x:f>'Inputs'!C13</x:f>
        <x:v>Loan C</x:v>
      </x:c>
      <x:c r="I1524" s="26" t="n">
        <x:f>S1519</x:f>
        <x:v>0</x:v>
      </x:c>
      <x:c r="J1524" s="29" t="n">
        <x:f>IF('Inputs'!$D$9="Ready",'Inputs'!E13,"n.a.")</x:f>
        <x:v>0.08</x:v>
      </x:c>
      <x:c r="K1524" s="26" t="n">
        <x:f>IF('Inputs'!$D$9="Ready",'Inputs'!F13,"n.a.")</x:f>
        <x:v>150</x:v>
      </x:c>
      <x:c r="L1524" s="29" t="n">
        <x:f>IF('Inputs'!$D$9="Ready",'Inputs'!G13,"n.a.")</x:f>
        <x:v>0</x:v>
      </x:c>
      <x:c r="M1524" s="22" t="n">
        <x:f>IF(COUNT(I1524:L1524)=4,ROUND(I1524*J1524/12,2),"n.a.")</x:f>
        <x:v>0</x:v>
      </x:c>
      <x:c r="N1524" s="22" t="n">
        <x:f>IF(COUNT(I1524:M1524)=5,MIN(I1524+M1524,ROUND(MAX(K1524,I1524*L1524+M1524),2)),"n.a.")</x:f>
        <x:v>0</x:v>
      </x:c>
      <x:c r="O1524" s="30" t="n">
        <x:f>IF(COUNT($I$1522:$I$1526)&lt;&gt;5,"n.a.",IF(I1524=0,6,IF('Inputs'!$D$5=1,COUNTIFS($I$1522:$I$1526,"&gt;0",$I$1522:$I$1526,"&lt;"&amp;I1524)+COUNTIFS($I$1522:I1524,I1524),COUNTIFS($I$1522:$I$1526,"&gt;0",$J$1522:$J$1526,"&gt;"&amp;J1524)+COUNTIFS($I$1522:I1524,"&gt;0",$J$1522:J1524,J1524))))</x:f>
        <x:v>6</x:v>
      </x:c>
      <x:c r="P1524" s="22" t="n">
        <x:f>IF(T1524="Ready",MIN(U1524,MAX(0,G1524-SUMIFS($U$1522:$U$1526,$O$1522:$O$1526,"&lt;"&amp;O1524))),"n.a.")</x:f>
        <x:v>0</x:v>
      </x:c>
      <x:c r="Q1524" s="22" t="n">
        <x:f>IF(T1524="Ready",ROUND(N1524+P1524,2),"n.a.")</x:f>
        <x:v>0</x:v>
      </x:c>
      <x:c r="R1524" s="22" t="n">
        <x:f>IF(T1524="Ready",ROUND(Q1524-M1524,2),"n.a.")</x:f>
        <x:v>0</x:v>
      </x:c>
      <x:c r="S1524" s="22" t="n">
        <x:f>IF(T1524="Ready",MAX(0,ROUND(I1524+M1524-Q1524,2)),"n.a.")</x:f>
        <x:v>0</x:v>
      </x:c>
      <x:c r="T1524" s="22" t="str">
        <x:f>IF(AND(COUNT($I$1522:$I$1526)=5,COUNT(E1524:F1524)=2),IF(E1524&gt;=F1524,"Ready","Budget below minima"),"Check inputs")</x:f>
        <x:v>Ready</x:v>
      </x:c>
      <x:c r="U1524" s="22" t="n">
        <x:f>IF(COUNT(I1524,M1524,N1524)=3,MAX(0,ROUND(I1524+M1524-N1524,2)),"n.a.")</x:f>
        <x:v>0</x:v>
      </x:c>
    </x:row>
    <x:row r="1525" ht="22" customHeight="1">
      <x:c r="A1525" s="2"/>
      <x:c r="B1525" s="2"/>
      <x:c r="C1525" s="27" t="n">
        <x:f>304</x:f>
        <x:v>304</x:v>
      </x:c>
      <x:c r="D1525" s="28" t="n">
        <x:f>IF(ISNUMBER('Inputs'!$D$7),EDATE('Inputs'!$D$7,303),"n.a.")</x:f>
        <x:v>55550</x:v>
      </x:c>
      <x:c r="E1525" s="26" t="n">
        <x:f>IF('Inputs'!$D$9&lt;&gt;"Ready","n.a.",IF(ISNUMBER('Inputs'!E322),IF('Inputs'!E322&gt;=0,'Inputs'!E322,"n.a."),IF('Inputs'!E322="",'Inputs'!$D$6,"n.a.")))</x:f>
        <x:v>500</x:v>
      </x:c>
      <x:c r="F1525" s="22" t="n">
        <x:f>IF(COUNT($N$1522:$N$1526)=5,SUM($N$1522:$N$1526),"n.a.")</x:f>
        <x:v>0</x:v>
      </x:c>
      <x:c r="G1525" s="22" t="n">
        <x:f>IF(COUNT(E1525:F1525)=2,MAX(0,E1525-F1525),"n.a.")</x:f>
        <x:v>500</x:v>
      </x:c>
      <x:c r="H1525" s="26" t="str">
        <x:f>'Inputs'!C14</x:f>
        <x:v>Unused 4</x:v>
      </x:c>
      <x:c r="I1525" s="26" t="n">
        <x:f>S1520</x:f>
        <x:v>0</x:v>
      </x:c>
      <x:c r="J1525" s="29" t="n">
        <x:f>IF('Inputs'!$D$9="Ready",'Inputs'!E14,"n.a.")</x:f>
        <x:v>0</x:v>
      </x:c>
      <x:c r="K1525" s="26" t="n">
        <x:f>IF('Inputs'!$D$9="Ready",'Inputs'!F14,"n.a.")</x:f>
        <x:v>0</x:v>
      </x:c>
      <x:c r="L1525" s="29" t="n">
        <x:f>IF('Inputs'!$D$9="Ready",'Inputs'!G14,"n.a.")</x:f>
        <x:v>0</x:v>
      </x:c>
      <x:c r="M1525" s="22" t="n">
        <x:f>IF(COUNT(I1525:L1525)=4,ROUND(I1525*J1525/12,2),"n.a.")</x:f>
        <x:v>0</x:v>
      </x:c>
      <x:c r="N1525" s="22" t="n">
        <x:f>IF(COUNT(I1525:M1525)=5,MIN(I1525+M1525,ROUND(MAX(K1525,I1525*L1525+M1525),2)),"n.a.")</x:f>
        <x:v>0</x:v>
      </x:c>
      <x:c r="O1525" s="30" t="n">
        <x:f>IF(COUNT($I$1522:$I$1526)&lt;&gt;5,"n.a.",IF(I1525=0,6,IF('Inputs'!$D$5=1,COUNTIFS($I$1522:$I$1526,"&gt;0",$I$1522:$I$1526,"&lt;"&amp;I1525)+COUNTIFS($I$1522:I1525,I1525),COUNTIFS($I$1522:$I$1526,"&gt;0",$J$1522:$J$1526,"&gt;"&amp;J1525)+COUNTIFS($I$1522:I1525,"&gt;0",$J$1522:J1525,J1525))))</x:f>
        <x:v>6</x:v>
      </x:c>
      <x:c r="P1525" s="22" t="n">
        <x:f>IF(T1525="Ready",MIN(U1525,MAX(0,G1525-SUMIFS($U$1522:$U$1526,$O$1522:$O$1526,"&lt;"&amp;O1525))),"n.a.")</x:f>
        <x:v>0</x:v>
      </x:c>
      <x:c r="Q1525" s="22" t="n">
        <x:f>IF(T1525="Ready",ROUND(N1525+P1525,2),"n.a.")</x:f>
        <x:v>0</x:v>
      </x:c>
      <x:c r="R1525" s="22" t="n">
        <x:f>IF(T1525="Ready",ROUND(Q1525-M1525,2),"n.a.")</x:f>
        <x:v>0</x:v>
      </x:c>
      <x:c r="S1525" s="22" t="n">
        <x:f>IF(T1525="Ready",MAX(0,ROUND(I1525+M1525-Q1525,2)),"n.a.")</x:f>
        <x:v>0</x:v>
      </x:c>
      <x:c r="T1525" s="22" t="str">
        <x:f>IF(AND(COUNT($I$1522:$I$1526)=5,COUNT(E1525:F1525)=2),IF(E1525&gt;=F1525,"Ready","Budget below minima"),"Check inputs")</x:f>
        <x:v>Ready</x:v>
      </x:c>
      <x:c r="U1525" s="22" t="n">
        <x:f>IF(COUNT(I1525,M1525,N1525)=3,MAX(0,ROUND(I1525+M1525-N1525,2)),"n.a.")</x:f>
        <x:v>0</x:v>
      </x:c>
    </x:row>
    <x:row r="1526" ht="22" customHeight="1">
      <x:c r="A1526" s="2"/>
      <x:c r="B1526" s="2"/>
      <x:c r="C1526" s="27" t="n">
        <x:f>304</x:f>
        <x:v>304</x:v>
      </x:c>
      <x:c r="D1526" s="28" t="n">
        <x:f>IF(ISNUMBER('Inputs'!$D$7),EDATE('Inputs'!$D$7,303),"n.a.")</x:f>
        <x:v>55550</x:v>
      </x:c>
      <x:c r="E1526" s="26" t="n">
        <x:f>IF('Inputs'!$D$9&lt;&gt;"Ready","n.a.",IF(ISNUMBER('Inputs'!E322),IF('Inputs'!E322&gt;=0,'Inputs'!E322,"n.a."),IF('Inputs'!E322="",'Inputs'!$D$6,"n.a.")))</x:f>
        <x:v>500</x:v>
      </x:c>
      <x:c r="F1526" s="22" t="n">
        <x:f>IF(COUNT($N$1522:$N$1526)=5,SUM($N$1522:$N$1526),"n.a.")</x:f>
        <x:v>0</x:v>
      </x:c>
      <x:c r="G1526" s="22" t="n">
        <x:f>IF(COUNT(E1526:F1526)=2,MAX(0,E1526-F1526),"n.a.")</x:f>
        <x:v>500</x:v>
      </x:c>
      <x:c r="H1526" s="26" t="str">
        <x:f>'Inputs'!C15</x:f>
        <x:v>Unused 5</x:v>
      </x:c>
      <x:c r="I1526" s="26" t="n">
        <x:f>S1521</x:f>
        <x:v>0</x:v>
      </x:c>
      <x:c r="J1526" s="29" t="n">
        <x:f>IF('Inputs'!$D$9="Ready",'Inputs'!E15,"n.a.")</x:f>
        <x:v>0</x:v>
      </x:c>
      <x:c r="K1526" s="26" t="n">
        <x:f>IF('Inputs'!$D$9="Ready",'Inputs'!F15,"n.a.")</x:f>
        <x:v>0</x:v>
      </x:c>
      <x:c r="L1526" s="29" t="n">
        <x:f>IF('Inputs'!$D$9="Ready",'Inputs'!G15,"n.a.")</x:f>
        <x:v>0</x:v>
      </x:c>
      <x:c r="M1526" s="22" t="n">
        <x:f>IF(COUNT(I1526:L1526)=4,ROUND(I1526*J1526/12,2),"n.a.")</x:f>
        <x:v>0</x:v>
      </x:c>
      <x:c r="N1526" s="22" t="n">
        <x:f>IF(COUNT(I1526:M1526)=5,MIN(I1526+M1526,ROUND(MAX(K1526,I1526*L1526+M1526),2)),"n.a.")</x:f>
        <x:v>0</x:v>
      </x:c>
      <x:c r="O1526" s="30" t="n">
        <x:f>IF(COUNT($I$1522:$I$1526)&lt;&gt;5,"n.a.",IF(I1526=0,6,IF('Inputs'!$D$5=1,COUNTIFS($I$1522:$I$1526,"&gt;0",$I$1522:$I$1526,"&lt;"&amp;I1526)+COUNTIFS($I$1522:I1526,I1526),COUNTIFS($I$1522:$I$1526,"&gt;0",$J$1522:$J$1526,"&gt;"&amp;J1526)+COUNTIFS($I$1522:I1526,"&gt;0",$J$1522:J1526,J1526))))</x:f>
        <x:v>6</x:v>
      </x:c>
      <x:c r="P1526" s="22" t="n">
        <x:f>IF(T1526="Ready",MIN(U1526,MAX(0,G1526-SUMIFS($U$1522:$U$1526,$O$1522:$O$1526,"&lt;"&amp;O1526))),"n.a.")</x:f>
        <x:v>0</x:v>
      </x:c>
      <x:c r="Q1526" s="22" t="n">
        <x:f>IF(T1526="Ready",ROUND(N1526+P1526,2),"n.a.")</x:f>
        <x:v>0</x:v>
      </x:c>
      <x:c r="R1526" s="22" t="n">
        <x:f>IF(T1526="Ready",ROUND(Q1526-M1526,2),"n.a.")</x:f>
        <x:v>0</x:v>
      </x:c>
      <x:c r="S1526" s="22" t="n">
        <x:f>IF(T1526="Ready",MAX(0,ROUND(I1526+M1526-Q1526,2)),"n.a.")</x:f>
        <x:v>0</x:v>
      </x:c>
      <x:c r="T1526" s="22" t="str">
        <x:f>IF(AND(COUNT($I$1522:$I$1526)=5,COUNT(E1526:F1526)=2),IF(E1526&gt;=F1526,"Ready","Budget below minima"),"Check inputs")</x:f>
        <x:v>Ready</x:v>
      </x:c>
      <x:c r="U1526" s="22" t="n">
        <x:f>IF(COUNT(I1526,M1526,N1526)=3,MAX(0,ROUND(I1526+M1526-N1526,2)),"n.a.")</x:f>
        <x:v>0</x:v>
      </x:c>
    </x:row>
    <x:row r="1527" ht="22" customHeight="1">
      <x:c r="A1527" s="2"/>
      <x:c r="B1527" s="2"/>
      <x:c r="C1527" s="27" t="n">
        <x:f>305</x:f>
        <x:v>305</x:v>
      </x:c>
      <x:c r="D1527" s="28" t="n">
        <x:f>IF(ISNUMBER('Inputs'!$D$7),EDATE('Inputs'!$D$7,304),"n.a.")</x:f>
        <x:v>55579</x:v>
      </x:c>
      <x:c r="E1527" s="26" t="n">
        <x:f>IF('Inputs'!$D$9&lt;&gt;"Ready","n.a.",IF(ISNUMBER('Inputs'!E323),IF('Inputs'!E323&gt;=0,'Inputs'!E323,"n.a."),IF('Inputs'!E323="",'Inputs'!$D$6,"n.a.")))</x:f>
        <x:v>500</x:v>
      </x:c>
      <x:c r="F1527" s="22" t="n">
        <x:f>IF(COUNT($N$1527:$N$1531)=5,SUM($N$1527:$N$1531),"n.a.")</x:f>
        <x:v>0</x:v>
      </x:c>
      <x:c r="G1527" s="22" t="n">
        <x:f>IF(COUNT(E1527:F1527)=2,MAX(0,E1527-F1527),"n.a.")</x:f>
        <x:v>500</x:v>
      </x:c>
      <x:c r="H1527" s="26" t="str">
        <x:f>'Inputs'!C11</x:f>
        <x:v>Card A</x:v>
      </x:c>
      <x:c r="I1527" s="26" t="n">
        <x:f>S1522</x:f>
        <x:v>0</x:v>
      </x:c>
      <x:c r="J1527" s="29" t="n">
        <x:f>IF('Inputs'!$D$9="Ready",'Inputs'!E11,"n.a.")</x:f>
        <x:v>0.24</x:v>
      </x:c>
      <x:c r="K1527" s="26" t="n">
        <x:f>IF('Inputs'!$D$9="Ready",'Inputs'!F11,"n.a.")</x:f>
        <x:v>35</x:v>
      </x:c>
      <x:c r="L1527" s="29" t="n">
        <x:f>IF('Inputs'!$D$9="Ready",'Inputs'!G11,"n.a.")</x:f>
        <x:v>0.02</x:v>
      </x:c>
      <x:c r="M1527" s="22" t="n">
        <x:f>IF(COUNT(I1527:L1527)=4,ROUND(I1527*J1527/12,2),"n.a.")</x:f>
        <x:v>0</x:v>
      </x:c>
      <x:c r="N1527" s="22" t="n">
        <x:f>IF(COUNT(I1527:M1527)=5,MIN(I1527+M1527,ROUND(MAX(K1527,I1527*L1527+M1527),2)),"n.a.")</x:f>
        <x:v>0</x:v>
      </x:c>
      <x:c r="O1527" s="30" t="n">
        <x:f>IF(COUNT($I$1527:$I$1531)&lt;&gt;5,"n.a.",IF(I1527=0,6,IF('Inputs'!$D$5=1,COUNTIFS($I$1527:$I$1531,"&gt;0",$I$1527:$I$1531,"&lt;"&amp;I1527)+COUNTIFS($I$1527:I1527,I1527),COUNTIFS($I$1527:$I$1531,"&gt;0",$J$1527:$J$1531,"&gt;"&amp;J1527)+COUNTIFS($I$1527:I1527,"&gt;0",$J$1527:J1527,J1527))))</x:f>
        <x:v>6</x:v>
      </x:c>
      <x:c r="P1527" s="22" t="n">
        <x:f>IF(T1527="Ready",MIN(U1527,MAX(0,G1527-SUMIFS($U$1527:$U$1531,$O$1527:$O$1531,"&lt;"&amp;O1527))),"n.a.")</x:f>
        <x:v>0</x:v>
      </x:c>
      <x:c r="Q1527" s="22" t="n">
        <x:f>IF(T1527="Ready",ROUND(N1527+P1527,2),"n.a.")</x:f>
        <x:v>0</x:v>
      </x:c>
      <x:c r="R1527" s="22" t="n">
        <x:f>IF(T1527="Ready",ROUND(Q1527-M1527,2),"n.a.")</x:f>
        <x:v>0</x:v>
      </x:c>
      <x:c r="S1527" s="22" t="n">
        <x:f>IF(T1527="Ready",MAX(0,ROUND(I1527+M1527-Q1527,2)),"n.a.")</x:f>
        <x:v>0</x:v>
      </x:c>
      <x:c r="T1527" s="22" t="str">
        <x:f>IF(AND(COUNT($I$1527:$I$1531)=5,COUNT(E1527:F1527)=2),IF(E1527&gt;=F1527,"Ready","Budget below minima"),"Check inputs")</x:f>
        <x:v>Ready</x:v>
      </x:c>
      <x:c r="U1527" s="22" t="n">
        <x:f>IF(COUNT(I1527,M1527,N1527)=3,MAX(0,ROUND(I1527+M1527-N1527,2)),"n.a.")</x:f>
        <x:v>0</x:v>
      </x:c>
    </x:row>
    <x:row r="1528" ht="22" customHeight="1">
      <x:c r="A1528" s="2"/>
      <x:c r="B1528" s="2"/>
      <x:c r="C1528" s="27" t="n">
        <x:f>305</x:f>
        <x:v>305</x:v>
      </x:c>
      <x:c r="D1528" s="28" t="n">
        <x:f>IF(ISNUMBER('Inputs'!$D$7),EDATE('Inputs'!$D$7,304),"n.a.")</x:f>
        <x:v>55579</x:v>
      </x:c>
      <x:c r="E1528" s="26" t="n">
        <x:f>IF('Inputs'!$D$9&lt;&gt;"Ready","n.a.",IF(ISNUMBER('Inputs'!E323),IF('Inputs'!E323&gt;=0,'Inputs'!E323,"n.a."),IF('Inputs'!E323="",'Inputs'!$D$6,"n.a.")))</x:f>
        <x:v>500</x:v>
      </x:c>
      <x:c r="F1528" s="22" t="n">
        <x:f>IF(COUNT($N$1527:$N$1531)=5,SUM($N$1527:$N$1531),"n.a.")</x:f>
        <x:v>0</x:v>
      </x:c>
      <x:c r="G1528" s="22" t="n">
        <x:f>IF(COUNT(E1528:F1528)=2,MAX(0,E1528-F1528),"n.a.")</x:f>
        <x:v>500</x:v>
      </x:c>
      <x:c r="H1528" s="26" t="str">
        <x:f>'Inputs'!C12</x:f>
        <x:v>Card B</x:v>
      </x:c>
      <x:c r="I1528" s="26" t="n">
        <x:f>S1523</x:f>
        <x:v>0</x:v>
      </x:c>
      <x:c r="J1528" s="29" t="n">
        <x:f>IF('Inputs'!$D$9="Ready",'Inputs'!E12,"n.a.")</x:f>
        <x:v>0.18</x:v>
      </x:c>
      <x:c r="K1528" s="26" t="n">
        <x:f>IF('Inputs'!$D$9="Ready",'Inputs'!F12,"n.a.")</x:f>
        <x:v>60</x:v>
      </x:c>
      <x:c r="L1528" s="29" t="n">
        <x:f>IF('Inputs'!$D$9="Ready",'Inputs'!G12,"n.a.")</x:f>
        <x:v>0.02</x:v>
      </x:c>
      <x:c r="M1528" s="22" t="n">
        <x:f>IF(COUNT(I1528:L1528)=4,ROUND(I1528*J1528/12,2),"n.a.")</x:f>
        <x:v>0</x:v>
      </x:c>
      <x:c r="N1528" s="22" t="n">
        <x:f>IF(COUNT(I1528:M1528)=5,MIN(I1528+M1528,ROUND(MAX(K1528,I1528*L1528+M1528),2)),"n.a.")</x:f>
        <x:v>0</x:v>
      </x:c>
      <x:c r="O1528" s="30" t="n">
        <x:f>IF(COUNT($I$1527:$I$1531)&lt;&gt;5,"n.a.",IF(I1528=0,6,IF('Inputs'!$D$5=1,COUNTIFS($I$1527:$I$1531,"&gt;0",$I$1527:$I$1531,"&lt;"&amp;I1528)+COUNTIFS($I$1527:I1528,I1528),COUNTIFS($I$1527:$I$1531,"&gt;0",$J$1527:$J$1531,"&gt;"&amp;J1528)+COUNTIFS($I$1527:I1528,"&gt;0",$J$1527:J1528,J1528))))</x:f>
        <x:v>6</x:v>
      </x:c>
      <x:c r="P1528" s="22" t="n">
        <x:f>IF(T1528="Ready",MIN(U1528,MAX(0,G1528-SUMIFS($U$1527:$U$1531,$O$1527:$O$1531,"&lt;"&amp;O1528))),"n.a.")</x:f>
        <x:v>0</x:v>
      </x:c>
      <x:c r="Q1528" s="22" t="n">
        <x:f>IF(T1528="Ready",ROUND(N1528+P1528,2),"n.a.")</x:f>
        <x:v>0</x:v>
      </x:c>
      <x:c r="R1528" s="22" t="n">
        <x:f>IF(T1528="Ready",ROUND(Q1528-M1528,2),"n.a.")</x:f>
        <x:v>0</x:v>
      </x:c>
      <x:c r="S1528" s="22" t="n">
        <x:f>IF(T1528="Ready",MAX(0,ROUND(I1528+M1528-Q1528,2)),"n.a.")</x:f>
        <x:v>0</x:v>
      </x:c>
      <x:c r="T1528" s="22" t="str">
        <x:f>IF(AND(COUNT($I$1527:$I$1531)=5,COUNT(E1528:F1528)=2),IF(E1528&gt;=F1528,"Ready","Budget below minima"),"Check inputs")</x:f>
        <x:v>Ready</x:v>
      </x:c>
      <x:c r="U1528" s="22" t="n">
        <x:f>IF(COUNT(I1528,M1528,N1528)=3,MAX(0,ROUND(I1528+M1528-N1528,2)),"n.a.")</x:f>
        <x:v>0</x:v>
      </x:c>
    </x:row>
    <x:row r="1529" ht="22" customHeight="1">
      <x:c r="A1529" s="2"/>
      <x:c r="B1529" s="2"/>
      <x:c r="C1529" s="27" t="n">
        <x:f>305</x:f>
        <x:v>305</x:v>
      </x:c>
      <x:c r="D1529" s="28" t="n">
        <x:f>IF(ISNUMBER('Inputs'!$D$7),EDATE('Inputs'!$D$7,304),"n.a.")</x:f>
        <x:v>55579</x:v>
      </x:c>
      <x:c r="E1529" s="26" t="n">
        <x:f>IF('Inputs'!$D$9&lt;&gt;"Ready","n.a.",IF(ISNUMBER('Inputs'!E323),IF('Inputs'!E323&gt;=0,'Inputs'!E323,"n.a."),IF('Inputs'!E323="",'Inputs'!$D$6,"n.a.")))</x:f>
        <x:v>500</x:v>
      </x:c>
      <x:c r="F1529" s="22" t="n">
        <x:f>IF(COUNT($N$1527:$N$1531)=5,SUM($N$1527:$N$1531),"n.a.")</x:f>
        <x:v>0</x:v>
      </x:c>
      <x:c r="G1529" s="22" t="n">
        <x:f>IF(COUNT(E1529:F1529)=2,MAX(0,E1529-F1529),"n.a.")</x:f>
        <x:v>500</x:v>
      </x:c>
      <x:c r="H1529" s="26" t="str">
        <x:f>'Inputs'!C13</x:f>
        <x:v>Loan C</x:v>
      </x:c>
      <x:c r="I1529" s="26" t="n">
        <x:f>S1524</x:f>
        <x:v>0</x:v>
      </x:c>
      <x:c r="J1529" s="29" t="n">
        <x:f>IF('Inputs'!$D$9="Ready",'Inputs'!E13,"n.a.")</x:f>
        <x:v>0.08</x:v>
      </x:c>
      <x:c r="K1529" s="26" t="n">
        <x:f>IF('Inputs'!$D$9="Ready",'Inputs'!F13,"n.a.")</x:f>
        <x:v>150</x:v>
      </x:c>
      <x:c r="L1529" s="29" t="n">
        <x:f>IF('Inputs'!$D$9="Ready",'Inputs'!G13,"n.a.")</x:f>
        <x:v>0</x:v>
      </x:c>
      <x:c r="M1529" s="22" t="n">
        <x:f>IF(COUNT(I1529:L1529)=4,ROUND(I1529*J1529/12,2),"n.a.")</x:f>
        <x:v>0</x:v>
      </x:c>
      <x:c r="N1529" s="22" t="n">
        <x:f>IF(COUNT(I1529:M1529)=5,MIN(I1529+M1529,ROUND(MAX(K1529,I1529*L1529+M1529),2)),"n.a.")</x:f>
        <x:v>0</x:v>
      </x:c>
      <x:c r="O1529" s="30" t="n">
        <x:f>IF(COUNT($I$1527:$I$1531)&lt;&gt;5,"n.a.",IF(I1529=0,6,IF('Inputs'!$D$5=1,COUNTIFS($I$1527:$I$1531,"&gt;0",$I$1527:$I$1531,"&lt;"&amp;I1529)+COUNTIFS($I$1527:I1529,I1529),COUNTIFS($I$1527:$I$1531,"&gt;0",$J$1527:$J$1531,"&gt;"&amp;J1529)+COUNTIFS($I$1527:I1529,"&gt;0",$J$1527:J1529,J1529))))</x:f>
        <x:v>6</x:v>
      </x:c>
      <x:c r="P1529" s="22" t="n">
        <x:f>IF(T1529="Ready",MIN(U1529,MAX(0,G1529-SUMIFS($U$1527:$U$1531,$O$1527:$O$1531,"&lt;"&amp;O1529))),"n.a.")</x:f>
        <x:v>0</x:v>
      </x:c>
      <x:c r="Q1529" s="22" t="n">
        <x:f>IF(T1529="Ready",ROUND(N1529+P1529,2),"n.a.")</x:f>
        <x:v>0</x:v>
      </x:c>
      <x:c r="R1529" s="22" t="n">
        <x:f>IF(T1529="Ready",ROUND(Q1529-M1529,2),"n.a.")</x:f>
        <x:v>0</x:v>
      </x:c>
      <x:c r="S1529" s="22" t="n">
        <x:f>IF(T1529="Ready",MAX(0,ROUND(I1529+M1529-Q1529,2)),"n.a.")</x:f>
        <x:v>0</x:v>
      </x:c>
      <x:c r="T1529" s="22" t="str">
        <x:f>IF(AND(COUNT($I$1527:$I$1531)=5,COUNT(E1529:F1529)=2),IF(E1529&gt;=F1529,"Ready","Budget below minima"),"Check inputs")</x:f>
        <x:v>Ready</x:v>
      </x:c>
      <x:c r="U1529" s="22" t="n">
        <x:f>IF(COUNT(I1529,M1529,N1529)=3,MAX(0,ROUND(I1529+M1529-N1529,2)),"n.a.")</x:f>
        <x:v>0</x:v>
      </x:c>
    </x:row>
    <x:row r="1530" ht="22" customHeight="1">
      <x:c r="A1530" s="2"/>
      <x:c r="B1530" s="2"/>
      <x:c r="C1530" s="27" t="n">
        <x:f>305</x:f>
        <x:v>305</x:v>
      </x:c>
      <x:c r="D1530" s="28" t="n">
        <x:f>IF(ISNUMBER('Inputs'!$D$7),EDATE('Inputs'!$D$7,304),"n.a.")</x:f>
        <x:v>55579</x:v>
      </x:c>
      <x:c r="E1530" s="26" t="n">
        <x:f>IF('Inputs'!$D$9&lt;&gt;"Ready","n.a.",IF(ISNUMBER('Inputs'!E323),IF('Inputs'!E323&gt;=0,'Inputs'!E323,"n.a."),IF('Inputs'!E323="",'Inputs'!$D$6,"n.a.")))</x:f>
        <x:v>500</x:v>
      </x:c>
      <x:c r="F1530" s="22" t="n">
        <x:f>IF(COUNT($N$1527:$N$1531)=5,SUM($N$1527:$N$1531),"n.a.")</x:f>
        <x:v>0</x:v>
      </x:c>
      <x:c r="G1530" s="22" t="n">
        <x:f>IF(COUNT(E1530:F1530)=2,MAX(0,E1530-F1530),"n.a.")</x:f>
        <x:v>500</x:v>
      </x:c>
      <x:c r="H1530" s="26" t="str">
        <x:f>'Inputs'!C14</x:f>
        <x:v>Unused 4</x:v>
      </x:c>
      <x:c r="I1530" s="26" t="n">
        <x:f>S1525</x:f>
        <x:v>0</x:v>
      </x:c>
      <x:c r="J1530" s="29" t="n">
        <x:f>IF('Inputs'!$D$9="Ready",'Inputs'!E14,"n.a.")</x:f>
        <x:v>0</x:v>
      </x:c>
      <x:c r="K1530" s="26" t="n">
        <x:f>IF('Inputs'!$D$9="Ready",'Inputs'!F14,"n.a.")</x:f>
        <x:v>0</x:v>
      </x:c>
      <x:c r="L1530" s="29" t="n">
        <x:f>IF('Inputs'!$D$9="Ready",'Inputs'!G14,"n.a.")</x:f>
        <x:v>0</x:v>
      </x:c>
      <x:c r="M1530" s="22" t="n">
        <x:f>IF(COUNT(I1530:L1530)=4,ROUND(I1530*J1530/12,2),"n.a.")</x:f>
        <x:v>0</x:v>
      </x:c>
      <x:c r="N1530" s="22" t="n">
        <x:f>IF(COUNT(I1530:M1530)=5,MIN(I1530+M1530,ROUND(MAX(K1530,I1530*L1530+M1530),2)),"n.a.")</x:f>
        <x:v>0</x:v>
      </x:c>
      <x:c r="O1530" s="30" t="n">
        <x:f>IF(COUNT($I$1527:$I$1531)&lt;&gt;5,"n.a.",IF(I1530=0,6,IF('Inputs'!$D$5=1,COUNTIFS($I$1527:$I$1531,"&gt;0",$I$1527:$I$1531,"&lt;"&amp;I1530)+COUNTIFS($I$1527:I1530,I1530),COUNTIFS($I$1527:$I$1531,"&gt;0",$J$1527:$J$1531,"&gt;"&amp;J1530)+COUNTIFS($I$1527:I1530,"&gt;0",$J$1527:J1530,J1530))))</x:f>
        <x:v>6</x:v>
      </x:c>
      <x:c r="P1530" s="22" t="n">
        <x:f>IF(T1530="Ready",MIN(U1530,MAX(0,G1530-SUMIFS($U$1527:$U$1531,$O$1527:$O$1531,"&lt;"&amp;O1530))),"n.a.")</x:f>
        <x:v>0</x:v>
      </x:c>
      <x:c r="Q1530" s="22" t="n">
        <x:f>IF(T1530="Ready",ROUND(N1530+P1530,2),"n.a.")</x:f>
        <x:v>0</x:v>
      </x:c>
      <x:c r="R1530" s="22" t="n">
        <x:f>IF(T1530="Ready",ROUND(Q1530-M1530,2),"n.a.")</x:f>
        <x:v>0</x:v>
      </x:c>
      <x:c r="S1530" s="22" t="n">
        <x:f>IF(T1530="Ready",MAX(0,ROUND(I1530+M1530-Q1530,2)),"n.a.")</x:f>
        <x:v>0</x:v>
      </x:c>
      <x:c r="T1530" s="22" t="str">
        <x:f>IF(AND(COUNT($I$1527:$I$1531)=5,COUNT(E1530:F1530)=2),IF(E1530&gt;=F1530,"Ready","Budget below minima"),"Check inputs")</x:f>
        <x:v>Ready</x:v>
      </x:c>
      <x:c r="U1530" s="22" t="n">
        <x:f>IF(COUNT(I1530,M1530,N1530)=3,MAX(0,ROUND(I1530+M1530-N1530,2)),"n.a.")</x:f>
        <x:v>0</x:v>
      </x:c>
    </x:row>
    <x:row r="1531" ht="22" customHeight="1">
      <x:c r="A1531" s="2"/>
      <x:c r="B1531" s="2"/>
      <x:c r="C1531" s="27" t="n">
        <x:f>305</x:f>
        <x:v>305</x:v>
      </x:c>
      <x:c r="D1531" s="28" t="n">
        <x:f>IF(ISNUMBER('Inputs'!$D$7),EDATE('Inputs'!$D$7,304),"n.a.")</x:f>
        <x:v>55579</x:v>
      </x:c>
      <x:c r="E1531" s="26" t="n">
        <x:f>IF('Inputs'!$D$9&lt;&gt;"Ready","n.a.",IF(ISNUMBER('Inputs'!E323),IF('Inputs'!E323&gt;=0,'Inputs'!E323,"n.a."),IF('Inputs'!E323="",'Inputs'!$D$6,"n.a.")))</x:f>
        <x:v>500</x:v>
      </x:c>
      <x:c r="F1531" s="22" t="n">
        <x:f>IF(COUNT($N$1527:$N$1531)=5,SUM($N$1527:$N$1531),"n.a.")</x:f>
        <x:v>0</x:v>
      </x:c>
      <x:c r="G1531" s="22" t="n">
        <x:f>IF(COUNT(E1531:F1531)=2,MAX(0,E1531-F1531),"n.a.")</x:f>
        <x:v>500</x:v>
      </x:c>
      <x:c r="H1531" s="26" t="str">
        <x:f>'Inputs'!C15</x:f>
        <x:v>Unused 5</x:v>
      </x:c>
      <x:c r="I1531" s="26" t="n">
        <x:f>S1526</x:f>
        <x:v>0</x:v>
      </x:c>
      <x:c r="J1531" s="29" t="n">
        <x:f>IF('Inputs'!$D$9="Ready",'Inputs'!E15,"n.a.")</x:f>
        <x:v>0</x:v>
      </x:c>
      <x:c r="K1531" s="26" t="n">
        <x:f>IF('Inputs'!$D$9="Ready",'Inputs'!F15,"n.a.")</x:f>
        <x:v>0</x:v>
      </x:c>
      <x:c r="L1531" s="29" t="n">
        <x:f>IF('Inputs'!$D$9="Ready",'Inputs'!G15,"n.a.")</x:f>
        <x:v>0</x:v>
      </x:c>
      <x:c r="M1531" s="22" t="n">
        <x:f>IF(COUNT(I1531:L1531)=4,ROUND(I1531*J1531/12,2),"n.a.")</x:f>
        <x:v>0</x:v>
      </x:c>
      <x:c r="N1531" s="22" t="n">
        <x:f>IF(COUNT(I1531:M1531)=5,MIN(I1531+M1531,ROUND(MAX(K1531,I1531*L1531+M1531),2)),"n.a.")</x:f>
        <x:v>0</x:v>
      </x:c>
      <x:c r="O1531" s="30" t="n">
        <x:f>IF(COUNT($I$1527:$I$1531)&lt;&gt;5,"n.a.",IF(I1531=0,6,IF('Inputs'!$D$5=1,COUNTIFS($I$1527:$I$1531,"&gt;0",$I$1527:$I$1531,"&lt;"&amp;I1531)+COUNTIFS($I$1527:I1531,I1531),COUNTIFS($I$1527:$I$1531,"&gt;0",$J$1527:$J$1531,"&gt;"&amp;J1531)+COUNTIFS($I$1527:I1531,"&gt;0",$J$1527:J1531,J1531))))</x:f>
        <x:v>6</x:v>
      </x:c>
      <x:c r="P1531" s="22" t="n">
        <x:f>IF(T1531="Ready",MIN(U1531,MAX(0,G1531-SUMIFS($U$1527:$U$1531,$O$1527:$O$1531,"&lt;"&amp;O1531))),"n.a.")</x:f>
        <x:v>0</x:v>
      </x:c>
      <x:c r="Q1531" s="22" t="n">
        <x:f>IF(T1531="Ready",ROUND(N1531+P1531,2),"n.a.")</x:f>
        <x:v>0</x:v>
      </x:c>
      <x:c r="R1531" s="22" t="n">
        <x:f>IF(T1531="Ready",ROUND(Q1531-M1531,2),"n.a.")</x:f>
        <x:v>0</x:v>
      </x:c>
      <x:c r="S1531" s="22" t="n">
        <x:f>IF(T1531="Ready",MAX(0,ROUND(I1531+M1531-Q1531,2)),"n.a.")</x:f>
        <x:v>0</x:v>
      </x:c>
      <x:c r="T1531" s="22" t="str">
        <x:f>IF(AND(COUNT($I$1527:$I$1531)=5,COUNT(E1531:F1531)=2),IF(E1531&gt;=F1531,"Ready","Budget below minima"),"Check inputs")</x:f>
        <x:v>Ready</x:v>
      </x:c>
      <x:c r="U1531" s="22" t="n">
        <x:f>IF(COUNT(I1531,M1531,N1531)=3,MAX(0,ROUND(I1531+M1531-N1531,2)),"n.a.")</x:f>
        <x:v>0</x:v>
      </x:c>
    </x:row>
    <x:row r="1532" ht="22" customHeight="1">
      <x:c r="A1532" s="2"/>
      <x:c r="B1532" s="2"/>
      <x:c r="C1532" s="27" t="n">
        <x:f>306</x:f>
        <x:v>306</x:v>
      </x:c>
      <x:c r="D1532" s="28" t="n">
        <x:f>IF(ISNUMBER('Inputs'!$D$7),EDATE('Inputs'!$D$7,305),"n.a.")</x:f>
        <x:v>55610</x:v>
      </x:c>
      <x:c r="E1532" s="26" t="n">
        <x:f>IF('Inputs'!$D$9&lt;&gt;"Ready","n.a.",IF(ISNUMBER('Inputs'!E324),IF('Inputs'!E324&gt;=0,'Inputs'!E324,"n.a."),IF('Inputs'!E324="",'Inputs'!$D$6,"n.a.")))</x:f>
        <x:v>500</x:v>
      </x:c>
      <x:c r="F1532" s="22" t="n">
        <x:f>IF(COUNT($N$1532:$N$1536)=5,SUM($N$1532:$N$1536),"n.a.")</x:f>
        <x:v>0</x:v>
      </x:c>
      <x:c r="G1532" s="22" t="n">
        <x:f>IF(COUNT(E1532:F1532)=2,MAX(0,E1532-F1532),"n.a.")</x:f>
        <x:v>500</x:v>
      </x:c>
      <x:c r="H1532" s="26" t="str">
        <x:f>'Inputs'!C11</x:f>
        <x:v>Card A</x:v>
      </x:c>
      <x:c r="I1532" s="26" t="n">
        <x:f>S1527</x:f>
        <x:v>0</x:v>
      </x:c>
      <x:c r="J1532" s="29" t="n">
        <x:f>IF('Inputs'!$D$9="Ready",'Inputs'!E11,"n.a.")</x:f>
        <x:v>0.24</x:v>
      </x:c>
      <x:c r="K1532" s="26" t="n">
        <x:f>IF('Inputs'!$D$9="Ready",'Inputs'!F11,"n.a.")</x:f>
        <x:v>35</x:v>
      </x:c>
      <x:c r="L1532" s="29" t="n">
        <x:f>IF('Inputs'!$D$9="Ready",'Inputs'!G11,"n.a.")</x:f>
        <x:v>0.02</x:v>
      </x:c>
      <x:c r="M1532" s="22" t="n">
        <x:f>IF(COUNT(I1532:L1532)=4,ROUND(I1532*J1532/12,2),"n.a.")</x:f>
        <x:v>0</x:v>
      </x:c>
      <x:c r="N1532" s="22" t="n">
        <x:f>IF(COUNT(I1532:M1532)=5,MIN(I1532+M1532,ROUND(MAX(K1532,I1532*L1532+M1532),2)),"n.a.")</x:f>
        <x:v>0</x:v>
      </x:c>
      <x:c r="O1532" s="30" t="n">
        <x:f>IF(COUNT($I$1532:$I$1536)&lt;&gt;5,"n.a.",IF(I1532=0,6,IF('Inputs'!$D$5=1,COUNTIFS($I$1532:$I$1536,"&gt;0",$I$1532:$I$1536,"&lt;"&amp;I1532)+COUNTIFS($I$1532:I1532,I1532),COUNTIFS($I$1532:$I$1536,"&gt;0",$J$1532:$J$1536,"&gt;"&amp;J1532)+COUNTIFS($I$1532:I1532,"&gt;0",$J$1532:J1532,J1532))))</x:f>
        <x:v>6</x:v>
      </x:c>
      <x:c r="P1532" s="22" t="n">
        <x:f>IF(T1532="Ready",MIN(U1532,MAX(0,G1532-SUMIFS($U$1532:$U$1536,$O$1532:$O$1536,"&lt;"&amp;O1532))),"n.a.")</x:f>
        <x:v>0</x:v>
      </x:c>
      <x:c r="Q1532" s="22" t="n">
        <x:f>IF(T1532="Ready",ROUND(N1532+P1532,2),"n.a.")</x:f>
        <x:v>0</x:v>
      </x:c>
      <x:c r="R1532" s="22" t="n">
        <x:f>IF(T1532="Ready",ROUND(Q1532-M1532,2),"n.a.")</x:f>
        <x:v>0</x:v>
      </x:c>
      <x:c r="S1532" s="22" t="n">
        <x:f>IF(T1532="Ready",MAX(0,ROUND(I1532+M1532-Q1532,2)),"n.a.")</x:f>
        <x:v>0</x:v>
      </x:c>
      <x:c r="T1532" s="22" t="str">
        <x:f>IF(AND(COUNT($I$1532:$I$1536)=5,COUNT(E1532:F1532)=2),IF(E1532&gt;=F1532,"Ready","Budget below minima"),"Check inputs")</x:f>
        <x:v>Ready</x:v>
      </x:c>
      <x:c r="U1532" s="22" t="n">
        <x:f>IF(COUNT(I1532,M1532,N1532)=3,MAX(0,ROUND(I1532+M1532-N1532,2)),"n.a.")</x:f>
        <x:v>0</x:v>
      </x:c>
    </x:row>
    <x:row r="1533" ht="22" customHeight="1">
      <x:c r="A1533" s="2"/>
      <x:c r="B1533" s="2"/>
      <x:c r="C1533" s="27" t="n">
        <x:f>306</x:f>
        <x:v>306</x:v>
      </x:c>
      <x:c r="D1533" s="28" t="n">
        <x:f>IF(ISNUMBER('Inputs'!$D$7),EDATE('Inputs'!$D$7,305),"n.a.")</x:f>
        <x:v>55610</x:v>
      </x:c>
      <x:c r="E1533" s="26" t="n">
        <x:f>IF('Inputs'!$D$9&lt;&gt;"Ready","n.a.",IF(ISNUMBER('Inputs'!E324),IF('Inputs'!E324&gt;=0,'Inputs'!E324,"n.a."),IF('Inputs'!E324="",'Inputs'!$D$6,"n.a.")))</x:f>
        <x:v>500</x:v>
      </x:c>
      <x:c r="F1533" s="22" t="n">
        <x:f>IF(COUNT($N$1532:$N$1536)=5,SUM($N$1532:$N$1536),"n.a.")</x:f>
        <x:v>0</x:v>
      </x:c>
      <x:c r="G1533" s="22" t="n">
        <x:f>IF(COUNT(E1533:F1533)=2,MAX(0,E1533-F1533),"n.a.")</x:f>
        <x:v>500</x:v>
      </x:c>
      <x:c r="H1533" s="26" t="str">
        <x:f>'Inputs'!C12</x:f>
        <x:v>Card B</x:v>
      </x:c>
      <x:c r="I1533" s="26" t="n">
        <x:f>S1528</x:f>
        <x:v>0</x:v>
      </x:c>
      <x:c r="J1533" s="29" t="n">
        <x:f>IF('Inputs'!$D$9="Ready",'Inputs'!E12,"n.a.")</x:f>
        <x:v>0.18</x:v>
      </x:c>
      <x:c r="K1533" s="26" t="n">
        <x:f>IF('Inputs'!$D$9="Ready",'Inputs'!F12,"n.a.")</x:f>
        <x:v>60</x:v>
      </x:c>
      <x:c r="L1533" s="29" t="n">
        <x:f>IF('Inputs'!$D$9="Ready",'Inputs'!G12,"n.a.")</x:f>
        <x:v>0.02</x:v>
      </x:c>
      <x:c r="M1533" s="22" t="n">
        <x:f>IF(COUNT(I1533:L1533)=4,ROUND(I1533*J1533/12,2),"n.a.")</x:f>
        <x:v>0</x:v>
      </x:c>
      <x:c r="N1533" s="22" t="n">
        <x:f>IF(COUNT(I1533:M1533)=5,MIN(I1533+M1533,ROUND(MAX(K1533,I1533*L1533+M1533),2)),"n.a.")</x:f>
        <x:v>0</x:v>
      </x:c>
      <x:c r="O1533" s="30" t="n">
        <x:f>IF(COUNT($I$1532:$I$1536)&lt;&gt;5,"n.a.",IF(I1533=0,6,IF('Inputs'!$D$5=1,COUNTIFS($I$1532:$I$1536,"&gt;0",$I$1532:$I$1536,"&lt;"&amp;I1533)+COUNTIFS($I$1532:I1533,I1533),COUNTIFS($I$1532:$I$1536,"&gt;0",$J$1532:$J$1536,"&gt;"&amp;J1533)+COUNTIFS($I$1532:I1533,"&gt;0",$J$1532:J1533,J1533))))</x:f>
        <x:v>6</x:v>
      </x:c>
      <x:c r="P1533" s="22" t="n">
        <x:f>IF(T1533="Ready",MIN(U1533,MAX(0,G1533-SUMIFS($U$1532:$U$1536,$O$1532:$O$1536,"&lt;"&amp;O1533))),"n.a.")</x:f>
        <x:v>0</x:v>
      </x:c>
      <x:c r="Q1533" s="22" t="n">
        <x:f>IF(T1533="Ready",ROUND(N1533+P1533,2),"n.a.")</x:f>
        <x:v>0</x:v>
      </x:c>
      <x:c r="R1533" s="22" t="n">
        <x:f>IF(T1533="Ready",ROUND(Q1533-M1533,2),"n.a.")</x:f>
        <x:v>0</x:v>
      </x:c>
      <x:c r="S1533" s="22" t="n">
        <x:f>IF(T1533="Ready",MAX(0,ROUND(I1533+M1533-Q1533,2)),"n.a.")</x:f>
        <x:v>0</x:v>
      </x:c>
      <x:c r="T1533" s="22" t="str">
        <x:f>IF(AND(COUNT($I$1532:$I$1536)=5,COUNT(E1533:F1533)=2),IF(E1533&gt;=F1533,"Ready","Budget below minima"),"Check inputs")</x:f>
        <x:v>Ready</x:v>
      </x:c>
      <x:c r="U1533" s="22" t="n">
        <x:f>IF(COUNT(I1533,M1533,N1533)=3,MAX(0,ROUND(I1533+M1533-N1533,2)),"n.a.")</x:f>
        <x:v>0</x:v>
      </x:c>
    </x:row>
    <x:row r="1534" ht="22" customHeight="1">
      <x:c r="A1534" s="2"/>
      <x:c r="B1534" s="2"/>
      <x:c r="C1534" s="27" t="n">
        <x:f>306</x:f>
        <x:v>306</x:v>
      </x:c>
      <x:c r="D1534" s="28" t="n">
        <x:f>IF(ISNUMBER('Inputs'!$D$7),EDATE('Inputs'!$D$7,305),"n.a.")</x:f>
        <x:v>55610</x:v>
      </x:c>
      <x:c r="E1534" s="26" t="n">
        <x:f>IF('Inputs'!$D$9&lt;&gt;"Ready","n.a.",IF(ISNUMBER('Inputs'!E324),IF('Inputs'!E324&gt;=0,'Inputs'!E324,"n.a."),IF('Inputs'!E324="",'Inputs'!$D$6,"n.a.")))</x:f>
        <x:v>500</x:v>
      </x:c>
      <x:c r="F1534" s="22" t="n">
        <x:f>IF(COUNT($N$1532:$N$1536)=5,SUM($N$1532:$N$1536),"n.a.")</x:f>
        <x:v>0</x:v>
      </x:c>
      <x:c r="G1534" s="22" t="n">
        <x:f>IF(COUNT(E1534:F1534)=2,MAX(0,E1534-F1534),"n.a.")</x:f>
        <x:v>500</x:v>
      </x:c>
      <x:c r="H1534" s="26" t="str">
        <x:f>'Inputs'!C13</x:f>
        <x:v>Loan C</x:v>
      </x:c>
      <x:c r="I1534" s="26" t="n">
        <x:f>S1529</x:f>
        <x:v>0</x:v>
      </x:c>
      <x:c r="J1534" s="29" t="n">
        <x:f>IF('Inputs'!$D$9="Ready",'Inputs'!E13,"n.a.")</x:f>
        <x:v>0.08</x:v>
      </x:c>
      <x:c r="K1534" s="26" t="n">
        <x:f>IF('Inputs'!$D$9="Ready",'Inputs'!F13,"n.a.")</x:f>
        <x:v>150</x:v>
      </x:c>
      <x:c r="L1534" s="29" t="n">
        <x:f>IF('Inputs'!$D$9="Ready",'Inputs'!G13,"n.a.")</x:f>
        <x:v>0</x:v>
      </x:c>
      <x:c r="M1534" s="22" t="n">
        <x:f>IF(COUNT(I1534:L1534)=4,ROUND(I1534*J1534/12,2),"n.a.")</x:f>
        <x:v>0</x:v>
      </x:c>
      <x:c r="N1534" s="22" t="n">
        <x:f>IF(COUNT(I1534:M1534)=5,MIN(I1534+M1534,ROUND(MAX(K1534,I1534*L1534+M1534),2)),"n.a.")</x:f>
        <x:v>0</x:v>
      </x:c>
      <x:c r="O1534" s="30" t="n">
        <x:f>IF(COUNT($I$1532:$I$1536)&lt;&gt;5,"n.a.",IF(I1534=0,6,IF('Inputs'!$D$5=1,COUNTIFS($I$1532:$I$1536,"&gt;0",$I$1532:$I$1536,"&lt;"&amp;I1534)+COUNTIFS($I$1532:I1534,I1534),COUNTIFS($I$1532:$I$1536,"&gt;0",$J$1532:$J$1536,"&gt;"&amp;J1534)+COUNTIFS($I$1532:I1534,"&gt;0",$J$1532:J1534,J1534))))</x:f>
        <x:v>6</x:v>
      </x:c>
      <x:c r="P1534" s="22" t="n">
        <x:f>IF(T1534="Ready",MIN(U1534,MAX(0,G1534-SUMIFS($U$1532:$U$1536,$O$1532:$O$1536,"&lt;"&amp;O1534))),"n.a.")</x:f>
        <x:v>0</x:v>
      </x:c>
      <x:c r="Q1534" s="22" t="n">
        <x:f>IF(T1534="Ready",ROUND(N1534+P1534,2),"n.a.")</x:f>
        <x:v>0</x:v>
      </x:c>
      <x:c r="R1534" s="22" t="n">
        <x:f>IF(T1534="Ready",ROUND(Q1534-M1534,2),"n.a.")</x:f>
        <x:v>0</x:v>
      </x:c>
      <x:c r="S1534" s="22" t="n">
        <x:f>IF(T1534="Ready",MAX(0,ROUND(I1534+M1534-Q1534,2)),"n.a.")</x:f>
        <x:v>0</x:v>
      </x:c>
      <x:c r="T1534" s="22" t="str">
        <x:f>IF(AND(COUNT($I$1532:$I$1536)=5,COUNT(E1534:F1534)=2),IF(E1534&gt;=F1534,"Ready","Budget below minima"),"Check inputs")</x:f>
        <x:v>Ready</x:v>
      </x:c>
      <x:c r="U1534" s="22" t="n">
        <x:f>IF(COUNT(I1534,M1534,N1534)=3,MAX(0,ROUND(I1534+M1534-N1534,2)),"n.a.")</x:f>
        <x:v>0</x:v>
      </x:c>
    </x:row>
    <x:row r="1535" ht="22" customHeight="1">
      <x:c r="A1535" s="2"/>
      <x:c r="B1535" s="2"/>
      <x:c r="C1535" s="27" t="n">
        <x:f>306</x:f>
        <x:v>306</x:v>
      </x:c>
      <x:c r="D1535" s="28" t="n">
        <x:f>IF(ISNUMBER('Inputs'!$D$7),EDATE('Inputs'!$D$7,305),"n.a.")</x:f>
        <x:v>55610</x:v>
      </x:c>
      <x:c r="E1535" s="26" t="n">
        <x:f>IF('Inputs'!$D$9&lt;&gt;"Ready","n.a.",IF(ISNUMBER('Inputs'!E324),IF('Inputs'!E324&gt;=0,'Inputs'!E324,"n.a."),IF('Inputs'!E324="",'Inputs'!$D$6,"n.a.")))</x:f>
        <x:v>500</x:v>
      </x:c>
      <x:c r="F1535" s="22" t="n">
        <x:f>IF(COUNT($N$1532:$N$1536)=5,SUM($N$1532:$N$1536),"n.a.")</x:f>
        <x:v>0</x:v>
      </x:c>
      <x:c r="G1535" s="22" t="n">
        <x:f>IF(COUNT(E1535:F1535)=2,MAX(0,E1535-F1535),"n.a.")</x:f>
        <x:v>500</x:v>
      </x:c>
      <x:c r="H1535" s="26" t="str">
        <x:f>'Inputs'!C14</x:f>
        <x:v>Unused 4</x:v>
      </x:c>
      <x:c r="I1535" s="26" t="n">
        <x:f>S1530</x:f>
        <x:v>0</x:v>
      </x:c>
      <x:c r="J1535" s="29" t="n">
        <x:f>IF('Inputs'!$D$9="Ready",'Inputs'!E14,"n.a.")</x:f>
        <x:v>0</x:v>
      </x:c>
      <x:c r="K1535" s="26" t="n">
        <x:f>IF('Inputs'!$D$9="Ready",'Inputs'!F14,"n.a.")</x:f>
        <x:v>0</x:v>
      </x:c>
      <x:c r="L1535" s="29" t="n">
        <x:f>IF('Inputs'!$D$9="Ready",'Inputs'!G14,"n.a.")</x:f>
        <x:v>0</x:v>
      </x:c>
      <x:c r="M1535" s="22" t="n">
        <x:f>IF(COUNT(I1535:L1535)=4,ROUND(I1535*J1535/12,2),"n.a.")</x:f>
        <x:v>0</x:v>
      </x:c>
      <x:c r="N1535" s="22" t="n">
        <x:f>IF(COUNT(I1535:M1535)=5,MIN(I1535+M1535,ROUND(MAX(K1535,I1535*L1535+M1535),2)),"n.a.")</x:f>
        <x:v>0</x:v>
      </x:c>
      <x:c r="O1535" s="30" t="n">
        <x:f>IF(COUNT($I$1532:$I$1536)&lt;&gt;5,"n.a.",IF(I1535=0,6,IF('Inputs'!$D$5=1,COUNTIFS($I$1532:$I$1536,"&gt;0",$I$1532:$I$1536,"&lt;"&amp;I1535)+COUNTIFS($I$1532:I1535,I1535),COUNTIFS($I$1532:$I$1536,"&gt;0",$J$1532:$J$1536,"&gt;"&amp;J1535)+COUNTIFS($I$1532:I1535,"&gt;0",$J$1532:J1535,J1535))))</x:f>
        <x:v>6</x:v>
      </x:c>
      <x:c r="P1535" s="22" t="n">
        <x:f>IF(T1535="Ready",MIN(U1535,MAX(0,G1535-SUMIFS($U$1532:$U$1536,$O$1532:$O$1536,"&lt;"&amp;O1535))),"n.a.")</x:f>
        <x:v>0</x:v>
      </x:c>
      <x:c r="Q1535" s="22" t="n">
        <x:f>IF(T1535="Ready",ROUND(N1535+P1535,2),"n.a.")</x:f>
        <x:v>0</x:v>
      </x:c>
      <x:c r="R1535" s="22" t="n">
        <x:f>IF(T1535="Ready",ROUND(Q1535-M1535,2),"n.a.")</x:f>
        <x:v>0</x:v>
      </x:c>
      <x:c r="S1535" s="22" t="n">
        <x:f>IF(T1535="Ready",MAX(0,ROUND(I1535+M1535-Q1535,2)),"n.a.")</x:f>
        <x:v>0</x:v>
      </x:c>
      <x:c r="T1535" s="22" t="str">
        <x:f>IF(AND(COUNT($I$1532:$I$1536)=5,COUNT(E1535:F1535)=2),IF(E1535&gt;=F1535,"Ready","Budget below minima"),"Check inputs")</x:f>
        <x:v>Ready</x:v>
      </x:c>
      <x:c r="U1535" s="22" t="n">
        <x:f>IF(COUNT(I1535,M1535,N1535)=3,MAX(0,ROUND(I1535+M1535-N1535,2)),"n.a.")</x:f>
        <x:v>0</x:v>
      </x:c>
    </x:row>
    <x:row r="1536" ht="22" customHeight="1">
      <x:c r="A1536" s="2"/>
      <x:c r="B1536" s="2"/>
      <x:c r="C1536" s="27" t="n">
        <x:f>306</x:f>
        <x:v>306</x:v>
      </x:c>
      <x:c r="D1536" s="28" t="n">
        <x:f>IF(ISNUMBER('Inputs'!$D$7),EDATE('Inputs'!$D$7,305),"n.a.")</x:f>
        <x:v>55610</x:v>
      </x:c>
      <x:c r="E1536" s="26" t="n">
        <x:f>IF('Inputs'!$D$9&lt;&gt;"Ready","n.a.",IF(ISNUMBER('Inputs'!E324),IF('Inputs'!E324&gt;=0,'Inputs'!E324,"n.a."),IF('Inputs'!E324="",'Inputs'!$D$6,"n.a.")))</x:f>
        <x:v>500</x:v>
      </x:c>
      <x:c r="F1536" s="22" t="n">
        <x:f>IF(COUNT($N$1532:$N$1536)=5,SUM($N$1532:$N$1536),"n.a.")</x:f>
        <x:v>0</x:v>
      </x:c>
      <x:c r="G1536" s="22" t="n">
        <x:f>IF(COUNT(E1536:F1536)=2,MAX(0,E1536-F1536),"n.a.")</x:f>
        <x:v>500</x:v>
      </x:c>
      <x:c r="H1536" s="26" t="str">
        <x:f>'Inputs'!C15</x:f>
        <x:v>Unused 5</x:v>
      </x:c>
      <x:c r="I1536" s="26" t="n">
        <x:f>S1531</x:f>
        <x:v>0</x:v>
      </x:c>
      <x:c r="J1536" s="29" t="n">
        <x:f>IF('Inputs'!$D$9="Ready",'Inputs'!E15,"n.a.")</x:f>
        <x:v>0</x:v>
      </x:c>
      <x:c r="K1536" s="26" t="n">
        <x:f>IF('Inputs'!$D$9="Ready",'Inputs'!F15,"n.a.")</x:f>
        <x:v>0</x:v>
      </x:c>
      <x:c r="L1536" s="29" t="n">
        <x:f>IF('Inputs'!$D$9="Ready",'Inputs'!G15,"n.a.")</x:f>
        <x:v>0</x:v>
      </x:c>
      <x:c r="M1536" s="22" t="n">
        <x:f>IF(COUNT(I1536:L1536)=4,ROUND(I1536*J1536/12,2),"n.a.")</x:f>
        <x:v>0</x:v>
      </x:c>
      <x:c r="N1536" s="22" t="n">
        <x:f>IF(COUNT(I1536:M1536)=5,MIN(I1536+M1536,ROUND(MAX(K1536,I1536*L1536+M1536),2)),"n.a.")</x:f>
        <x:v>0</x:v>
      </x:c>
      <x:c r="O1536" s="30" t="n">
        <x:f>IF(COUNT($I$1532:$I$1536)&lt;&gt;5,"n.a.",IF(I1536=0,6,IF('Inputs'!$D$5=1,COUNTIFS($I$1532:$I$1536,"&gt;0",$I$1532:$I$1536,"&lt;"&amp;I1536)+COUNTIFS($I$1532:I1536,I1536),COUNTIFS($I$1532:$I$1536,"&gt;0",$J$1532:$J$1536,"&gt;"&amp;J1536)+COUNTIFS($I$1532:I1536,"&gt;0",$J$1532:J1536,J1536))))</x:f>
        <x:v>6</x:v>
      </x:c>
      <x:c r="P1536" s="22" t="n">
        <x:f>IF(T1536="Ready",MIN(U1536,MAX(0,G1536-SUMIFS($U$1532:$U$1536,$O$1532:$O$1536,"&lt;"&amp;O1536))),"n.a.")</x:f>
        <x:v>0</x:v>
      </x:c>
      <x:c r="Q1536" s="22" t="n">
        <x:f>IF(T1536="Ready",ROUND(N1536+P1536,2),"n.a.")</x:f>
        <x:v>0</x:v>
      </x:c>
      <x:c r="R1536" s="22" t="n">
        <x:f>IF(T1536="Ready",ROUND(Q1536-M1536,2),"n.a.")</x:f>
        <x:v>0</x:v>
      </x:c>
      <x:c r="S1536" s="22" t="n">
        <x:f>IF(T1536="Ready",MAX(0,ROUND(I1536+M1536-Q1536,2)),"n.a.")</x:f>
        <x:v>0</x:v>
      </x:c>
      <x:c r="T1536" s="22" t="str">
        <x:f>IF(AND(COUNT($I$1532:$I$1536)=5,COUNT(E1536:F1536)=2),IF(E1536&gt;=F1536,"Ready","Budget below minima"),"Check inputs")</x:f>
        <x:v>Ready</x:v>
      </x:c>
      <x:c r="U1536" s="22" t="n">
        <x:f>IF(COUNT(I1536,M1536,N1536)=3,MAX(0,ROUND(I1536+M1536-N1536,2)),"n.a.")</x:f>
        <x:v>0</x:v>
      </x:c>
    </x:row>
    <x:row r="1537" ht="22" customHeight="1">
      <x:c r="A1537" s="2"/>
      <x:c r="B1537" s="2"/>
      <x:c r="C1537" s="27" t="n">
        <x:f>307</x:f>
        <x:v>307</x:v>
      </x:c>
      <x:c r="D1537" s="28" t="n">
        <x:f>IF(ISNUMBER('Inputs'!$D$7),EDATE('Inputs'!$D$7,306),"n.a.")</x:f>
        <x:v>55640</x:v>
      </x:c>
      <x:c r="E1537" s="26" t="n">
        <x:f>IF('Inputs'!$D$9&lt;&gt;"Ready","n.a.",IF(ISNUMBER('Inputs'!E325),IF('Inputs'!E325&gt;=0,'Inputs'!E325,"n.a."),IF('Inputs'!E325="",'Inputs'!$D$6,"n.a.")))</x:f>
        <x:v>500</x:v>
      </x:c>
      <x:c r="F1537" s="22" t="n">
        <x:f>IF(COUNT($N$1537:$N$1541)=5,SUM($N$1537:$N$1541),"n.a.")</x:f>
        <x:v>0</x:v>
      </x:c>
      <x:c r="G1537" s="22" t="n">
        <x:f>IF(COUNT(E1537:F1537)=2,MAX(0,E1537-F1537),"n.a.")</x:f>
        <x:v>500</x:v>
      </x:c>
      <x:c r="H1537" s="26" t="str">
        <x:f>'Inputs'!C11</x:f>
        <x:v>Card A</x:v>
      </x:c>
      <x:c r="I1537" s="26" t="n">
        <x:f>S1532</x:f>
        <x:v>0</x:v>
      </x:c>
      <x:c r="J1537" s="29" t="n">
        <x:f>IF('Inputs'!$D$9="Ready",'Inputs'!E11,"n.a.")</x:f>
        <x:v>0.24</x:v>
      </x:c>
      <x:c r="K1537" s="26" t="n">
        <x:f>IF('Inputs'!$D$9="Ready",'Inputs'!F11,"n.a.")</x:f>
        <x:v>35</x:v>
      </x:c>
      <x:c r="L1537" s="29" t="n">
        <x:f>IF('Inputs'!$D$9="Ready",'Inputs'!G11,"n.a.")</x:f>
        <x:v>0.02</x:v>
      </x:c>
      <x:c r="M1537" s="22" t="n">
        <x:f>IF(COUNT(I1537:L1537)=4,ROUND(I1537*J1537/12,2),"n.a.")</x:f>
        <x:v>0</x:v>
      </x:c>
      <x:c r="N1537" s="22" t="n">
        <x:f>IF(COUNT(I1537:M1537)=5,MIN(I1537+M1537,ROUND(MAX(K1537,I1537*L1537+M1537),2)),"n.a.")</x:f>
        <x:v>0</x:v>
      </x:c>
      <x:c r="O1537" s="30" t="n">
        <x:f>IF(COUNT($I$1537:$I$1541)&lt;&gt;5,"n.a.",IF(I1537=0,6,IF('Inputs'!$D$5=1,COUNTIFS($I$1537:$I$1541,"&gt;0",$I$1537:$I$1541,"&lt;"&amp;I1537)+COUNTIFS($I$1537:I1537,I1537),COUNTIFS($I$1537:$I$1541,"&gt;0",$J$1537:$J$1541,"&gt;"&amp;J1537)+COUNTIFS($I$1537:I1537,"&gt;0",$J$1537:J1537,J1537))))</x:f>
        <x:v>6</x:v>
      </x:c>
      <x:c r="P1537" s="22" t="n">
        <x:f>IF(T1537="Ready",MIN(U1537,MAX(0,G1537-SUMIFS($U$1537:$U$1541,$O$1537:$O$1541,"&lt;"&amp;O1537))),"n.a.")</x:f>
        <x:v>0</x:v>
      </x:c>
      <x:c r="Q1537" s="22" t="n">
        <x:f>IF(T1537="Ready",ROUND(N1537+P1537,2),"n.a.")</x:f>
        <x:v>0</x:v>
      </x:c>
      <x:c r="R1537" s="22" t="n">
        <x:f>IF(T1537="Ready",ROUND(Q1537-M1537,2),"n.a.")</x:f>
        <x:v>0</x:v>
      </x:c>
      <x:c r="S1537" s="22" t="n">
        <x:f>IF(T1537="Ready",MAX(0,ROUND(I1537+M1537-Q1537,2)),"n.a.")</x:f>
        <x:v>0</x:v>
      </x:c>
      <x:c r="T1537" s="22" t="str">
        <x:f>IF(AND(COUNT($I$1537:$I$1541)=5,COUNT(E1537:F1537)=2),IF(E1537&gt;=F1537,"Ready","Budget below minima"),"Check inputs")</x:f>
        <x:v>Ready</x:v>
      </x:c>
      <x:c r="U1537" s="22" t="n">
        <x:f>IF(COUNT(I1537,M1537,N1537)=3,MAX(0,ROUND(I1537+M1537-N1537,2)),"n.a.")</x:f>
        <x:v>0</x:v>
      </x:c>
    </x:row>
    <x:row r="1538" ht="22" customHeight="1">
      <x:c r="A1538" s="2"/>
      <x:c r="B1538" s="2"/>
      <x:c r="C1538" s="27" t="n">
        <x:f>307</x:f>
        <x:v>307</x:v>
      </x:c>
      <x:c r="D1538" s="28" t="n">
        <x:f>IF(ISNUMBER('Inputs'!$D$7),EDATE('Inputs'!$D$7,306),"n.a.")</x:f>
        <x:v>55640</x:v>
      </x:c>
      <x:c r="E1538" s="26" t="n">
        <x:f>IF('Inputs'!$D$9&lt;&gt;"Ready","n.a.",IF(ISNUMBER('Inputs'!E325),IF('Inputs'!E325&gt;=0,'Inputs'!E325,"n.a."),IF('Inputs'!E325="",'Inputs'!$D$6,"n.a.")))</x:f>
        <x:v>500</x:v>
      </x:c>
      <x:c r="F1538" s="22" t="n">
        <x:f>IF(COUNT($N$1537:$N$1541)=5,SUM($N$1537:$N$1541),"n.a.")</x:f>
        <x:v>0</x:v>
      </x:c>
      <x:c r="G1538" s="22" t="n">
        <x:f>IF(COUNT(E1538:F1538)=2,MAX(0,E1538-F1538),"n.a.")</x:f>
        <x:v>500</x:v>
      </x:c>
      <x:c r="H1538" s="26" t="str">
        <x:f>'Inputs'!C12</x:f>
        <x:v>Card B</x:v>
      </x:c>
      <x:c r="I1538" s="26" t="n">
        <x:f>S1533</x:f>
        <x:v>0</x:v>
      </x:c>
      <x:c r="J1538" s="29" t="n">
        <x:f>IF('Inputs'!$D$9="Ready",'Inputs'!E12,"n.a.")</x:f>
        <x:v>0.18</x:v>
      </x:c>
      <x:c r="K1538" s="26" t="n">
        <x:f>IF('Inputs'!$D$9="Ready",'Inputs'!F12,"n.a.")</x:f>
        <x:v>60</x:v>
      </x:c>
      <x:c r="L1538" s="29" t="n">
        <x:f>IF('Inputs'!$D$9="Ready",'Inputs'!G12,"n.a.")</x:f>
        <x:v>0.02</x:v>
      </x:c>
      <x:c r="M1538" s="22" t="n">
        <x:f>IF(COUNT(I1538:L1538)=4,ROUND(I1538*J1538/12,2),"n.a.")</x:f>
        <x:v>0</x:v>
      </x:c>
      <x:c r="N1538" s="22" t="n">
        <x:f>IF(COUNT(I1538:M1538)=5,MIN(I1538+M1538,ROUND(MAX(K1538,I1538*L1538+M1538),2)),"n.a.")</x:f>
        <x:v>0</x:v>
      </x:c>
      <x:c r="O1538" s="30" t="n">
        <x:f>IF(COUNT($I$1537:$I$1541)&lt;&gt;5,"n.a.",IF(I1538=0,6,IF('Inputs'!$D$5=1,COUNTIFS($I$1537:$I$1541,"&gt;0",$I$1537:$I$1541,"&lt;"&amp;I1538)+COUNTIFS($I$1537:I1538,I1538),COUNTIFS($I$1537:$I$1541,"&gt;0",$J$1537:$J$1541,"&gt;"&amp;J1538)+COUNTIFS($I$1537:I1538,"&gt;0",$J$1537:J1538,J1538))))</x:f>
        <x:v>6</x:v>
      </x:c>
      <x:c r="P1538" s="22" t="n">
        <x:f>IF(T1538="Ready",MIN(U1538,MAX(0,G1538-SUMIFS($U$1537:$U$1541,$O$1537:$O$1541,"&lt;"&amp;O1538))),"n.a.")</x:f>
        <x:v>0</x:v>
      </x:c>
      <x:c r="Q1538" s="22" t="n">
        <x:f>IF(T1538="Ready",ROUND(N1538+P1538,2),"n.a.")</x:f>
        <x:v>0</x:v>
      </x:c>
      <x:c r="R1538" s="22" t="n">
        <x:f>IF(T1538="Ready",ROUND(Q1538-M1538,2),"n.a.")</x:f>
        <x:v>0</x:v>
      </x:c>
      <x:c r="S1538" s="22" t="n">
        <x:f>IF(T1538="Ready",MAX(0,ROUND(I1538+M1538-Q1538,2)),"n.a.")</x:f>
        <x:v>0</x:v>
      </x:c>
      <x:c r="T1538" s="22" t="str">
        <x:f>IF(AND(COUNT($I$1537:$I$1541)=5,COUNT(E1538:F1538)=2),IF(E1538&gt;=F1538,"Ready","Budget below minima"),"Check inputs")</x:f>
        <x:v>Ready</x:v>
      </x:c>
      <x:c r="U1538" s="22" t="n">
        <x:f>IF(COUNT(I1538,M1538,N1538)=3,MAX(0,ROUND(I1538+M1538-N1538,2)),"n.a.")</x:f>
        <x:v>0</x:v>
      </x:c>
    </x:row>
    <x:row r="1539" ht="22" customHeight="1">
      <x:c r="A1539" s="2"/>
      <x:c r="B1539" s="2"/>
      <x:c r="C1539" s="27" t="n">
        <x:f>307</x:f>
        <x:v>307</x:v>
      </x:c>
      <x:c r="D1539" s="28" t="n">
        <x:f>IF(ISNUMBER('Inputs'!$D$7),EDATE('Inputs'!$D$7,306),"n.a.")</x:f>
        <x:v>55640</x:v>
      </x:c>
      <x:c r="E1539" s="26" t="n">
        <x:f>IF('Inputs'!$D$9&lt;&gt;"Ready","n.a.",IF(ISNUMBER('Inputs'!E325),IF('Inputs'!E325&gt;=0,'Inputs'!E325,"n.a."),IF('Inputs'!E325="",'Inputs'!$D$6,"n.a.")))</x:f>
        <x:v>500</x:v>
      </x:c>
      <x:c r="F1539" s="22" t="n">
        <x:f>IF(COUNT($N$1537:$N$1541)=5,SUM($N$1537:$N$1541),"n.a.")</x:f>
        <x:v>0</x:v>
      </x:c>
      <x:c r="G1539" s="22" t="n">
        <x:f>IF(COUNT(E1539:F1539)=2,MAX(0,E1539-F1539),"n.a.")</x:f>
        <x:v>500</x:v>
      </x:c>
      <x:c r="H1539" s="26" t="str">
        <x:f>'Inputs'!C13</x:f>
        <x:v>Loan C</x:v>
      </x:c>
      <x:c r="I1539" s="26" t="n">
        <x:f>S1534</x:f>
        <x:v>0</x:v>
      </x:c>
      <x:c r="J1539" s="29" t="n">
        <x:f>IF('Inputs'!$D$9="Ready",'Inputs'!E13,"n.a.")</x:f>
        <x:v>0.08</x:v>
      </x:c>
      <x:c r="K1539" s="26" t="n">
        <x:f>IF('Inputs'!$D$9="Ready",'Inputs'!F13,"n.a.")</x:f>
        <x:v>150</x:v>
      </x:c>
      <x:c r="L1539" s="29" t="n">
        <x:f>IF('Inputs'!$D$9="Ready",'Inputs'!G13,"n.a.")</x:f>
        <x:v>0</x:v>
      </x:c>
      <x:c r="M1539" s="22" t="n">
        <x:f>IF(COUNT(I1539:L1539)=4,ROUND(I1539*J1539/12,2),"n.a.")</x:f>
        <x:v>0</x:v>
      </x:c>
      <x:c r="N1539" s="22" t="n">
        <x:f>IF(COUNT(I1539:M1539)=5,MIN(I1539+M1539,ROUND(MAX(K1539,I1539*L1539+M1539),2)),"n.a.")</x:f>
        <x:v>0</x:v>
      </x:c>
      <x:c r="O1539" s="30" t="n">
        <x:f>IF(COUNT($I$1537:$I$1541)&lt;&gt;5,"n.a.",IF(I1539=0,6,IF('Inputs'!$D$5=1,COUNTIFS($I$1537:$I$1541,"&gt;0",$I$1537:$I$1541,"&lt;"&amp;I1539)+COUNTIFS($I$1537:I1539,I1539),COUNTIFS($I$1537:$I$1541,"&gt;0",$J$1537:$J$1541,"&gt;"&amp;J1539)+COUNTIFS($I$1537:I1539,"&gt;0",$J$1537:J1539,J1539))))</x:f>
        <x:v>6</x:v>
      </x:c>
      <x:c r="P1539" s="22" t="n">
        <x:f>IF(T1539="Ready",MIN(U1539,MAX(0,G1539-SUMIFS($U$1537:$U$1541,$O$1537:$O$1541,"&lt;"&amp;O1539))),"n.a.")</x:f>
        <x:v>0</x:v>
      </x:c>
      <x:c r="Q1539" s="22" t="n">
        <x:f>IF(T1539="Ready",ROUND(N1539+P1539,2),"n.a.")</x:f>
        <x:v>0</x:v>
      </x:c>
      <x:c r="R1539" s="22" t="n">
        <x:f>IF(T1539="Ready",ROUND(Q1539-M1539,2),"n.a.")</x:f>
        <x:v>0</x:v>
      </x:c>
      <x:c r="S1539" s="22" t="n">
        <x:f>IF(T1539="Ready",MAX(0,ROUND(I1539+M1539-Q1539,2)),"n.a.")</x:f>
        <x:v>0</x:v>
      </x:c>
      <x:c r="T1539" s="22" t="str">
        <x:f>IF(AND(COUNT($I$1537:$I$1541)=5,COUNT(E1539:F1539)=2),IF(E1539&gt;=F1539,"Ready","Budget below minima"),"Check inputs")</x:f>
        <x:v>Ready</x:v>
      </x:c>
      <x:c r="U1539" s="22" t="n">
        <x:f>IF(COUNT(I1539,M1539,N1539)=3,MAX(0,ROUND(I1539+M1539-N1539,2)),"n.a.")</x:f>
        <x:v>0</x:v>
      </x:c>
    </x:row>
    <x:row r="1540" ht="22" customHeight="1">
      <x:c r="A1540" s="2"/>
      <x:c r="B1540" s="2"/>
      <x:c r="C1540" s="27" t="n">
        <x:f>307</x:f>
        <x:v>307</x:v>
      </x:c>
      <x:c r="D1540" s="28" t="n">
        <x:f>IF(ISNUMBER('Inputs'!$D$7),EDATE('Inputs'!$D$7,306),"n.a.")</x:f>
        <x:v>55640</x:v>
      </x:c>
      <x:c r="E1540" s="26" t="n">
        <x:f>IF('Inputs'!$D$9&lt;&gt;"Ready","n.a.",IF(ISNUMBER('Inputs'!E325),IF('Inputs'!E325&gt;=0,'Inputs'!E325,"n.a."),IF('Inputs'!E325="",'Inputs'!$D$6,"n.a.")))</x:f>
        <x:v>500</x:v>
      </x:c>
      <x:c r="F1540" s="22" t="n">
        <x:f>IF(COUNT($N$1537:$N$1541)=5,SUM($N$1537:$N$1541),"n.a.")</x:f>
        <x:v>0</x:v>
      </x:c>
      <x:c r="G1540" s="22" t="n">
        <x:f>IF(COUNT(E1540:F1540)=2,MAX(0,E1540-F1540),"n.a.")</x:f>
        <x:v>500</x:v>
      </x:c>
      <x:c r="H1540" s="26" t="str">
        <x:f>'Inputs'!C14</x:f>
        <x:v>Unused 4</x:v>
      </x:c>
      <x:c r="I1540" s="26" t="n">
        <x:f>S1535</x:f>
        <x:v>0</x:v>
      </x:c>
      <x:c r="J1540" s="29" t="n">
        <x:f>IF('Inputs'!$D$9="Ready",'Inputs'!E14,"n.a.")</x:f>
        <x:v>0</x:v>
      </x:c>
      <x:c r="K1540" s="26" t="n">
        <x:f>IF('Inputs'!$D$9="Ready",'Inputs'!F14,"n.a.")</x:f>
        <x:v>0</x:v>
      </x:c>
      <x:c r="L1540" s="29" t="n">
        <x:f>IF('Inputs'!$D$9="Ready",'Inputs'!G14,"n.a.")</x:f>
        <x:v>0</x:v>
      </x:c>
      <x:c r="M1540" s="22" t="n">
        <x:f>IF(COUNT(I1540:L1540)=4,ROUND(I1540*J1540/12,2),"n.a.")</x:f>
        <x:v>0</x:v>
      </x:c>
      <x:c r="N1540" s="22" t="n">
        <x:f>IF(COUNT(I1540:M1540)=5,MIN(I1540+M1540,ROUND(MAX(K1540,I1540*L1540+M1540),2)),"n.a.")</x:f>
        <x:v>0</x:v>
      </x:c>
      <x:c r="O1540" s="30" t="n">
        <x:f>IF(COUNT($I$1537:$I$1541)&lt;&gt;5,"n.a.",IF(I1540=0,6,IF('Inputs'!$D$5=1,COUNTIFS($I$1537:$I$1541,"&gt;0",$I$1537:$I$1541,"&lt;"&amp;I1540)+COUNTIFS($I$1537:I1540,I1540),COUNTIFS($I$1537:$I$1541,"&gt;0",$J$1537:$J$1541,"&gt;"&amp;J1540)+COUNTIFS($I$1537:I1540,"&gt;0",$J$1537:J1540,J1540))))</x:f>
        <x:v>6</x:v>
      </x:c>
      <x:c r="P1540" s="22" t="n">
        <x:f>IF(T1540="Ready",MIN(U1540,MAX(0,G1540-SUMIFS($U$1537:$U$1541,$O$1537:$O$1541,"&lt;"&amp;O1540))),"n.a.")</x:f>
        <x:v>0</x:v>
      </x:c>
      <x:c r="Q1540" s="22" t="n">
        <x:f>IF(T1540="Ready",ROUND(N1540+P1540,2),"n.a.")</x:f>
        <x:v>0</x:v>
      </x:c>
      <x:c r="R1540" s="22" t="n">
        <x:f>IF(T1540="Ready",ROUND(Q1540-M1540,2),"n.a.")</x:f>
        <x:v>0</x:v>
      </x:c>
      <x:c r="S1540" s="22" t="n">
        <x:f>IF(T1540="Ready",MAX(0,ROUND(I1540+M1540-Q1540,2)),"n.a.")</x:f>
        <x:v>0</x:v>
      </x:c>
      <x:c r="T1540" s="22" t="str">
        <x:f>IF(AND(COUNT($I$1537:$I$1541)=5,COUNT(E1540:F1540)=2),IF(E1540&gt;=F1540,"Ready","Budget below minima"),"Check inputs")</x:f>
        <x:v>Ready</x:v>
      </x:c>
      <x:c r="U1540" s="22" t="n">
        <x:f>IF(COUNT(I1540,M1540,N1540)=3,MAX(0,ROUND(I1540+M1540-N1540,2)),"n.a.")</x:f>
        <x:v>0</x:v>
      </x:c>
    </x:row>
    <x:row r="1541" ht="22" customHeight="1">
      <x:c r="A1541" s="2"/>
      <x:c r="B1541" s="2"/>
      <x:c r="C1541" s="27" t="n">
        <x:f>307</x:f>
        <x:v>307</x:v>
      </x:c>
      <x:c r="D1541" s="28" t="n">
        <x:f>IF(ISNUMBER('Inputs'!$D$7),EDATE('Inputs'!$D$7,306),"n.a.")</x:f>
        <x:v>55640</x:v>
      </x:c>
      <x:c r="E1541" s="26" t="n">
        <x:f>IF('Inputs'!$D$9&lt;&gt;"Ready","n.a.",IF(ISNUMBER('Inputs'!E325),IF('Inputs'!E325&gt;=0,'Inputs'!E325,"n.a."),IF('Inputs'!E325="",'Inputs'!$D$6,"n.a.")))</x:f>
        <x:v>500</x:v>
      </x:c>
      <x:c r="F1541" s="22" t="n">
        <x:f>IF(COUNT($N$1537:$N$1541)=5,SUM($N$1537:$N$1541),"n.a.")</x:f>
        <x:v>0</x:v>
      </x:c>
      <x:c r="G1541" s="22" t="n">
        <x:f>IF(COUNT(E1541:F1541)=2,MAX(0,E1541-F1541),"n.a.")</x:f>
        <x:v>500</x:v>
      </x:c>
      <x:c r="H1541" s="26" t="str">
        <x:f>'Inputs'!C15</x:f>
        <x:v>Unused 5</x:v>
      </x:c>
      <x:c r="I1541" s="26" t="n">
        <x:f>S1536</x:f>
        <x:v>0</x:v>
      </x:c>
      <x:c r="J1541" s="29" t="n">
        <x:f>IF('Inputs'!$D$9="Ready",'Inputs'!E15,"n.a.")</x:f>
        <x:v>0</x:v>
      </x:c>
      <x:c r="K1541" s="26" t="n">
        <x:f>IF('Inputs'!$D$9="Ready",'Inputs'!F15,"n.a.")</x:f>
        <x:v>0</x:v>
      </x:c>
      <x:c r="L1541" s="29" t="n">
        <x:f>IF('Inputs'!$D$9="Ready",'Inputs'!G15,"n.a.")</x:f>
        <x:v>0</x:v>
      </x:c>
      <x:c r="M1541" s="22" t="n">
        <x:f>IF(COUNT(I1541:L1541)=4,ROUND(I1541*J1541/12,2),"n.a.")</x:f>
        <x:v>0</x:v>
      </x:c>
      <x:c r="N1541" s="22" t="n">
        <x:f>IF(COUNT(I1541:M1541)=5,MIN(I1541+M1541,ROUND(MAX(K1541,I1541*L1541+M1541),2)),"n.a.")</x:f>
        <x:v>0</x:v>
      </x:c>
      <x:c r="O1541" s="30" t="n">
        <x:f>IF(COUNT($I$1537:$I$1541)&lt;&gt;5,"n.a.",IF(I1541=0,6,IF('Inputs'!$D$5=1,COUNTIFS($I$1537:$I$1541,"&gt;0",$I$1537:$I$1541,"&lt;"&amp;I1541)+COUNTIFS($I$1537:I1541,I1541),COUNTIFS($I$1537:$I$1541,"&gt;0",$J$1537:$J$1541,"&gt;"&amp;J1541)+COUNTIFS($I$1537:I1541,"&gt;0",$J$1537:J1541,J1541))))</x:f>
        <x:v>6</x:v>
      </x:c>
      <x:c r="P1541" s="22" t="n">
        <x:f>IF(T1541="Ready",MIN(U1541,MAX(0,G1541-SUMIFS($U$1537:$U$1541,$O$1537:$O$1541,"&lt;"&amp;O1541))),"n.a.")</x:f>
        <x:v>0</x:v>
      </x:c>
      <x:c r="Q1541" s="22" t="n">
        <x:f>IF(T1541="Ready",ROUND(N1541+P1541,2),"n.a.")</x:f>
        <x:v>0</x:v>
      </x:c>
      <x:c r="R1541" s="22" t="n">
        <x:f>IF(T1541="Ready",ROUND(Q1541-M1541,2),"n.a.")</x:f>
        <x:v>0</x:v>
      </x:c>
      <x:c r="S1541" s="22" t="n">
        <x:f>IF(T1541="Ready",MAX(0,ROUND(I1541+M1541-Q1541,2)),"n.a.")</x:f>
        <x:v>0</x:v>
      </x:c>
      <x:c r="T1541" s="22" t="str">
        <x:f>IF(AND(COUNT($I$1537:$I$1541)=5,COUNT(E1541:F1541)=2),IF(E1541&gt;=F1541,"Ready","Budget below minima"),"Check inputs")</x:f>
        <x:v>Ready</x:v>
      </x:c>
      <x:c r="U1541" s="22" t="n">
        <x:f>IF(COUNT(I1541,M1541,N1541)=3,MAX(0,ROUND(I1541+M1541-N1541,2)),"n.a.")</x:f>
        <x:v>0</x:v>
      </x:c>
    </x:row>
    <x:row r="1542" ht="22" customHeight="1">
      <x:c r="A1542" s="2"/>
      <x:c r="B1542" s="2"/>
      <x:c r="C1542" s="27" t="n">
        <x:f>308</x:f>
        <x:v>308</x:v>
      </x:c>
      <x:c r="D1542" s="28" t="n">
        <x:f>IF(ISNUMBER('Inputs'!$D$7),EDATE('Inputs'!$D$7,307),"n.a.")</x:f>
        <x:v>55671</x:v>
      </x:c>
      <x:c r="E1542" s="26" t="n">
        <x:f>IF('Inputs'!$D$9&lt;&gt;"Ready","n.a.",IF(ISNUMBER('Inputs'!E326),IF('Inputs'!E326&gt;=0,'Inputs'!E326,"n.a."),IF('Inputs'!E326="",'Inputs'!$D$6,"n.a.")))</x:f>
        <x:v>500</x:v>
      </x:c>
      <x:c r="F1542" s="22" t="n">
        <x:f>IF(COUNT($N$1542:$N$1546)=5,SUM($N$1542:$N$1546),"n.a.")</x:f>
        <x:v>0</x:v>
      </x:c>
      <x:c r="G1542" s="22" t="n">
        <x:f>IF(COUNT(E1542:F1542)=2,MAX(0,E1542-F1542),"n.a.")</x:f>
        <x:v>500</x:v>
      </x:c>
      <x:c r="H1542" s="26" t="str">
        <x:f>'Inputs'!C11</x:f>
        <x:v>Card A</x:v>
      </x:c>
      <x:c r="I1542" s="26" t="n">
        <x:f>S1537</x:f>
        <x:v>0</x:v>
      </x:c>
      <x:c r="J1542" s="29" t="n">
        <x:f>IF('Inputs'!$D$9="Ready",'Inputs'!E11,"n.a.")</x:f>
        <x:v>0.24</x:v>
      </x:c>
      <x:c r="K1542" s="26" t="n">
        <x:f>IF('Inputs'!$D$9="Ready",'Inputs'!F11,"n.a.")</x:f>
        <x:v>35</x:v>
      </x:c>
      <x:c r="L1542" s="29" t="n">
        <x:f>IF('Inputs'!$D$9="Ready",'Inputs'!G11,"n.a.")</x:f>
        <x:v>0.02</x:v>
      </x:c>
      <x:c r="M1542" s="22" t="n">
        <x:f>IF(COUNT(I1542:L1542)=4,ROUND(I1542*J1542/12,2),"n.a.")</x:f>
        <x:v>0</x:v>
      </x:c>
      <x:c r="N1542" s="22" t="n">
        <x:f>IF(COUNT(I1542:M1542)=5,MIN(I1542+M1542,ROUND(MAX(K1542,I1542*L1542+M1542),2)),"n.a.")</x:f>
        <x:v>0</x:v>
      </x:c>
      <x:c r="O1542" s="30" t="n">
        <x:f>IF(COUNT($I$1542:$I$1546)&lt;&gt;5,"n.a.",IF(I1542=0,6,IF('Inputs'!$D$5=1,COUNTIFS($I$1542:$I$1546,"&gt;0",$I$1542:$I$1546,"&lt;"&amp;I1542)+COUNTIFS($I$1542:I1542,I1542),COUNTIFS($I$1542:$I$1546,"&gt;0",$J$1542:$J$1546,"&gt;"&amp;J1542)+COUNTIFS($I$1542:I1542,"&gt;0",$J$1542:J1542,J1542))))</x:f>
        <x:v>6</x:v>
      </x:c>
      <x:c r="P1542" s="22" t="n">
        <x:f>IF(T1542="Ready",MIN(U1542,MAX(0,G1542-SUMIFS($U$1542:$U$1546,$O$1542:$O$1546,"&lt;"&amp;O1542))),"n.a.")</x:f>
        <x:v>0</x:v>
      </x:c>
      <x:c r="Q1542" s="22" t="n">
        <x:f>IF(T1542="Ready",ROUND(N1542+P1542,2),"n.a.")</x:f>
        <x:v>0</x:v>
      </x:c>
      <x:c r="R1542" s="22" t="n">
        <x:f>IF(T1542="Ready",ROUND(Q1542-M1542,2),"n.a.")</x:f>
        <x:v>0</x:v>
      </x:c>
      <x:c r="S1542" s="22" t="n">
        <x:f>IF(T1542="Ready",MAX(0,ROUND(I1542+M1542-Q1542,2)),"n.a.")</x:f>
        <x:v>0</x:v>
      </x:c>
      <x:c r="T1542" s="22" t="str">
        <x:f>IF(AND(COUNT($I$1542:$I$1546)=5,COUNT(E1542:F1542)=2),IF(E1542&gt;=F1542,"Ready","Budget below minima"),"Check inputs")</x:f>
        <x:v>Ready</x:v>
      </x:c>
      <x:c r="U1542" s="22" t="n">
        <x:f>IF(COUNT(I1542,M1542,N1542)=3,MAX(0,ROUND(I1542+M1542-N1542,2)),"n.a.")</x:f>
        <x:v>0</x:v>
      </x:c>
    </x:row>
    <x:row r="1543" ht="22" customHeight="1">
      <x:c r="A1543" s="2"/>
      <x:c r="B1543" s="2"/>
      <x:c r="C1543" s="27" t="n">
        <x:f>308</x:f>
        <x:v>308</x:v>
      </x:c>
      <x:c r="D1543" s="28" t="n">
        <x:f>IF(ISNUMBER('Inputs'!$D$7),EDATE('Inputs'!$D$7,307),"n.a.")</x:f>
        <x:v>55671</x:v>
      </x:c>
      <x:c r="E1543" s="26" t="n">
        <x:f>IF('Inputs'!$D$9&lt;&gt;"Ready","n.a.",IF(ISNUMBER('Inputs'!E326),IF('Inputs'!E326&gt;=0,'Inputs'!E326,"n.a."),IF('Inputs'!E326="",'Inputs'!$D$6,"n.a.")))</x:f>
        <x:v>500</x:v>
      </x:c>
      <x:c r="F1543" s="22" t="n">
        <x:f>IF(COUNT($N$1542:$N$1546)=5,SUM($N$1542:$N$1546),"n.a.")</x:f>
        <x:v>0</x:v>
      </x:c>
      <x:c r="G1543" s="22" t="n">
        <x:f>IF(COUNT(E1543:F1543)=2,MAX(0,E1543-F1543),"n.a.")</x:f>
        <x:v>500</x:v>
      </x:c>
      <x:c r="H1543" s="26" t="str">
        <x:f>'Inputs'!C12</x:f>
        <x:v>Card B</x:v>
      </x:c>
      <x:c r="I1543" s="26" t="n">
        <x:f>S1538</x:f>
        <x:v>0</x:v>
      </x:c>
      <x:c r="J1543" s="29" t="n">
        <x:f>IF('Inputs'!$D$9="Ready",'Inputs'!E12,"n.a.")</x:f>
        <x:v>0.18</x:v>
      </x:c>
      <x:c r="K1543" s="26" t="n">
        <x:f>IF('Inputs'!$D$9="Ready",'Inputs'!F12,"n.a.")</x:f>
        <x:v>60</x:v>
      </x:c>
      <x:c r="L1543" s="29" t="n">
        <x:f>IF('Inputs'!$D$9="Ready",'Inputs'!G12,"n.a.")</x:f>
        <x:v>0.02</x:v>
      </x:c>
      <x:c r="M1543" s="22" t="n">
        <x:f>IF(COUNT(I1543:L1543)=4,ROUND(I1543*J1543/12,2),"n.a.")</x:f>
        <x:v>0</x:v>
      </x:c>
      <x:c r="N1543" s="22" t="n">
        <x:f>IF(COUNT(I1543:M1543)=5,MIN(I1543+M1543,ROUND(MAX(K1543,I1543*L1543+M1543),2)),"n.a.")</x:f>
        <x:v>0</x:v>
      </x:c>
      <x:c r="O1543" s="30" t="n">
        <x:f>IF(COUNT($I$1542:$I$1546)&lt;&gt;5,"n.a.",IF(I1543=0,6,IF('Inputs'!$D$5=1,COUNTIFS($I$1542:$I$1546,"&gt;0",$I$1542:$I$1546,"&lt;"&amp;I1543)+COUNTIFS($I$1542:I1543,I1543),COUNTIFS($I$1542:$I$1546,"&gt;0",$J$1542:$J$1546,"&gt;"&amp;J1543)+COUNTIFS($I$1542:I1543,"&gt;0",$J$1542:J1543,J1543))))</x:f>
        <x:v>6</x:v>
      </x:c>
      <x:c r="P1543" s="22" t="n">
        <x:f>IF(T1543="Ready",MIN(U1543,MAX(0,G1543-SUMIFS($U$1542:$U$1546,$O$1542:$O$1546,"&lt;"&amp;O1543))),"n.a.")</x:f>
        <x:v>0</x:v>
      </x:c>
      <x:c r="Q1543" s="22" t="n">
        <x:f>IF(T1543="Ready",ROUND(N1543+P1543,2),"n.a.")</x:f>
        <x:v>0</x:v>
      </x:c>
      <x:c r="R1543" s="22" t="n">
        <x:f>IF(T1543="Ready",ROUND(Q1543-M1543,2),"n.a.")</x:f>
        <x:v>0</x:v>
      </x:c>
      <x:c r="S1543" s="22" t="n">
        <x:f>IF(T1543="Ready",MAX(0,ROUND(I1543+M1543-Q1543,2)),"n.a.")</x:f>
        <x:v>0</x:v>
      </x:c>
      <x:c r="T1543" s="22" t="str">
        <x:f>IF(AND(COUNT($I$1542:$I$1546)=5,COUNT(E1543:F1543)=2),IF(E1543&gt;=F1543,"Ready","Budget below minima"),"Check inputs")</x:f>
        <x:v>Ready</x:v>
      </x:c>
      <x:c r="U1543" s="22" t="n">
        <x:f>IF(COUNT(I1543,M1543,N1543)=3,MAX(0,ROUND(I1543+M1543-N1543,2)),"n.a.")</x:f>
        <x:v>0</x:v>
      </x:c>
    </x:row>
    <x:row r="1544" ht="22" customHeight="1">
      <x:c r="A1544" s="2"/>
      <x:c r="B1544" s="2"/>
      <x:c r="C1544" s="27" t="n">
        <x:f>308</x:f>
        <x:v>308</x:v>
      </x:c>
      <x:c r="D1544" s="28" t="n">
        <x:f>IF(ISNUMBER('Inputs'!$D$7),EDATE('Inputs'!$D$7,307),"n.a.")</x:f>
        <x:v>55671</x:v>
      </x:c>
      <x:c r="E1544" s="26" t="n">
        <x:f>IF('Inputs'!$D$9&lt;&gt;"Ready","n.a.",IF(ISNUMBER('Inputs'!E326),IF('Inputs'!E326&gt;=0,'Inputs'!E326,"n.a."),IF('Inputs'!E326="",'Inputs'!$D$6,"n.a.")))</x:f>
        <x:v>500</x:v>
      </x:c>
      <x:c r="F1544" s="22" t="n">
        <x:f>IF(COUNT($N$1542:$N$1546)=5,SUM($N$1542:$N$1546),"n.a.")</x:f>
        <x:v>0</x:v>
      </x:c>
      <x:c r="G1544" s="22" t="n">
        <x:f>IF(COUNT(E1544:F1544)=2,MAX(0,E1544-F1544),"n.a.")</x:f>
        <x:v>500</x:v>
      </x:c>
      <x:c r="H1544" s="26" t="str">
        <x:f>'Inputs'!C13</x:f>
        <x:v>Loan C</x:v>
      </x:c>
      <x:c r="I1544" s="26" t="n">
        <x:f>S1539</x:f>
        <x:v>0</x:v>
      </x:c>
      <x:c r="J1544" s="29" t="n">
        <x:f>IF('Inputs'!$D$9="Ready",'Inputs'!E13,"n.a.")</x:f>
        <x:v>0.08</x:v>
      </x:c>
      <x:c r="K1544" s="26" t="n">
        <x:f>IF('Inputs'!$D$9="Ready",'Inputs'!F13,"n.a.")</x:f>
        <x:v>150</x:v>
      </x:c>
      <x:c r="L1544" s="29" t="n">
        <x:f>IF('Inputs'!$D$9="Ready",'Inputs'!G13,"n.a.")</x:f>
        <x:v>0</x:v>
      </x:c>
      <x:c r="M1544" s="22" t="n">
        <x:f>IF(COUNT(I1544:L1544)=4,ROUND(I1544*J1544/12,2),"n.a.")</x:f>
        <x:v>0</x:v>
      </x:c>
      <x:c r="N1544" s="22" t="n">
        <x:f>IF(COUNT(I1544:M1544)=5,MIN(I1544+M1544,ROUND(MAX(K1544,I1544*L1544+M1544),2)),"n.a.")</x:f>
        <x:v>0</x:v>
      </x:c>
      <x:c r="O1544" s="30" t="n">
        <x:f>IF(COUNT($I$1542:$I$1546)&lt;&gt;5,"n.a.",IF(I1544=0,6,IF('Inputs'!$D$5=1,COUNTIFS($I$1542:$I$1546,"&gt;0",$I$1542:$I$1546,"&lt;"&amp;I1544)+COUNTIFS($I$1542:I1544,I1544),COUNTIFS($I$1542:$I$1546,"&gt;0",$J$1542:$J$1546,"&gt;"&amp;J1544)+COUNTIFS($I$1542:I1544,"&gt;0",$J$1542:J1544,J1544))))</x:f>
        <x:v>6</x:v>
      </x:c>
      <x:c r="P1544" s="22" t="n">
        <x:f>IF(T1544="Ready",MIN(U1544,MAX(0,G1544-SUMIFS($U$1542:$U$1546,$O$1542:$O$1546,"&lt;"&amp;O1544))),"n.a.")</x:f>
        <x:v>0</x:v>
      </x:c>
      <x:c r="Q1544" s="22" t="n">
        <x:f>IF(T1544="Ready",ROUND(N1544+P1544,2),"n.a.")</x:f>
        <x:v>0</x:v>
      </x:c>
      <x:c r="R1544" s="22" t="n">
        <x:f>IF(T1544="Ready",ROUND(Q1544-M1544,2),"n.a.")</x:f>
        <x:v>0</x:v>
      </x:c>
      <x:c r="S1544" s="22" t="n">
        <x:f>IF(T1544="Ready",MAX(0,ROUND(I1544+M1544-Q1544,2)),"n.a.")</x:f>
        <x:v>0</x:v>
      </x:c>
      <x:c r="T1544" s="22" t="str">
        <x:f>IF(AND(COUNT($I$1542:$I$1546)=5,COUNT(E1544:F1544)=2),IF(E1544&gt;=F1544,"Ready","Budget below minima"),"Check inputs")</x:f>
        <x:v>Ready</x:v>
      </x:c>
      <x:c r="U1544" s="22" t="n">
        <x:f>IF(COUNT(I1544,M1544,N1544)=3,MAX(0,ROUND(I1544+M1544-N1544,2)),"n.a.")</x:f>
        <x:v>0</x:v>
      </x:c>
    </x:row>
    <x:row r="1545" ht="22" customHeight="1">
      <x:c r="A1545" s="2"/>
      <x:c r="B1545" s="2"/>
      <x:c r="C1545" s="27" t="n">
        <x:f>308</x:f>
        <x:v>308</x:v>
      </x:c>
      <x:c r="D1545" s="28" t="n">
        <x:f>IF(ISNUMBER('Inputs'!$D$7),EDATE('Inputs'!$D$7,307),"n.a.")</x:f>
        <x:v>55671</x:v>
      </x:c>
      <x:c r="E1545" s="26" t="n">
        <x:f>IF('Inputs'!$D$9&lt;&gt;"Ready","n.a.",IF(ISNUMBER('Inputs'!E326),IF('Inputs'!E326&gt;=0,'Inputs'!E326,"n.a."),IF('Inputs'!E326="",'Inputs'!$D$6,"n.a.")))</x:f>
        <x:v>500</x:v>
      </x:c>
      <x:c r="F1545" s="22" t="n">
        <x:f>IF(COUNT($N$1542:$N$1546)=5,SUM($N$1542:$N$1546),"n.a.")</x:f>
        <x:v>0</x:v>
      </x:c>
      <x:c r="G1545" s="22" t="n">
        <x:f>IF(COUNT(E1545:F1545)=2,MAX(0,E1545-F1545),"n.a.")</x:f>
        <x:v>500</x:v>
      </x:c>
      <x:c r="H1545" s="26" t="str">
        <x:f>'Inputs'!C14</x:f>
        <x:v>Unused 4</x:v>
      </x:c>
      <x:c r="I1545" s="26" t="n">
        <x:f>S1540</x:f>
        <x:v>0</x:v>
      </x:c>
      <x:c r="J1545" s="29" t="n">
        <x:f>IF('Inputs'!$D$9="Ready",'Inputs'!E14,"n.a.")</x:f>
        <x:v>0</x:v>
      </x:c>
      <x:c r="K1545" s="26" t="n">
        <x:f>IF('Inputs'!$D$9="Ready",'Inputs'!F14,"n.a.")</x:f>
        <x:v>0</x:v>
      </x:c>
      <x:c r="L1545" s="29" t="n">
        <x:f>IF('Inputs'!$D$9="Ready",'Inputs'!G14,"n.a.")</x:f>
        <x:v>0</x:v>
      </x:c>
      <x:c r="M1545" s="22" t="n">
        <x:f>IF(COUNT(I1545:L1545)=4,ROUND(I1545*J1545/12,2),"n.a.")</x:f>
        <x:v>0</x:v>
      </x:c>
      <x:c r="N1545" s="22" t="n">
        <x:f>IF(COUNT(I1545:M1545)=5,MIN(I1545+M1545,ROUND(MAX(K1545,I1545*L1545+M1545),2)),"n.a.")</x:f>
        <x:v>0</x:v>
      </x:c>
      <x:c r="O1545" s="30" t="n">
        <x:f>IF(COUNT($I$1542:$I$1546)&lt;&gt;5,"n.a.",IF(I1545=0,6,IF('Inputs'!$D$5=1,COUNTIFS($I$1542:$I$1546,"&gt;0",$I$1542:$I$1546,"&lt;"&amp;I1545)+COUNTIFS($I$1542:I1545,I1545),COUNTIFS($I$1542:$I$1546,"&gt;0",$J$1542:$J$1546,"&gt;"&amp;J1545)+COUNTIFS($I$1542:I1545,"&gt;0",$J$1542:J1545,J1545))))</x:f>
        <x:v>6</x:v>
      </x:c>
      <x:c r="P1545" s="22" t="n">
        <x:f>IF(T1545="Ready",MIN(U1545,MAX(0,G1545-SUMIFS($U$1542:$U$1546,$O$1542:$O$1546,"&lt;"&amp;O1545))),"n.a.")</x:f>
        <x:v>0</x:v>
      </x:c>
      <x:c r="Q1545" s="22" t="n">
        <x:f>IF(T1545="Ready",ROUND(N1545+P1545,2),"n.a.")</x:f>
        <x:v>0</x:v>
      </x:c>
      <x:c r="R1545" s="22" t="n">
        <x:f>IF(T1545="Ready",ROUND(Q1545-M1545,2),"n.a.")</x:f>
        <x:v>0</x:v>
      </x:c>
      <x:c r="S1545" s="22" t="n">
        <x:f>IF(T1545="Ready",MAX(0,ROUND(I1545+M1545-Q1545,2)),"n.a.")</x:f>
        <x:v>0</x:v>
      </x:c>
      <x:c r="T1545" s="22" t="str">
        <x:f>IF(AND(COUNT($I$1542:$I$1546)=5,COUNT(E1545:F1545)=2),IF(E1545&gt;=F1545,"Ready","Budget below minima"),"Check inputs")</x:f>
        <x:v>Ready</x:v>
      </x:c>
      <x:c r="U1545" s="22" t="n">
        <x:f>IF(COUNT(I1545,M1545,N1545)=3,MAX(0,ROUND(I1545+M1545-N1545,2)),"n.a.")</x:f>
        <x:v>0</x:v>
      </x:c>
    </x:row>
    <x:row r="1546" ht="22" customHeight="1">
      <x:c r="A1546" s="2"/>
      <x:c r="B1546" s="2"/>
      <x:c r="C1546" s="27" t="n">
        <x:f>308</x:f>
        <x:v>308</x:v>
      </x:c>
      <x:c r="D1546" s="28" t="n">
        <x:f>IF(ISNUMBER('Inputs'!$D$7),EDATE('Inputs'!$D$7,307),"n.a.")</x:f>
        <x:v>55671</x:v>
      </x:c>
      <x:c r="E1546" s="26" t="n">
        <x:f>IF('Inputs'!$D$9&lt;&gt;"Ready","n.a.",IF(ISNUMBER('Inputs'!E326),IF('Inputs'!E326&gt;=0,'Inputs'!E326,"n.a."),IF('Inputs'!E326="",'Inputs'!$D$6,"n.a.")))</x:f>
        <x:v>500</x:v>
      </x:c>
      <x:c r="F1546" s="22" t="n">
        <x:f>IF(COUNT($N$1542:$N$1546)=5,SUM($N$1542:$N$1546),"n.a.")</x:f>
        <x:v>0</x:v>
      </x:c>
      <x:c r="G1546" s="22" t="n">
        <x:f>IF(COUNT(E1546:F1546)=2,MAX(0,E1546-F1546),"n.a.")</x:f>
        <x:v>500</x:v>
      </x:c>
      <x:c r="H1546" s="26" t="str">
        <x:f>'Inputs'!C15</x:f>
        <x:v>Unused 5</x:v>
      </x:c>
      <x:c r="I1546" s="26" t="n">
        <x:f>S1541</x:f>
        <x:v>0</x:v>
      </x:c>
      <x:c r="J1546" s="29" t="n">
        <x:f>IF('Inputs'!$D$9="Ready",'Inputs'!E15,"n.a.")</x:f>
        <x:v>0</x:v>
      </x:c>
      <x:c r="K1546" s="26" t="n">
        <x:f>IF('Inputs'!$D$9="Ready",'Inputs'!F15,"n.a.")</x:f>
        <x:v>0</x:v>
      </x:c>
      <x:c r="L1546" s="29" t="n">
        <x:f>IF('Inputs'!$D$9="Ready",'Inputs'!G15,"n.a.")</x:f>
        <x:v>0</x:v>
      </x:c>
      <x:c r="M1546" s="22" t="n">
        <x:f>IF(COUNT(I1546:L1546)=4,ROUND(I1546*J1546/12,2),"n.a.")</x:f>
        <x:v>0</x:v>
      </x:c>
      <x:c r="N1546" s="22" t="n">
        <x:f>IF(COUNT(I1546:M1546)=5,MIN(I1546+M1546,ROUND(MAX(K1546,I1546*L1546+M1546),2)),"n.a.")</x:f>
        <x:v>0</x:v>
      </x:c>
      <x:c r="O1546" s="30" t="n">
        <x:f>IF(COUNT($I$1542:$I$1546)&lt;&gt;5,"n.a.",IF(I1546=0,6,IF('Inputs'!$D$5=1,COUNTIFS($I$1542:$I$1546,"&gt;0",$I$1542:$I$1546,"&lt;"&amp;I1546)+COUNTIFS($I$1542:I1546,I1546),COUNTIFS($I$1542:$I$1546,"&gt;0",$J$1542:$J$1546,"&gt;"&amp;J1546)+COUNTIFS($I$1542:I1546,"&gt;0",$J$1542:J1546,J1546))))</x:f>
        <x:v>6</x:v>
      </x:c>
      <x:c r="P1546" s="22" t="n">
        <x:f>IF(T1546="Ready",MIN(U1546,MAX(0,G1546-SUMIFS($U$1542:$U$1546,$O$1542:$O$1546,"&lt;"&amp;O1546))),"n.a.")</x:f>
        <x:v>0</x:v>
      </x:c>
      <x:c r="Q1546" s="22" t="n">
        <x:f>IF(T1546="Ready",ROUND(N1546+P1546,2),"n.a.")</x:f>
        <x:v>0</x:v>
      </x:c>
      <x:c r="R1546" s="22" t="n">
        <x:f>IF(T1546="Ready",ROUND(Q1546-M1546,2),"n.a.")</x:f>
        <x:v>0</x:v>
      </x:c>
      <x:c r="S1546" s="22" t="n">
        <x:f>IF(T1546="Ready",MAX(0,ROUND(I1546+M1546-Q1546,2)),"n.a.")</x:f>
        <x:v>0</x:v>
      </x:c>
      <x:c r="T1546" s="22" t="str">
        <x:f>IF(AND(COUNT($I$1542:$I$1546)=5,COUNT(E1546:F1546)=2),IF(E1546&gt;=F1546,"Ready","Budget below minima"),"Check inputs")</x:f>
        <x:v>Ready</x:v>
      </x:c>
      <x:c r="U1546" s="22" t="n">
        <x:f>IF(COUNT(I1546,M1546,N1546)=3,MAX(0,ROUND(I1546+M1546-N1546,2)),"n.a.")</x:f>
        <x:v>0</x:v>
      </x:c>
    </x:row>
    <x:row r="1547" ht="22" customHeight="1">
      <x:c r="A1547" s="2"/>
      <x:c r="B1547" s="2"/>
      <x:c r="C1547" s="27" t="n">
        <x:f>309</x:f>
        <x:v>309</x:v>
      </x:c>
      <x:c r="D1547" s="28" t="n">
        <x:f>IF(ISNUMBER('Inputs'!$D$7),EDATE('Inputs'!$D$7,308),"n.a.")</x:f>
        <x:v>55701</x:v>
      </x:c>
      <x:c r="E1547" s="26" t="n">
        <x:f>IF('Inputs'!$D$9&lt;&gt;"Ready","n.a.",IF(ISNUMBER('Inputs'!E327),IF('Inputs'!E327&gt;=0,'Inputs'!E327,"n.a."),IF('Inputs'!E327="",'Inputs'!$D$6,"n.a.")))</x:f>
        <x:v>500</x:v>
      </x:c>
      <x:c r="F1547" s="22" t="n">
        <x:f>IF(COUNT($N$1547:$N$1551)=5,SUM($N$1547:$N$1551),"n.a.")</x:f>
        <x:v>0</x:v>
      </x:c>
      <x:c r="G1547" s="22" t="n">
        <x:f>IF(COUNT(E1547:F1547)=2,MAX(0,E1547-F1547),"n.a.")</x:f>
        <x:v>500</x:v>
      </x:c>
      <x:c r="H1547" s="26" t="str">
        <x:f>'Inputs'!C11</x:f>
        <x:v>Card A</x:v>
      </x:c>
      <x:c r="I1547" s="26" t="n">
        <x:f>S1542</x:f>
        <x:v>0</x:v>
      </x:c>
      <x:c r="J1547" s="29" t="n">
        <x:f>IF('Inputs'!$D$9="Ready",'Inputs'!E11,"n.a.")</x:f>
        <x:v>0.24</x:v>
      </x:c>
      <x:c r="K1547" s="26" t="n">
        <x:f>IF('Inputs'!$D$9="Ready",'Inputs'!F11,"n.a.")</x:f>
        <x:v>35</x:v>
      </x:c>
      <x:c r="L1547" s="29" t="n">
        <x:f>IF('Inputs'!$D$9="Ready",'Inputs'!G11,"n.a.")</x:f>
        <x:v>0.02</x:v>
      </x:c>
      <x:c r="M1547" s="22" t="n">
        <x:f>IF(COUNT(I1547:L1547)=4,ROUND(I1547*J1547/12,2),"n.a.")</x:f>
        <x:v>0</x:v>
      </x:c>
      <x:c r="N1547" s="22" t="n">
        <x:f>IF(COUNT(I1547:M1547)=5,MIN(I1547+M1547,ROUND(MAX(K1547,I1547*L1547+M1547),2)),"n.a.")</x:f>
        <x:v>0</x:v>
      </x:c>
      <x:c r="O1547" s="30" t="n">
        <x:f>IF(COUNT($I$1547:$I$1551)&lt;&gt;5,"n.a.",IF(I1547=0,6,IF('Inputs'!$D$5=1,COUNTIFS($I$1547:$I$1551,"&gt;0",$I$1547:$I$1551,"&lt;"&amp;I1547)+COUNTIFS($I$1547:I1547,I1547),COUNTIFS($I$1547:$I$1551,"&gt;0",$J$1547:$J$1551,"&gt;"&amp;J1547)+COUNTIFS($I$1547:I1547,"&gt;0",$J$1547:J1547,J1547))))</x:f>
        <x:v>6</x:v>
      </x:c>
      <x:c r="P1547" s="22" t="n">
        <x:f>IF(T1547="Ready",MIN(U1547,MAX(0,G1547-SUMIFS($U$1547:$U$1551,$O$1547:$O$1551,"&lt;"&amp;O1547))),"n.a.")</x:f>
        <x:v>0</x:v>
      </x:c>
      <x:c r="Q1547" s="22" t="n">
        <x:f>IF(T1547="Ready",ROUND(N1547+P1547,2),"n.a.")</x:f>
        <x:v>0</x:v>
      </x:c>
      <x:c r="R1547" s="22" t="n">
        <x:f>IF(T1547="Ready",ROUND(Q1547-M1547,2),"n.a.")</x:f>
        <x:v>0</x:v>
      </x:c>
      <x:c r="S1547" s="22" t="n">
        <x:f>IF(T1547="Ready",MAX(0,ROUND(I1547+M1547-Q1547,2)),"n.a.")</x:f>
        <x:v>0</x:v>
      </x:c>
      <x:c r="T1547" s="22" t="str">
        <x:f>IF(AND(COUNT($I$1547:$I$1551)=5,COUNT(E1547:F1547)=2),IF(E1547&gt;=F1547,"Ready","Budget below minima"),"Check inputs")</x:f>
        <x:v>Ready</x:v>
      </x:c>
      <x:c r="U1547" s="22" t="n">
        <x:f>IF(COUNT(I1547,M1547,N1547)=3,MAX(0,ROUND(I1547+M1547-N1547,2)),"n.a.")</x:f>
        <x:v>0</x:v>
      </x:c>
    </x:row>
    <x:row r="1548" ht="22" customHeight="1">
      <x:c r="A1548" s="2"/>
      <x:c r="B1548" s="2"/>
      <x:c r="C1548" s="27" t="n">
        <x:f>309</x:f>
        <x:v>309</x:v>
      </x:c>
      <x:c r="D1548" s="28" t="n">
        <x:f>IF(ISNUMBER('Inputs'!$D$7),EDATE('Inputs'!$D$7,308),"n.a.")</x:f>
        <x:v>55701</x:v>
      </x:c>
      <x:c r="E1548" s="26" t="n">
        <x:f>IF('Inputs'!$D$9&lt;&gt;"Ready","n.a.",IF(ISNUMBER('Inputs'!E327),IF('Inputs'!E327&gt;=0,'Inputs'!E327,"n.a."),IF('Inputs'!E327="",'Inputs'!$D$6,"n.a.")))</x:f>
        <x:v>500</x:v>
      </x:c>
      <x:c r="F1548" s="22" t="n">
        <x:f>IF(COUNT($N$1547:$N$1551)=5,SUM($N$1547:$N$1551),"n.a.")</x:f>
        <x:v>0</x:v>
      </x:c>
      <x:c r="G1548" s="22" t="n">
        <x:f>IF(COUNT(E1548:F1548)=2,MAX(0,E1548-F1548),"n.a.")</x:f>
        <x:v>500</x:v>
      </x:c>
      <x:c r="H1548" s="26" t="str">
        <x:f>'Inputs'!C12</x:f>
        <x:v>Card B</x:v>
      </x:c>
      <x:c r="I1548" s="26" t="n">
        <x:f>S1543</x:f>
        <x:v>0</x:v>
      </x:c>
      <x:c r="J1548" s="29" t="n">
        <x:f>IF('Inputs'!$D$9="Ready",'Inputs'!E12,"n.a.")</x:f>
        <x:v>0.18</x:v>
      </x:c>
      <x:c r="K1548" s="26" t="n">
        <x:f>IF('Inputs'!$D$9="Ready",'Inputs'!F12,"n.a.")</x:f>
        <x:v>60</x:v>
      </x:c>
      <x:c r="L1548" s="29" t="n">
        <x:f>IF('Inputs'!$D$9="Ready",'Inputs'!G12,"n.a.")</x:f>
        <x:v>0.02</x:v>
      </x:c>
      <x:c r="M1548" s="22" t="n">
        <x:f>IF(COUNT(I1548:L1548)=4,ROUND(I1548*J1548/12,2),"n.a.")</x:f>
        <x:v>0</x:v>
      </x:c>
      <x:c r="N1548" s="22" t="n">
        <x:f>IF(COUNT(I1548:M1548)=5,MIN(I1548+M1548,ROUND(MAX(K1548,I1548*L1548+M1548),2)),"n.a.")</x:f>
        <x:v>0</x:v>
      </x:c>
      <x:c r="O1548" s="30" t="n">
        <x:f>IF(COUNT($I$1547:$I$1551)&lt;&gt;5,"n.a.",IF(I1548=0,6,IF('Inputs'!$D$5=1,COUNTIFS($I$1547:$I$1551,"&gt;0",$I$1547:$I$1551,"&lt;"&amp;I1548)+COUNTIFS($I$1547:I1548,I1548),COUNTIFS($I$1547:$I$1551,"&gt;0",$J$1547:$J$1551,"&gt;"&amp;J1548)+COUNTIFS($I$1547:I1548,"&gt;0",$J$1547:J1548,J1548))))</x:f>
        <x:v>6</x:v>
      </x:c>
      <x:c r="P1548" s="22" t="n">
        <x:f>IF(T1548="Ready",MIN(U1548,MAX(0,G1548-SUMIFS($U$1547:$U$1551,$O$1547:$O$1551,"&lt;"&amp;O1548))),"n.a.")</x:f>
        <x:v>0</x:v>
      </x:c>
      <x:c r="Q1548" s="22" t="n">
        <x:f>IF(T1548="Ready",ROUND(N1548+P1548,2),"n.a.")</x:f>
        <x:v>0</x:v>
      </x:c>
      <x:c r="R1548" s="22" t="n">
        <x:f>IF(T1548="Ready",ROUND(Q1548-M1548,2),"n.a.")</x:f>
        <x:v>0</x:v>
      </x:c>
      <x:c r="S1548" s="22" t="n">
        <x:f>IF(T1548="Ready",MAX(0,ROUND(I1548+M1548-Q1548,2)),"n.a.")</x:f>
        <x:v>0</x:v>
      </x:c>
      <x:c r="T1548" s="22" t="str">
        <x:f>IF(AND(COUNT($I$1547:$I$1551)=5,COUNT(E1548:F1548)=2),IF(E1548&gt;=F1548,"Ready","Budget below minima"),"Check inputs")</x:f>
        <x:v>Ready</x:v>
      </x:c>
      <x:c r="U1548" s="22" t="n">
        <x:f>IF(COUNT(I1548,M1548,N1548)=3,MAX(0,ROUND(I1548+M1548-N1548,2)),"n.a.")</x:f>
        <x:v>0</x:v>
      </x:c>
    </x:row>
    <x:row r="1549" ht="22" customHeight="1">
      <x:c r="A1549" s="2"/>
      <x:c r="B1549" s="2"/>
      <x:c r="C1549" s="27" t="n">
        <x:f>309</x:f>
        <x:v>309</x:v>
      </x:c>
      <x:c r="D1549" s="28" t="n">
        <x:f>IF(ISNUMBER('Inputs'!$D$7),EDATE('Inputs'!$D$7,308),"n.a.")</x:f>
        <x:v>55701</x:v>
      </x:c>
      <x:c r="E1549" s="26" t="n">
        <x:f>IF('Inputs'!$D$9&lt;&gt;"Ready","n.a.",IF(ISNUMBER('Inputs'!E327),IF('Inputs'!E327&gt;=0,'Inputs'!E327,"n.a."),IF('Inputs'!E327="",'Inputs'!$D$6,"n.a.")))</x:f>
        <x:v>500</x:v>
      </x:c>
      <x:c r="F1549" s="22" t="n">
        <x:f>IF(COUNT($N$1547:$N$1551)=5,SUM($N$1547:$N$1551),"n.a.")</x:f>
        <x:v>0</x:v>
      </x:c>
      <x:c r="G1549" s="22" t="n">
        <x:f>IF(COUNT(E1549:F1549)=2,MAX(0,E1549-F1549),"n.a.")</x:f>
        <x:v>500</x:v>
      </x:c>
      <x:c r="H1549" s="26" t="str">
        <x:f>'Inputs'!C13</x:f>
        <x:v>Loan C</x:v>
      </x:c>
      <x:c r="I1549" s="26" t="n">
        <x:f>S1544</x:f>
        <x:v>0</x:v>
      </x:c>
      <x:c r="J1549" s="29" t="n">
        <x:f>IF('Inputs'!$D$9="Ready",'Inputs'!E13,"n.a.")</x:f>
        <x:v>0.08</x:v>
      </x:c>
      <x:c r="K1549" s="26" t="n">
        <x:f>IF('Inputs'!$D$9="Ready",'Inputs'!F13,"n.a.")</x:f>
        <x:v>150</x:v>
      </x:c>
      <x:c r="L1549" s="29" t="n">
        <x:f>IF('Inputs'!$D$9="Ready",'Inputs'!G13,"n.a.")</x:f>
        <x:v>0</x:v>
      </x:c>
      <x:c r="M1549" s="22" t="n">
        <x:f>IF(COUNT(I1549:L1549)=4,ROUND(I1549*J1549/12,2),"n.a.")</x:f>
        <x:v>0</x:v>
      </x:c>
      <x:c r="N1549" s="22" t="n">
        <x:f>IF(COUNT(I1549:M1549)=5,MIN(I1549+M1549,ROUND(MAX(K1549,I1549*L1549+M1549),2)),"n.a.")</x:f>
        <x:v>0</x:v>
      </x:c>
      <x:c r="O1549" s="30" t="n">
        <x:f>IF(COUNT($I$1547:$I$1551)&lt;&gt;5,"n.a.",IF(I1549=0,6,IF('Inputs'!$D$5=1,COUNTIFS($I$1547:$I$1551,"&gt;0",$I$1547:$I$1551,"&lt;"&amp;I1549)+COUNTIFS($I$1547:I1549,I1549),COUNTIFS($I$1547:$I$1551,"&gt;0",$J$1547:$J$1551,"&gt;"&amp;J1549)+COUNTIFS($I$1547:I1549,"&gt;0",$J$1547:J1549,J1549))))</x:f>
        <x:v>6</x:v>
      </x:c>
      <x:c r="P1549" s="22" t="n">
        <x:f>IF(T1549="Ready",MIN(U1549,MAX(0,G1549-SUMIFS($U$1547:$U$1551,$O$1547:$O$1551,"&lt;"&amp;O1549))),"n.a.")</x:f>
        <x:v>0</x:v>
      </x:c>
      <x:c r="Q1549" s="22" t="n">
        <x:f>IF(T1549="Ready",ROUND(N1549+P1549,2),"n.a.")</x:f>
        <x:v>0</x:v>
      </x:c>
      <x:c r="R1549" s="22" t="n">
        <x:f>IF(T1549="Ready",ROUND(Q1549-M1549,2),"n.a.")</x:f>
        <x:v>0</x:v>
      </x:c>
      <x:c r="S1549" s="22" t="n">
        <x:f>IF(T1549="Ready",MAX(0,ROUND(I1549+M1549-Q1549,2)),"n.a.")</x:f>
        <x:v>0</x:v>
      </x:c>
      <x:c r="T1549" s="22" t="str">
        <x:f>IF(AND(COUNT($I$1547:$I$1551)=5,COUNT(E1549:F1549)=2),IF(E1549&gt;=F1549,"Ready","Budget below minima"),"Check inputs")</x:f>
        <x:v>Ready</x:v>
      </x:c>
      <x:c r="U1549" s="22" t="n">
        <x:f>IF(COUNT(I1549,M1549,N1549)=3,MAX(0,ROUND(I1549+M1549-N1549,2)),"n.a.")</x:f>
        <x:v>0</x:v>
      </x:c>
    </x:row>
    <x:row r="1550" ht="22" customHeight="1">
      <x:c r="A1550" s="2"/>
      <x:c r="B1550" s="2"/>
      <x:c r="C1550" s="27" t="n">
        <x:f>309</x:f>
        <x:v>309</x:v>
      </x:c>
      <x:c r="D1550" s="28" t="n">
        <x:f>IF(ISNUMBER('Inputs'!$D$7),EDATE('Inputs'!$D$7,308),"n.a.")</x:f>
        <x:v>55701</x:v>
      </x:c>
      <x:c r="E1550" s="26" t="n">
        <x:f>IF('Inputs'!$D$9&lt;&gt;"Ready","n.a.",IF(ISNUMBER('Inputs'!E327),IF('Inputs'!E327&gt;=0,'Inputs'!E327,"n.a."),IF('Inputs'!E327="",'Inputs'!$D$6,"n.a.")))</x:f>
        <x:v>500</x:v>
      </x:c>
      <x:c r="F1550" s="22" t="n">
        <x:f>IF(COUNT($N$1547:$N$1551)=5,SUM($N$1547:$N$1551),"n.a.")</x:f>
        <x:v>0</x:v>
      </x:c>
      <x:c r="G1550" s="22" t="n">
        <x:f>IF(COUNT(E1550:F1550)=2,MAX(0,E1550-F1550),"n.a.")</x:f>
        <x:v>500</x:v>
      </x:c>
      <x:c r="H1550" s="26" t="str">
        <x:f>'Inputs'!C14</x:f>
        <x:v>Unused 4</x:v>
      </x:c>
      <x:c r="I1550" s="26" t="n">
        <x:f>S1545</x:f>
        <x:v>0</x:v>
      </x:c>
      <x:c r="J1550" s="29" t="n">
        <x:f>IF('Inputs'!$D$9="Ready",'Inputs'!E14,"n.a.")</x:f>
        <x:v>0</x:v>
      </x:c>
      <x:c r="K1550" s="26" t="n">
        <x:f>IF('Inputs'!$D$9="Ready",'Inputs'!F14,"n.a.")</x:f>
        <x:v>0</x:v>
      </x:c>
      <x:c r="L1550" s="29" t="n">
        <x:f>IF('Inputs'!$D$9="Ready",'Inputs'!G14,"n.a.")</x:f>
        <x:v>0</x:v>
      </x:c>
      <x:c r="M1550" s="22" t="n">
        <x:f>IF(COUNT(I1550:L1550)=4,ROUND(I1550*J1550/12,2),"n.a.")</x:f>
        <x:v>0</x:v>
      </x:c>
      <x:c r="N1550" s="22" t="n">
        <x:f>IF(COUNT(I1550:M1550)=5,MIN(I1550+M1550,ROUND(MAX(K1550,I1550*L1550+M1550),2)),"n.a.")</x:f>
        <x:v>0</x:v>
      </x:c>
      <x:c r="O1550" s="30" t="n">
        <x:f>IF(COUNT($I$1547:$I$1551)&lt;&gt;5,"n.a.",IF(I1550=0,6,IF('Inputs'!$D$5=1,COUNTIFS($I$1547:$I$1551,"&gt;0",$I$1547:$I$1551,"&lt;"&amp;I1550)+COUNTIFS($I$1547:I1550,I1550),COUNTIFS($I$1547:$I$1551,"&gt;0",$J$1547:$J$1551,"&gt;"&amp;J1550)+COUNTIFS($I$1547:I1550,"&gt;0",$J$1547:J1550,J1550))))</x:f>
        <x:v>6</x:v>
      </x:c>
      <x:c r="P1550" s="22" t="n">
        <x:f>IF(T1550="Ready",MIN(U1550,MAX(0,G1550-SUMIFS($U$1547:$U$1551,$O$1547:$O$1551,"&lt;"&amp;O1550))),"n.a.")</x:f>
        <x:v>0</x:v>
      </x:c>
      <x:c r="Q1550" s="22" t="n">
        <x:f>IF(T1550="Ready",ROUND(N1550+P1550,2),"n.a.")</x:f>
        <x:v>0</x:v>
      </x:c>
      <x:c r="R1550" s="22" t="n">
        <x:f>IF(T1550="Ready",ROUND(Q1550-M1550,2),"n.a.")</x:f>
        <x:v>0</x:v>
      </x:c>
      <x:c r="S1550" s="22" t="n">
        <x:f>IF(T1550="Ready",MAX(0,ROUND(I1550+M1550-Q1550,2)),"n.a.")</x:f>
        <x:v>0</x:v>
      </x:c>
      <x:c r="T1550" s="22" t="str">
        <x:f>IF(AND(COUNT($I$1547:$I$1551)=5,COUNT(E1550:F1550)=2),IF(E1550&gt;=F1550,"Ready","Budget below minima"),"Check inputs")</x:f>
        <x:v>Ready</x:v>
      </x:c>
      <x:c r="U1550" s="22" t="n">
        <x:f>IF(COUNT(I1550,M1550,N1550)=3,MAX(0,ROUND(I1550+M1550-N1550,2)),"n.a.")</x:f>
        <x:v>0</x:v>
      </x:c>
    </x:row>
    <x:row r="1551" ht="22" customHeight="1">
      <x:c r="A1551" s="2"/>
      <x:c r="B1551" s="2"/>
      <x:c r="C1551" s="27" t="n">
        <x:f>309</x:f>
        <x:v>309</x:v>
      </x:c>
      <x:c r="D1551" s="28" t="n">
        <x:f>IF(ISNUMBER('Inputs'!$D$7),EDATE('Inputs'!$D$7,308),"n.a.")</x:f>
        <x:v>55701</x:v>
      </x:c>
      <x:c r="E1551" s="26" t="n">
        <x:f>IF('Inputs'!$D$9&lt;&gt;"Ready","n.a.",IF(ISNUMBER('Inputs'!E327),IF('Inputs'!E327&gt;=0,'Inputs'!E327,"n.a."),IF('Inputs'!E327="",'Inputs'!$D$6,"n.a.")))</x:f>
        <x:v>500</x:v>
      </x:c>
      <x:c r="F1551" s="22" t="n">
        <x:f>IF(COUNT($N$1547:$N$1551)=5,SUM($N$1547:$N$1551),"n.a.")</x:f>
        <x:v>0</x:v>
      </x:c>
      <x:c r="G1551" s="22" t="n">
        <x:f>IF(COUNT(E1551:F1551)=2,MAX(0,E1551-F1551),"n.a.")</x:f>
        <x:v>500</x:v>
      </x:c>
      <x:c r="H1551" s="26" t="str">
        <x:f>'Inputs'!C15</x:f>
        <x:v>Unused 5</x:v>
      </x:c>
      <x:c r="I1551" s="26" t="n">
        <x:f>S1546</x:f>
        <x:v>0</x:v>
      </x:c>
      <x:c r="J1551" s="29" t="n">
        <x:f>IF('Inputs'!$D$9="Ready",'Inputs'!E15,"n.a.")</x:f>
        <x:v>0</x:v>
      </x:c>
      <x:c r="K1551" s="26" t="n">
        <x:f>IF('Inputs'!$D$9="Ready",'Inputs'!F15,"n.a.")</x:f>
        <x:v>0</x:v>
      </x:c>
      <x:c r="L1551" s="29" t="n">
        <x:f>IF('Inputs'!$D$9="Ready",'Inputs'!G15,"n.a.")</x:f>
        <x:v>0</x:v>
      </x:c>
      <x:c r="M1551" s="22" t="n">
        <x:f>IF(COUNT(I1551:L1551)=4,ROUND(I1551*J1551/12,2),"n.a.")</x:f>
        <x:v>0</x:v>
      </x:c>
      <x:c r="N1551" s="22" t="n">
        <x:f>IF(COUNT(I1551:M1551)=5,MIN(I1551+M1551,ROUND(MAX(K1551,I1551*L1551+M1551),2)),"n.a.")</x:f>
        <x:v>0</x:v>
      </x:c>
      <x:c r="O1551" s="30" t="n">
        <x:f>IF(COUNT($I$1547:$I$1551)&lt;&gt;5,"n.a.",IF(I1551=0,6,IF('Inputs'!$D$5=1,COUNTIFS($I$1547:$I$1551,"&gt;0",$I$1547:$I$1551,"&lt;"&amp;I1551)+COUNTIFS($I$1547:I1551,I1551),COUNTIFS($I$1547:$I$1551,"&gt;0",$J$1547:$J$1551,"&gt;"&amp;J1551)+COUNTIFS($I$1547:I1551,"&gt;0",$J$1547:J1551,J1551))))</x:f>
        <x:v>6</x:v>
      </x:c>
      <x:c r="P1551" s="22" t="n">
        <x:f>IF(T1551="Ready",MIN(U1551,MAX(0,G1551-SUMIFS($U$1547:$U$1551,$O$1547:$O$1551,"&lt;"&amp;O1551))),"n.a.")</x:f>
        <x:v>0</x:v>
      </x:c>
      <x:c r="Q1551" s="22" t="n">
        <x:f>IF(T1551="Ready",ROUND(N1551+P1551,2),"n.a.")</x:f>
        <x:v>0</x:v>
      </x:c>
      <x:c r="R1551" s="22" t="n">
        <x:f>IF(T1551="Ready",ROUND(Q1551-M1551,2),"n.a.")</x:f>
        <x:v>0</x:v>
      </x:c>
      <x:c r="S1551" s="22" t="n">
        <x:f>IF(T1551="Ready",MAX(0,ROUND(I1551+M1551-Q1551,2)),"n.a.")</x:f>
        <x:v>0</x:v>
      </x:c>
      <x:c r="T1551" s="22" t="str">
        <x:f>IF(AND(COUNT($I$1547:$I$1551)=5,COUNT(E1551:F1551)=2),IF(E1551&gt;=F1551,"Ready","Budget below minima"),"Check inputs")</x:f>
        <x:v>Ready</x:v>
      </x:c>
      <x:c r="U1551" s="22" t="n">
        <x:f>IF(COUNT(I1551,M1551,N1551)=3,MAX(0,ROUND(I1551+M1551-N1551,2)),"n.a.")</x:f>
        <x:v>0</x:v>
      </x:c>
    </x:row>
    <x:row r="1552" ht="22" customHeight="1">
      <x:c r="A1552" s="2"/>
      <x:c r="B1552" s="2"/>
      <x:c r="C1552" s="27" t="n">
        <x:f>310</x:f>
        <x:v>310</x:v>
      </x:c>
      <x:c r="D1552" s="28" t="n">
        <x:f>IF(ISNUMBER('Inputs'!$D$7),EDATE('Inputs'!$D$7,309),"n.a.")</x:f>
        <x:v>55732</x:v>
      </x:c>
      <x:c r="E1552" s="26" t="n">
        <x:f>IF('Inputs'!$D$9&lt;&gt;"Ready","n.a.",IF(ISNUMBER('Inputs'!E328),IF('Inputs'!E328&gt;=0,'Inputs'!E328,"n.a."),IF('Inputs'!E328="",'Inputs'!$D$6,"n.a.")))</x:f>
        <x:v>500</x:v>
      </x:c>
      <x:c r="F1552" s="22" t="n">
        <x:f>IF(COUNT($N$1552:$N$1556)=5,SUM($N$1552:$N$1556),"n.a.")</x:f>
        <x:v>0</x:v>
      </x:c>
      <x:c r="G1552" s="22" t="n">
        <x:f>IF(COUNT(E1552:F1552)=2,MAX(0,E1552-F1552),"n.a.")</x:f>
        <x:v>500</x:v>
      </x:c>
      <x:c r="H1552" s="26" t="str">
        <x:f>'Inputs'!C11</x:f>
        <x:v>Card A</x:v>
      </x:c>
      <x:c r="I1552" s="26" t="n">
        <x:f>S1547</x:f>
        <x:v>0</x:v>
      </x:c>
      <x:c r="J1552" s="29" t="n">
        <x:f>IF('Inputs'!$D$9="Ready",'Inputs'!E11,"n.a.")</x:f>
        <x:v>0.24</x:v>
      </x:c>
      <x:c r="K1552" s="26" t="n">
        <x:f>IF('Inputs'!$D$9="Ready",'Inputs'!F11,"n.a.")</x:f>
        <x:v>35</x:v>
      </x:c>
      <x:c r="L1552" s="29" t="n">
        <x:f>IF('Inputs'!$D$9="Ready",'Inputs'!G11,"n.a.")</x:f>
        <x:v>0.02</x:v>
      </x:c>
      <x:c r="M1552" s="22" t="n">
        <x:f>IF(COUNT(I1552:L1552)=4,ROUND(I1552*J1552/12,2),"n.a.")</x:f>
        <x:v>0</x:v>
      </x:c>
      <x:c r="N1552" s="22" t="n">
        <x:f>IF(COUNT(I1552:M1552)=5,MIN(I1552+M1552,ROUND(MAX(K1552,I1552*L1552+M1552),2)),"n.a.")</x:f>
        <x:v>0</x:v>
      </x:c>
      <x:c r="O1552" s="30" t="n">
        <x:f>IF(COUNT($I$1552:$I$1556)&lt;&gt;5,"n.a.",IF(I1552=0,6,IF('Inputs'!$D$5=1,COUNTIFS($I$1552:$I$1556,"&gt;0",$I$1552:$I$1556,"&lt;"&amp;I1552)+COUNTIFS($I$1552:I1552,I1552),COUNTIFS($I$1552:$I$1556,"&gt;0",$J$1552:$J$1556,"&gt;"&amp;J1552)+COUNTIFS($I$1552:I1552,"&gt;0",$J$1552:J1552,J1552))))</x:f>
        <x:v>6</x:v>
      </x:c>
      <x:c r="P1552" s="22" t="n">
        <x:f>IF(T1552="Ready",MIN(U1552,MAX(0,G1552-SUMIFS($U$1552:$U$1556,$O$1552:$O$1556,"&lt;"&amp;O1552))),"n.a.")</x:f>
        <x:v>0</x:v>
      </x:c>
      <x:c r="Q1552" s="22" t="n">
        <x:f>IF(T1552="Ready",ROUND(N1552+P1552,2),"n.a.")</x:f>
        <x:v>0</x:v>
      </x:c>
      <x:c r="R1552" s="22" t="n">
        <x:f>IF(T1552="Ready",ROUND(Q1552-M1552,2),"n.a.")</x:f>
        <x:v>0</x:v>
      </x:c>
      <x:c r="S1552" s="22" t="n">
        <x:f>IF(T1552="Ready",MAX(0,ROUND(I1552+M1552-Q1552,2)),"n.a.")</x:f>
        <x:v>0</x:v>
      </x:c>
      <x:c r="T1552" s="22" t="str">
        <x:f>IF(AND(COUNT($I$1552:$I$1556)=5,COUNT(E1552:F1552)=2),IF(E1552&gt;=F1552,"Ready","Budget below minima"),"Check inputs")</x:f>
        <x:v>Ready</x:v>
      </x:c>
      <x:c r="U1552" s="22" t="n">
        <x:f>IF(COUNT(I1552,M1552,N1552)=3,MAX(0,ROUND(I1552+M1552-N1552,2)),"n.a.")</x:f>
        <x:v>0</x:v>
      </x:c>
    </x:row>
    <x:row r="1553" ht="22" customHeight="1">
      <x:c r="A1553" s="2"/>
      <x:c r="B1553" s="2"/>
      <x:c r="C1553" s="27" t="n">
        <x:f>310</x:f>
        <x:v>310</x:v>
      </x:c>
      <x:c r="D1553" s="28" t="n">
        <x:f>IF(ISNUMBER('Inputs'!$D$7),EDATE('Inputs'!$D$7,309),"n.a.")</x:f>
        <x:v>55732</x:v>
      </x:c>
      <x:c r="E1553" s="26" t="n">
        <x:f>IF('Inputs'!$D$9&lt;&gt;"Ready","n.a.",IF(ISNUMBER('Inputs'!E328),IF('Inputs'!E328&gt;=0,'Inputs'!E328,"n.a."),IF('Inputs'!E328="",'Inputs'!$D$6,"n.a.")))</x:f>
        <x:v>500</x:v>
      </x:c>
      <x:c r="F1553" s="22" t="n">
        <x:f>IF(COUNT($N$1552:$N$1556)=5,SUM($N$1552:$N$1556),"n.a.")</x:f>
        <x:v>0</x:v>
      </x:c>
      <x:c r="G1553" s="22" t="n">
        <x:f>IF(COUNT(E1553:F1553)=2,MAX(0,E1553-F1553),"n.a.")</x:f>
        <x:v>500</x:v>
      </x:c>
      <x:c r="H1553" s="26" t="str">
        <x:f>'Inputs'!C12</x:f>
        <x:v>Card B</x:v>
      </x:c>
      <x:c r="I1553" s="26" t="n">
        <x:f>S1548</x:f>
        <x:v>0</x:v>
      </x:c>
      <x:c r="J1553" s="29" t="n">
        <x:f>IF('Inputs'!$D$9="Ready",'Inputs'!E12,"n.a.")</x:f>
        <x:v>0.18</x:v>
      </x:c>
      <x:c r="K1553" s="26" t="n">
        <x:f>IF('Inputs'!$D$9="Ready",'Inputs'!F12,"n.a.")</x:f>
        <x:v>60</x:v>
      </x:c>
      <x:c r="L1553" s="29" t="n">
        <x:f>IF('Inputs'!$D$9="Ready",'Inputs'!G12,"n.a.")</x:f>
        <x:v>0.02</x:v>
      </x:c>
      <x:c r="M1553" s="22" t="n">
        <x:f>IF(COUNT(I1553:L1553)=4,ROUND(I1553*J1553/12,2),"n.a.")</x:f>
        <x:v>0</x:v>
      </x:c>
      <x:c r="N1553" s="22" t="n">
        <x:f>IF(COUNT(I1553:M1553)=5,MIN(I1553+M1553,ROUND(MAX(K1553,I1553*L1553+M1553),2)),"n.a.")</x:f>
        <x:v>0</x:v>
      </x:c>
      <x:c r="O1553" s="30" t="n">
        <x:f>IF(COUNT($I$1552:$I$1556)&lt;&gt;5,"n.a.",IF(I1553=0,6,IF('Inputs'!$D$5=1,COUNTIFS($I$1552:$I$1556,"&gt;0",$I$1552:$I$1556,"&lt;"&amp;I1553)+COUNTIFS($I$1552:I1553,I1553),COUNTIFS($I$1552:$I$1556,"&gt;0",$J$1552:$J$1556,"&gt;"&amp;J1553)+COUNTIFS($I$1552:I1553,"&gt;0",$J$1552:J1553,J1553))))</x:f>
        <x:v>6</x:v>
      </x:c>
      <x:c r="P1553" s="22" t="n">
        <x:f>IF(T1553="Ready",MIN(U1553,MAX(0,G1553-SUMIFS($U$1552:$U$1556,$O$1552:$O$1556,"&lt;"&amp;O1553))),"n.a.")</x:f>
        <x:v>0</x:v>
      </x:c>
      <x:c r="Q1553" s="22" t="n">
        <x:f>IF(T1553="Ready",ROUND(N1553+P1553,2),"n.a.")</x:f>
        <x:v>0</x:v>
      </x:c>
      <x:c r="R1553" s="22" t="n">
        <x:f>IF(T1553="Ready",ROUND(Q1553-M1553,2),"n.a.")</x:f>
        <x:v>0</x:v>
      </x:c>
      <x:c r="S1553" s="22" t="n">
        <x:f>IF(T1553="Ready",MAX(0,ROUND(I1553+M1553-Q1553,2)),"n.a.")</x:f>
        <x:v>0</x:v>
      </x:c>
      <x:c r="T1553" s="22" t="str">
        <x:f>IF(AND(COUNT($I$1552:$I$1556)=5,COUNT(E1553:F1553)=2),IF(E1553&gt;=F1553,"Ready","Budget below minima"),"Check inputs")</x:f>
        <x:v>Ready</x:v>
      </x:c>
      <x:c r="U1553" s="22" t="n">
        <x:f>IF(COUNT(I1553,M1553,N1553)=3,MAX(0,ROUND(I1553+M1553-N1553,2)),"n.a.")</x:f>
        <x:v>0</x:v>
      </x:c>
    </x:row>
    <x:row r="1554" ht="22" customHeight="1">
      <x:c r="A1554" s="2"/>
      <x:c r="B1554" s="2"/>
      <x:c r="C1554" s="27" t="n">
        <x:f>310</x:f>
        <x:v>310</x:v>
      </x:c>
      <x:c r="D1554" s="28" t="n">
        <x:f>IF(ISNUMBER('Inputs'!$D$7),EDATE('Inputs'!$D$7,309),"n.a.")</x:f>
        <x:v>55732</x:v>
      </x:c>
      <x:c r="E1554" s="26" t="n">
        <x:f>IF('Inputs'!$D$9&lt;&gt;"Ready","n.a.",IF(ISNUMBER('Inputs'!E328),IF('Inputs'!E328&gt;=0,'Inputs'!E328,"n.a."),IF('Inputs'!E328="",'Inputs'!$D$6,"n.a.")))</x:f>
        <x:v>500</x:v>
      </x:c>
      <x:c r="F1554" s="22" t="n">
        <x:f>IF(COUNT($N$1552:$N$1556)=5,SUM($N$1552:$N$1556),"n.a.")</x:f>
        <x:v>0</x:v>
      </x:c>
      <x:c r="G1554" s="22" t="n">
        <x:f>IF(COUNT(E1554:F1554)=2,MAX(0,E1554-F1554),"n.a.")</x:f>
        <x:v>500</x:v>
      </x:c>
      <x:c r="H1554" s="26" t="str">
        <x:f>'Inputs'!C13</x:f>
        <x:v>Loan C</x:v>
      </x:c>
      <x:c r="I1554" s="26" t="n">
        <x:f>S1549</x:f>
        <x:v>0</x:v>
      </x:c>
      <x:c r="J1554" s="29" t="n">
        <x:f>IF('Inputs'!$D$9="Ready",'Inputs'!E13,"n.a.")</x:f>
        <x:v>0.08</x:v>
      </x:c>
      <x:c r="K1554" s="26" t="n">
        <x:f>IF('Inputs'!$D$9="Ready",'Inputs'!F13,"n.a.")</x:f>
        <x:v>150</x:v>
      </x:c>
      <x:c r="L1554" s="29" t="n">
        <x:f>IF('Inputs'!$D$9="Ready",'Inputs'!G13,"n.a.")</x:f>
        <x:v>0</x:v>
      </x:c>
      <x:c r="M1554" s="22" t="n">
        <x:f>IF(COUNT(I1554:L1554)=4,ROUND(I1554*J1554/12,2),"n.a.")</x:f>
        <x:v>0</x:v>
      </x:c>
      <x:c r="N1554" s="22" t="n">
        <x:f>IF(COUNT(I1554:M1554)=5,MIN(I1554+M1554,ROUND(MAX(K1554,I1554*L1554+M1554),2)),"n.a.")</x:f>
        <x:v>0</x:v>
      </x:c>
      <x:c r="O1554" s="30" t="n">
        <x:f>IF(COUNT($I$1552:$I$1556)&lt;&gt;5,"n.a.",IF(I1554=0,6,IF('Inputs'!$D$5=1,COUNTIFS($I$1552:$I$1556,"&gt;0",$I$1552:$I$1556,"&lt;"&amp;I1554)+COUNTIFS($I$1552:I1554,I1554),COUNTIFS($I$1552:$I$1556,"&gt;0",$J$1552:$J$1556,"&gt;"&amp;J1554)+COUNTIFS($I$1552:I1554,"&gt;0",$J$1552:J1554,J1554))))</x:f>
        <x:v>6</x:v>
      </x:c>
      <x:c r="P1554" s="22" t="n">
        <x:f>IF(T1554="Ready",MIN(U1554,MAX(0,G1554-SUMIFS($U$1552:$U$1556,$O$1552:$O$1556,"&lt;"&amp;O1554))),"n.a.")</x:f>
        <x:v>0</x:v>
      </x:c>
      <x:c r="Q1554" s="22" t="n">
        <x:f>IF(T1554="Ready",ROUND(N1554+P1554,2),"n.a.")</x:f>
        <x:v>0</x:v>
      </x:c>
      <x:c r="R1554" s="22" t="n">
        <x:f>IF(T1554="Ready",ROUND(Q1554-M1554,2),"n.a.")</x:f>
        <x:v>0</x:v>
      </x:c>
      <x:c r="S1554" s="22" t="n">
        <x:f>IF(T1554="Ready",MAX(0,ROUND(I1554+M1554-Q1554,2)),"n.a.")</x:f>
        <x:v>0</x:v>
      </x:c>
      <x:c r="T1554" s="22" t="str">
        <x:f>IF(AND(COUNT($I$1552:$I$1556)=5,COUNT(E1554:F1554)=2),IF(E1554&gt;=F1554,"Ready","Budget below minima"),"Check inputs")</x:f>
        <x:v>Ready</x:v>
      </x:c>
      <x:c r="U1554" s="22" t="n">
        <x:f>IF(COUNT(I1554,M1554,N1554)=3,MAX(0,ROUND(I1554+M1554-N1554,2)),"n.a.")</x:f>
        <x:v>0</x:v>
      </x:c>
    </x:row>
    <x:row r="1555" ht="22" customHeight="1">
      <x:c r="A1555" s="2"/>
      <x:c r="B1555" s="2"/>
      <x:c r="C1555" s="27" t="n">
        <x:f>310</x:f>
        <x:v>310</x:v>
      </x:c>
      <x:c r="D1555" s="28" t="n">
        <x:f>IF(ISNUMBER('Inputs'!$D$7),EDATE('Inputs'!$D$7,309),"n.a.")</x:f>
        <x:v>55732</x:v>
      </x:c>
      <x:c r="E1555" s="26" t="n">
        <x:f>IF('Inputs'!$D$9&lt;&gt;"Ready","n.a.",IF(ISNUMBER('Inputs'!E328),IF('Inputs'!E328&gt;=0,'Inputs'!E328,"n.a."),IF('Inputs'!E328="",'Inputs'!$D$6,"n.a.")))</x:f>
        <x:v>500</x:v>
      </x:c>
      <x:c r="F1555" s="22" t="n">
        <x:f>IF(COUNT($N$1552:$N$1556)=5,SUM($N$1552:$N$1556),"n.a.")</x:f>
        <x:v>0</x:v>
      </x:c>
      <x:c r="G1555" s="22" t="n">
        <x:f>IF(COUNT(E1555:F1555)=2,MAX(0,E1555-F1555),"n.a.")</x:f>
        <x:v>500</x:v>
      </x:c>
      <x:c r="H1555" s="26" t="str">
        <x:f>'Inputs'!C14</x:f>
        <x:v>Unused 4</x:v>
      </x:c>
      <x:c r="I1555" s="26" t="n">
        <x:f>S1550</x:f>
        <x:v>0</x:v>
      </x:c>
      <x:c r="J1555" s="29" t="n">
        <x:f>IF('Inputs'!$D$9="Ready",'Inputs'!E14,"n.a.")</x:f>
        <x:v>0</x:v>
      </x:c>
      <x:c r="K1555" s="26" t="n">
        <x:f>IF('Inputs'!$D$9="Ready",'Inputs'!F14,"n.a.")</x:f>
        <x:v>0</x:v>
      </x:c>
      <x:c r="L1555" s="29" t="n">
        <x:f>IF('Inputs'!$D$9="Ready",'Inputs'!G14,"n.a.")</x:f>
        <x:v>0</x:v>
      </x:c>
      <x:c r="M1555" s="22" t="n">
        <x:f>IF(COUNT(I1555:L1555)=4,ROUND(I1555*J1555/12,2),"n.a.")</x:f>
        <x:v>0</x:v>
      </x:c>
      <x:c r="N1555" s="22" t="n">
        <x:f>IF(COUNT(I1555:M1555)=5,MIN(I1555+M1555,ROUND(MAX(K1555,I1555*L1555+M1555),2)),"n.a.")</x:f>
        <x:v>0</x:v>
      </x:c>
      <x:c r="O1555" s="30" t="n">
        <x:f>IF(COUNT($I$1552:$I$1556)&lt;&gt;5,"n.a.",IF(I1555=0,6,IF('Inputs'!$D$5=1,COUNTIFS($I$1552:$I$1556,"&gt;0",$I$1552:$I$1556,"&lt;"&amp;I1555)+COUNTIFS($I$1552:I1555,I1555),COUNTIFS($I$1552:$I$1556,"&gt;0",$J$1552:$J$1556,"&gt;"&amp;J1555)+COUNTIFS($I$1552:I1555,"&gt;0",$J$1552:J1555,J1555))))</x:f>
        <x:v>6</x:v>
      </x:c>
      <x:c r="P1555" s="22" t="n">
        <x:f>IF(T1555="Ready",MIN(U1555,MAX(0,G1555-SUMIFS($U$1552:$U$1556,$O$1552:$O$1556,"&lt;"&amp;O1555))),"n.a.")</x:f>
        <x:v>0</x:v>
      </x:c>
      <x:c r="Q1555" s="22" t="n">
        <x:f>IF(T1555="Ready",ROUND(N1555+P1555,2),"n.a.")</x:f>
        <x:v>0</x:v>
      </x:c>
      <x:c r="R1555" s="22" t="n">
        <x:f>IF(T1555="Ready",ROUND(Q1555-M1555,2),"n.a.")</x:f>
        <x:v>0</x:v>
      </x:c>
      <x:c r="S1555" s="22" t="n">
        <x:f>IF(T1555="Ready",MAX(0,ROUND(I1555+M1555-Q1555,2)),"n.a.")</x:f>
        <x:v>0</x:v>
      </x:c>
      <x:c r="T1555" s="22" t="str">
        <x:f>IF(AND(COUNT($I$1552:$I$1556)=5,COUNT(E1555:F1555)=2),IF(E1555&gt;=F1555,"Ready","Budget below minima"),"Check inputs")</x:f>
        <x:v>Ready</x:v>
      </x:c>
      <x:c r="U1555" s="22" t="n">
        <x:f>IF(COUNT(I1555,M1555,N1555)=3,MAX(0,ROUND(I1555+M1555-N1555,2)),"n.a.")</x:f>
        <x:v>0</x:v>
      </x:c>
    </x:row>
    <x:row r="1556" ht="22" customHeight="1">
      <x:c r="A1556" s="2"/>
      <x:c r="B1556" s="2"/>
      <x:c r="C1556" s="27" t="n">
        <x:f>310</x:f>
        <x:v>310</x:v>
      </x:c>
      <x:c r="D1556" s="28" t="n">
        <x:f>IF(ISNUMBER('Inputs'!$D$7),EDATE('Inputs'!$D$7,309),"n.a.")</x:f>
        <x:v>55732</x:v>
      </x:c>
      <x:c r="E1556" s="26" t="n">
        <x:f>IF('Inputs'!$D$9&lt;&gt;"Ready","n.a.",IF(ISNUMBER('Inputs'!E328),IF('Inputs'!E328&gt;=0,'Inputs'!E328,"n.a."),IF('Inputs'!E328="",'Inputs'!$D$6,"n.a.")))</x:f>
        <x:v>500</x:v>
      </x:c>
      <x:c r="F1556" s="22" t="n">
        <x:f>IF(COUNT($N$1552:$N$1556)=5,SUM($N$1552:$N$1556),"n.a.")</x:f>
        <x:v>0</x:v>
      </x:c>
      <x:c r="G1556" s="22" t="n">
        <x:f>IF(COUNT(E1556:F1556)=2,MAX(0,E1556-F1556),"n.a.")</x:f>
        <x:v>500</x:v>
      </x:c>
      <x:c r="H1556" s="26" t="str">
        <x:f>'Inputs'!C15</x:f>
        <x:v>Unused 5</x:v>
      </x:c>
      <x:c r="I1556" s="26" t="n">
        <x:f>S1551</x:f>
        <x:v>0</x:v>
      </x:c>
      <x:c r="J1556" s="29" t="n">
        <x:f>IF('Inputs'!$D$9="Ready",'Inputs'!E15,"n.a.")</x:f>
        <x:v>0</x:v>
      </x:c>
      <x:c r="K1556" s="26" t="n">
        <x:f>IF('Inputs'!$D$9="Ready",'Inputs'!F15,"n.a.")</x:f>
        <x:v>0</x:v>
      </x:c>
      <x:c r="L1556" s="29" t="n">
        <x:f>IF('Inputs'!$D$9="Ready",'Inputs'!G15,"n.a.")</x:f>
        <x:v>0</x:v>
      </x:c>
      <x:c r="M1556" s="22" t="n">
        <x:f>IF(COUNT(I1556:L1556)=4,ROUND(I1556*J1556/12,2),"n.a.")</x:f>
        <x:v>0</x:v>
      </x:c>
      <x:c r="N1556" s="22" t="n">
        <x:f>IF(COUNT(I1556:M1556)=5,MIN(I1556+M1556,ROUND(MAX(K1556,I1556*L1556+M1556),2)),"n.a.")</x:f>
        <x:v>0</x:v>
      </x:c>
      <x:c r="O1556" s="30" t="n">
        <x:f>IF(COUNT($I$1552:$I$1556)&lt;&gt;5,"n.a.",IF(I1556=0,6,IF('Inputs'!$D$5=1,COUNTIFS($I$1552:$I$1556,"&gt;0",$I$1552:$I$1556,"&lt;"&amp;I1556)+COUNTIFS($I$1552:I1556,I1556),COUNTIFS($I$1552:$I$1556,"&gt;0",$J$1552:$J$1556,"&gt;"&amp;J1556)+COUNTIFS($I$1552:I1556,"&gt;0",$J$1552:J1556,J1556))))</x:f>
        <x:v>6</x:v>
      </x:c>
      <x:c r="P1556" s="22" t="n">
        <x:f>IF(T1556="Ready",MIN(U1556,MAX(0,G1556-SUMIFS($U$1552:$U$1556,$O$1552:$O$1556,"&lt;"&amp;O1556))),"n.a.")</x:f>
        <x:v>0</x:v>
      </x:c>
      <x:c r="Q1556" s="22" t="n">
        <x:f>IF(T1556="Ready",ROUND(N1556+P1556,2),"n.a.")</x:f>
        <x:v>0</x:v>
      </x:c>
      <x:c r="R1556" s="22" t="n">
        <x:f>IF(T1556="Ready",ROUND(Q1556-M1556,2),"n.a.")</x:f>
        <x:v>0</x:v>
      </x:c>
      <x:c r="S1556" s="22" t="n">
        <x:f>IF(T1556="Ready",MAX(0,ROUND(I1556+M1556-Q1556,2)),"n.a.")</x:f>
        <x:v>0</x:v>
      </x:c>
      <x:c r="T1556" s="22" t="str">
        <x:f>IF(AND(COUNT($I$1552:$I$1556)=5,COUNT(E1556:F1556)=2),IF(E1556&gt;=F1556,"Ready","Budget below minima"),"Check inputs")</x:f>
        <x:v>Ready</x:v>
      </x:c>
      <x:c r="U1556" s="22" t="n">
        <x:f>IF(COUNT(I1556,M1556,N1556)=3,MAX(0,ROUND(I1556+M1556-N1556,2)),"n.a.")</x:f>
        <x:v>0</x:v>
      </x:c>
    </x:row>
    <x:row r="1557" ht="22" customHeight="1">
      <x:c r="A1557" s="2"/>
      <x:c r="B1557" s="2"/>
      <x:c r="C1557" s="27" t="n">
        <x:f>311</x:f>
        <x:v>311</x:v>
      </x:c>
      <x:c r="D1557" s="28" t="n">
        <x:f>IF(ISNUMBER('Inputs'!$D$7),EDATE('Inputs'!$D$7,310),"n.a.")</x:f>
        <x:v>55763</x:v>
      </x:c>
      <x:c r="E1557" s="26" t="n">
        <x:f>IF('Inputs'!$D$9&lt;&gt;"Ready","n.a.",IF(ISNUMBER('Inputs'!E329),IF('Inputs'!E329&gt;=0,'Inputs'!E329,"n.a."),IF('Inputs'!E329="",'Inputs'!$D$6,"n.a.")))</x:f>
        <x:v>500</x:v>
      </x:c>
      <x:c r="F1557" s="22" t="n">
        <x:f>IF(COUNT($N$1557:$N$1561)=5,SUM($N$1557:$N$1561),"n.a.")</x:f>
        <x:v>0</x:v>
      </x:c>
      <x:c r="G1557" s="22" t="n">
        <x:f>IF(COUNT(E1557:F1557)=2,MAX(0,E1557-F1557),"n.a.")</x:f>
        <x:v>500</x:v>
      </x:c>
      <x:c r="H1557" s="26" t="str">
        <x:f>'Inputs'!C11</x:f>
        <x:v>Card A</x:v>
      </x:c>
      <x:c r="I1557" s="26" t="n">
        <x:f>S1552</x:f>
        <x:v>0</x:v>
      </x:c>
      <x:c r="J1557" s="29" t="n">
        <x:f>IF('Inputs'!$D$9="Ready",'Inputs'!E11,"n.a.")</x:f>
        <x:v>0.24</x:v>
      </x:c>
      <x:c r="K1557" s="26" t="n">
        <x:f>IF('Inputs'!$D$9="Ready",'Inputs'!F11,"n.a.")</x:f>
        <x:v>35</x:v>
      </x:c>
      <x:c r="L1557" s="29" t="n">
        <x:f>IF('Inputs'!$D$9="Ready",'Inputs'!G11,"n.a.")</x:f>
        <x:v>0.02</x:v>
      </x:c>
      <x:c r="M1557" s="22" t="n">
        <x:f>IF(COUNT(I1557:L1557)=4,ROUND(I1557*J1557/12,2),"n.a.")</x:f>
        <x:v>0</x:v>
      </x:c>
      <x:c r="N1557" s="22" t="n">
        <x:f>IF(COUNT(I1557:M1557)=5,MIN(I1557+M1557,ROUND(MAX(K1557,I1557*L1557+M1557),2)),"n.a.")</x:f>
        <x:v>0</x:v>
      </x:c>
      <x:c r="O1557" s="30" t="n">
        <x:f>IF(COUNT($I$1557:$I$1561)&lt;&gt;5,"n.a.",IF(I1557=0,6,IF('Inputs'!$D$5=1,COUNTIFS($I$1557:$I$1561,"&gt;0",$I$1557:$I$1561,"&lt;"&amp;I1557)+COUNTIFS($I$1557:I1557,I1557),COUNTIFS($I$1557:$I$1561,"&gt;0",$J$1557:$J$1561,"&gt;"&amp;J1557)+COUNTIFS($I$1557:I1557,"&gt;0",$J$1557:J1557,J1557))))</x:f>
        <x:v>6</x:v>
      </x:c>
      <x:c r="P1557" s="22" t="n">
        <x:f>IF(T1557="Ready",MIN(U1557,MAX(0,G1557-SUMIFS($U$1557:$U$1561,$O$1557:$O$1561,"&lt;"&amp;O1557))),"n.a.")</x:f>
        <x:v>0</x:v>
      </x:c>
      <x:c r="Q1557" s="22" t="n">
        <x:f>IF(T1557="Ready",ROUND(N1557+P1557,2),"n.a.")</x:f>
        <x:v>0</x:v>
      </x:c>
      <x:c r="R1557" s="22" t="n">
        <x:f>IF(T1557="Ready",ROUND(Q1557-M1557,2),"n.a.")</x:f>
        <x:v>0</x:v>
      </x:c>
      <x:c r="S1557" s="22" t="n">
        <x:f>IF(T1557="Ready",MAX(0,ROUND(I1557+M1557-Q1557,2)),"n.a.")</x:f>
        <x:v>0</x:v>
      </x:c>
      <x:c r="T1557" s="22" t="str">
        <x:f>IF(AND(COUNT($I$1557:$I$1561)=5,COUNT(E1557:F1557)=2),IF(E1557&gt;=F1557,"Ready","Budget below minima"),"Check inputs")</x:f>
        <x:v>Ready</x:v>
      </x:c>
      <x:c r="U1557" s="22" t="n">
        <x:f>IF(COUNT(I1557,M1557,N1557)=3,MAX(0,ROUND(I1557+M1557-N1557,2)),"n.a.")</x:f>
        <x:v>0</x:v>
      </x:c>
    </x:row>
    <x:row r="1558" ht="22" customHeight="1">
      <x:c r="A1558" s="2"/>
      <x:c r="B1558" s="2"/>
      <x:c r="C1558" s="27" t="n">
        <x:f>311</x:f>
        <x:v>311</x:v>
      </x:c>
      <x:c r="D1558" s="28" t="n">
        <x:f>IF(ISNUMBER('Inputs'!$D$7),EDATE('Inputs'!$D$7,310),"n.a.")</x:f>
        <x:v>55763</x:v>
      </x:c>
      <x:c r="E1558" s="26" t="n">
        <x:f>IF('Inputs'!$D$9&lt;&gt;"Ready","n.a.",IF(ISNUMBER('Inputs'!E329),IF('Inputs'!E329&gt;=0,'Inputs'!E329,"n.a."),IF('Inputs'!E329="",'Inputs'!$D$6,"n.a.")))</x:f>
        <x:v>500</x:v>
      </x:c>
      <x:c r="F1558" s="22" t="n">
        <x:f>IF(COUNT($N$1557:$N$1561)=5,SUM($N$1557:$N$1561),"n.a.")</x:f>
        <x:v>0</x:v>
      </x:c>
      <x:c r="G1558" s="22" t="n">
        <x:f>IF(COUNT(E1558:F1558)=2,MAX(0,E1558-F1558),"n.a.")</x:f>
        <x:v>500</x:v>
      </x:c>
      <x:c r="H1558" s="26" t="str">
        <x:f>'Inputs'!C12</x:f>
        <x:v>Card B</x:v>
      </x:c>
      <x:c r="I1558" s="26" t="n">
        <x:f>S1553</x:f>
        <x:v>0</x:v>
      </x:c>
      <x:c r="J1558" s="29" t="n">
        <x:f>IF('Inputs'!$D$9="Ready",'Inputs'!E12,"n.a.")</x:f>
        <x:v>0.18</x:v>
      </x:c>
      <x:c r="K1558" s="26" t="n">
        <x:f>IF('Inputs'!$D$9="Ready",'Inputs'!F12,"n.a.")</x:f>
        <x:v>60</x:v>
      </x:c>
      <x:c r="L1558" s="29" t="n">
        <x:f>IF('Inputs'!$D$9="Ready",'Inputs'!G12,"n.a.")</x:f>
        <x:v>0.02</x:v>
      </x:c>
      <x:c r="M1558" s="22" t="n">
        <x:f>IF(COUNT(I1558:L1558)=4,ROUND(I1558*J1558/12,2),"n.a.")</x:f>
        <x:v>0</x:v>
      </x:c>
      <x:c r="N1558" s="22" t="n">
        <x:f>IF(COUNT(I1558:M1558)=5,MIN(I1558+M1558,ROUND(MAX(K1558,I1558*L1558+M1558),2)),"n.a.")</x:f>
        <x:v>0</x:v>
      </x:c>
      <x:c r="O1558" s="30" t="n">
        <x:f>IF(COUNT($I$1557:$I$1561)&lt;&gt;5,"n.a.",IF(I1558=0,6,IF('Inputs'!$D$5=1,COUNTIFS($I$1557:$I$1561,"&gt;0",$I$1557:$I$1561,"&lt;"&amp;I1558)+COUNTIFS($I$1557:I1558,I1558),COUNTIFS($I$1557:$I$1561,"&gt;0",$J$1557:$J$1561,"&gt;"&amp;J1558)+COUNTIFS($I$1557:I1558,"&gt;0",$J$1557:J1558,J1558))))</x:f>
        <x:v>6</x:v>
      </x:c>
      <x:c r="P1558" s="22" t="n">
        <x:f>IF(T1558="Ready",MIN(U1558,MAX(0,G1558-SUMIFS($U$1557:$U$1561,$O$1557:$O$1561,"&lt;"&amp;O1558))),"n.a.")</x:f>
        <x:v>0</x:v>
      </x:c>
      <x:c r="Q1558" s="22" t="n">
        <x:f>IF(T1558="Ready",ROUND(N1558+P1558,2),"n.a.")</x:f>
        <x:v>0</x:v>
      </x:c>
      <x:c r="R1558" s="22" t="n">
        <x:f>IF(T1558="Ready",ROUND(Q1558-M1558,2),"n.a.")</x:f>
        <x:v>0</x:v>
      </x:c>
      <x:c r="S1558" s="22" t="n">
        <x:f>IF(T1558="Ready",MAX(0,ROUND(I1558+M1558-Q1558,2)),"n.a.")</x:f>
        <x:v>0</x:v>
      </x:c>
      <x:c r="T1558" s="22" t="str">
        <x:f>IF(AND(COUNT($I$1557:$I$1561)=5,COUNT(E1558:F1558)=2),IF(E1558&gt;=F1558,"Ready","Budget below minima"),"Check inputs")</x:f>
        <x:v>Ready</x:v>
      </x:c>
      <x:c r="U1558" s="22" t="n">
        <x:f>IF(COUNT(I1558,M1558,N1558)=3,MAX(0,ROUND(I1558+M1558-N1558,2)),"n.a.")</x:f>
        <x:v>0</x:v>
      </x:c>
    </x:row>
    <x:row r="1559" ht="22" customHeight="1">
      <x:c r="A1559" s="2"/>
      <x:c r="B1559" s="2"/>
      <x:c r="C1559" s="27" t="n">
        <x:f>311</x:f>
        <x:v>311</x:v>
      </x:c>
      <x:c r="D1559" s="28" t="n">
        <x:f>IF(ISNUMBER('Inputs'!$D$7),EDATE('Inputs'!$D$7,310),"n.a.")</x:f>
        <x:v>55763</x:v>
      </x:c>
      <x:c r="E1559" s="26" t="n">
        <x:f>IF('Inputs'!$D$9&lt;&gt;"Ready","n.a.",IF(ISNUMBER('Inputs'!E329),IF('Inputs'!E329&gt;=0,'Inputs'!E329,"n.a."),IF('Inputs'!E329="",'Inputs'!$D$6,"n.a.")))</x:f>
        <x:v>500</x:v>
      </x:c>
      <x:c r="F1559" s="22" t="n">
        <x:f>IF(COUNT($N$1557:$N$1561)=5,SUM($N$1557:$N$1561),"n.a.")</x:f>
        <x:v>0</x:v>
      </x:c>
      <x:c r="G1559" s="22" t="n">
        <x:f>IF(COUNT(E1559:F1559)=2,MAX(0,E1559-F1559),"n.a.")</x:f>
        <x:v>500</x:v>
      </x:c>
      <x:c r="H1559" s="26" t="str">
        <x:f>'Inputs'!C13</x:f>
        <x:v>Loan C</x:v>
      </x:c>
      <x:c r="I1559" s="26" t="n">
        <x:f>S1554</x:f>
        <x:v>0</x:v>
      </x:c>
      <x:c r="J1559" s="29" t="n">
        <x:f>IF('Inputs'!$D$9="Ready",'Inputs'!E13,"n.a.")</x:f>
        <x:v>0.08</x:v>
      </x:c>
      <x:c r="K1559" s="26" t="n">
        <x:f>IF('Inputs'!$D$9="Ready",'Inputs'!F13,"n.a.")</x:f>
        <x:v>150</x:v>
      </x:c>
      <x:c r="L1559" s="29" t="n">
        <x:f>IF('Inputs'!$D$9="Ready",'Inputs'!G13,"n.a.")</x:f>
        <x:v>0</x:v>
      </x:c>
      <x:c r="M1559" s="22" t="n">
        <x:f>IF(COUNT(I1559:L1559)=4,ROUND(I1559*J1559/12,2),"n.a.")</x:f>
        <x:v>0</x:v>
      </x:c>
      <x:c r="N1559" s="22" t="n">
        <x:f>IF(COUNT(I1559:M1559)=5,MIN(I1559+M1559,ROUND(MAX(K1559,I1559*L1559+M1559),2)),"n.a.")</x:f>
        <x:v>0</x:v>
      </x:c>
      <x:c r="O1559" s="30" t="n">
        <x:f>IF(COUNT($I$1557:$I$1561)&lt;&gt;5,"n.a.",IF(I1559=0,6,IF('Inputs'!$D$5=1,COUNTIFS($I$1557:$I$1561,"&gt;0",$I$1557:$I$1561,"&lt;"&amp;I1559)+COUNTIFS($I$1557:I1559,I1559),COUNTIFS($I$1557:$I$1561,"&gt;0",$J$1557:$J$1561,"&gt;"&amp;J1559)+COUNTIFS($I$1557:I1559,"&gt;0",$J$1557:J1559,J1559))))</x:f>
        <x:v>6</x:v>
      </x:c>
      <x:c r="P1559" s="22" t="n">
        <x:f>IF(T1559="Ready",MIN(U1559,MAX(0,G1559-SUMIFS($U$1557:$U$1561,$O$1557:$O$1561,"&lt;"&amp;O1559))),"n.a.")</x:f>
        <x:v>0</x:v>
      </x:c>
      <x:c r="Q1559" s="22" t="n">
        <x:f>IF(T1559="Ready",ROUND(N1559+P1559,2),"n.a.")</x:f>
        <x:v>0</x:v>
      </x:c>
      <x:c r="R1559" s="22" t="n">
        <x:f>IF(T1559="Ready",ROUND(Q1559-M1559,2),"n.a.")</x:f>
        <x:v>0</x:v>
      </x:c>
      <x:c r="S1559" s="22" t="n">
        <x:f>IF(T1559="Ready",MAX(0,ROUND(I1559+M1559-Q1559,2)),"n.a.")</x:f>
        <x:v>0</x:v>
      </x:c>
      <x:c r="T1559" s="22" t="str">
        <x:f>IF(AND(COUNT($I$1557:$I$1561)=5,COUNT(E1559:F1559)=2),IF(E1559&gt;=F1559,"Ready","Budget below minima"),"Check inputs")</x:f>
        <x:v>Ready</x:v>
      </x:c>
      <x:c r="U1559" s="22" t="n">
        <x:f>IF(COUNT(I1559,M1559,N1559)=3,MAX(0,ROUND(I1559+M1559-N1559,2)),"n.a.")</x:f>
        <x:v>0</x:v>
      </x:c>
    </x:row>
    <x:row r="1560" ht="22" customHeight="1">
      <x:c r="A1560" s="2"/>
      <x:c r="B1560" s="2"/>
      <x:c r="C1560" s="27" t="n">
        <x:f>311</x:f>
        <x:v>311</x:v>
      </x:c>
      <x:c r="D1560" s="28" t="n">
        <x:f>IF(ISNUMBER('Inputs'!$D$7),EDATE('Inputs'!$D$7,310),"n.a.")</x:f>
        <x:v>55763</x:v>
      </x:c>
      <x:c r="E1560" s="26" t="n">
        <x:f>IF('Inputs'!$D$9&lt;&gt;"Ready","n.a.",IF(ISNUMBER('Inputs'!E329),IF('Inputs'!E329&gt;=0,'Inputs'!E329,"n.a."),IF('Inputs'!E329="",'Inputs'!$D$6,"n.a.")))</x:f>
        <x:v>500</x:v>
      </x:c>
      <x:c r="F1560" s="22" t="n">
        <x:f>IF(COUNT($N$1557:$N$1561)=5,SUM($N$1557:$N$1561),"n.a.")</x:f>
        <x:v>0</x:v>
      </x:c>
      <x:c r="G1560" s="22" t="n">
        <x:f>IF(COUNT(E1560:F1560)=2,MAX(0,E1560-F1560),"n.a.")</x:f>
        <x:v>500</x:v>
      </x:c>
      <x:c r="H1560" s="26" t="str">
        <x:f>'Inputs'!C14</x:f>
        <x:v>Unused 4</x:v>
      </x:c>
      <x:c r="I1560" s="26" t="n">
        <x:f>S1555</x:f>
        <x:v>0</x:v>
      </x:c>
      <x:c r="J1560" s="29" t="n">
        <x:f>IF('Inputs'!$D$9="Ready",'Inputs'!E14,"n.a.")</x:f>
        <x:v>0</x:v>
      </x:c>
      <x:c r="K1560" s="26" t="n">
        <x:f>IF('Inputs'!$D$9="Ready",'Inputs'!F14,"n.a.")</x:f>
        <x:v>0</x:v>
      </x:c>
      <x:c r="L1560" s="29" t="n">
        <x:f>IF('Inputs'!$D$9="Ready",'Inputs'!G14,"n.a.")</x:f>
        <x:v>0</x:v>
      </x:c>
      <x:c r="M1560" s="22" t="n">
        <x:f>IF(COUNT(I1560:L1560)=4,ROUND(I1560*J1560/12,2),"n.a.")</x:f>
        <x:v>0</x:v>
      </x:c>
      <x:c r="N1560" s="22" t="n">
        <x:f>IF(COUNT(I1560:M1560)=5,MIN(I1560+M1560,ROUND(MAX(K1560,I1560*L1560+M1560),2)),"n.a.")</x:f>
        <x:v>0</x:v>
      </x:c>
      <x:c r="O1560" s="30" t="n">
        <x:f>IF(COUNT($I$1557:$I$1561)&lt;&gt;5,"n.a.",IF(I1560=0,6,IF('Inputs'!$D$5=1,COUNTIFS($I$1557:$I$1561,"&gt;0",$I$1557:$I$1561,"&lt;"&amp;I1560)+COUNTIFS($I$1557:I1560,I1560),COUNTIFS($I$1557:$I$1561,"&gt;0",$J$1557:$J$1561,"&gt;"&amp;J1560)+COUNTIFS($I$1557:I1560,"&gt;0",$J$1557:J1560,J1560))))</x:f>
        <x:v>6</x:v>
      </x:c>
      <x:c r="P1560" s="22" t="n">
        <x:f>IF(T1560="Ready",MIN(U1560,MAX(0,G1560-SUMIFS($U$1557:$U$1561,$O$1557:$O$1561,"&lt;"&amp;O1560))),"n.a.")</x:f>
        <x:v>0</x:v>
      </x:c>
      <x:c r="Q1560" s="22" t="n">
        <x:f>IF(T1560="Ready",ROUND(N1560+P1560,2),"n.a.")</x:f>
        <x:v>0</x:v>
      </x:c>
      <x:c r="R1560" s="22" t="n">
        <x:f>IF(T1560="Ready",ROUND(Q1560-M1560,2),"n.a.")</x:f>
        <x:v>0</x:v>
      </x:c>
      <x:c r="S1560" s="22" t="n">
        <x:f>IF(T1560="Ready",MAX(0,ROUND(I1560+M1560-Q1560,2)),"n.a.")</x:f>
        <x:v>0</x:v>
      </x:c>
      <x:c r="T1560" s="22" t="str">
        <x:f>IF(AND(COUNT($I$1557:$I$1561)=5,COUNT(E1560:F1560)=2),IF(E1560&gt;=F1560,"Ready","Budget below minima"),"Check inputs")</x:f>
        <x:v>Ready</x:v>
      </x:c>
      <x:c r="U1560" s="22" t="n">
        <x:f>IF(COUNT(I1560,M1560,N1560)=3,MAX(0,ROUND(I1560+M1560-N1560,2)),"n.a.")</x:f>
        <x:v>0</x:v>
      </x:c>
    </x:row>
    <x:row r="1561" ht="22" customHeight="1">
      <x:c r="A1561" s="2"/>
      <x:c r="B1561" s="2"/>
      <x:c r="C1561" s="27" t="n">
        <x:f>311</x:f>
        <x:v>311</x:v>
      </x:c>
      <x:c r="D1561" s="28" t="n">
        <x:f>IF(ISNUMBER('Inputs'!$D$7),EDATE('Inputs'!$D$7,310),"n.a.")</x:f>
        <x:v>55763</x:v>
      </x:c>
      <x:c r="E1561" s="26" t="n">
        <x:f>IF('Inputs'!$D$9&lt;&gt;"Ready","n.a.",IF(ISNUMBER('Inputs'!E329),IF('Inputs'!E329&gt;=0,'Inputs'!E329,"n.a."),IF('Inputs'!E329="",'Inputs'!$D$6,"n.a.")))</x:f>
        <x:v>500</x:v>
      </x:c>
      <x:c r="F1561" s="22" t="n">
        <x:f>IF(COUNT($N$1557:$N$1561)=5,SUM($N$1557:$N$1561),"n.a.")</x:f>
        <x:v>0</x:v>
      </x:c>
      <x:c r="G1561" s="22" t="n">
        <x:f>IF(COUNT(E1561:F1561)=2,MAX(0,E1561-F1561),"n.a.")</x:f>
        <x:v>500</x:v>
      </x:c>
      <x:c r="H1561" s="26" t="str">
        <x:f>'Inputs'!C15</x:f>
        <x:v>Unused 5</x:v>
      </x:c>
      <x:c r="I1561" s="26" t="n">
        <x:f>S1556</x:f>
        <x:v>0</x:v>
      </x:c>
      <x:c r="J1561" s="29" t="n">
        <x:f>IF('Inputs'!$D$9="Ready",'Inputs'!E15,"n.a.")</x:f>
        <x:v>0</x:v>
      </x:c>
      <x:c r="K1561" s="26" t="n">
        <x:f>IF('Inputs'!$D$9="Ready",'Inputs'!F15,"n.a.")</x:f>
        <x:v>0</x:v>
      </x:c>
      <x:c r="L1561" s="29" t="n">
        <x:f>IF('Inputs'!$D$9="Ready",'Inputs'!G15,"n.a.")</x:f>
        <x:v>0</x:v>
      </x:c>
      <x:c r="M1561" s="22" t="n">
        <x:f>IF(COUNT(I1561:L1561)=4,ROUND(I1561*J1561/12,2),"n.a.")</x:f>
        <x:v>0</x:v>
      </x:c>
      <x:c r="N1561" s="22" t="n">
        <x:f>IF(COUNT(I1561:M1561)=5,MIN(I1561+M1561,ROUND(MAX(K1561,I1561*L1561+M1561),2)),"n.a.")</x:f>
        <x:v>0</x:v>
      </x:c>
      <x:c r="O1561" s="30" t="n">
        <x:f>IF(COUNT($I$1557:$I$1561)&lt;&gt;5,"n.a.",IF(I1561=0,6,IF('Inputs'!$D$5=1,COUNTIFS($I$1557:$I$1561,"&gt;0",$I$1557:$I$1561,"&lt;"&amp;I1561)+COUNTIFS($I$1557:I1561,I1561),COUNTIFS($I$1557:$I$1561,"&gt;0",$J$1557:$J$1561,"&gt;"&amp;J1561)+COUNTIFS($I$1557:I1561,"&gt;0",$J$1557:J1561,J1561))))</x:f>
        <x:v>6</x:v>
      </x:c>
      <x:c r="P1561" s="22" t="n">
        <x:f>IF(T1561="Ready",MIN(U1561,MAX(0,G1561-SUMIFS($U$1557:$U$1561,$O$1557:$O$1561,"&lt;"&amp;O1561))),"n.a.")</x:f>
        <x:v>0</x:v>
      </x:c>
      <x:c r="Q1561" s="22" t="n">
        <x:f>IF(T1561="Ready",ROUND(N1561+P1561,2),"n.a.")</x:f>
        <x:v>0</x:v>
      </x:c>
      <x:c r="R1561" s="22" t="n">
        <x:f>IF(T1561="Ready",ROUND(Q1561-M1561,2),"n.a.")</x:f>
        <x:v>0</x:v>
      </x:c>
      <x:c r="S1561" s="22" t="n">
        <x:f>IF(T1561="Ready",MAX(0,ROUND(I1561+M1561-Q1561,2)),"n.a.")</x:f>
        <x:v>0</x:v>
      </x:c>
      <x:c r="T1561" s="22" t="str">
        <x:f>IF(AND(COUNT($I$1557:$I$1561)=5,COUNT(E1561:F1561)=2),IF(E1561&gt;=F1561,"Ready","Budget below minima"),"Check inputs")</x:f>
        <x:v>Ready</x:v>
      </x:c>
      <x:c r="U1561" s="22" t="n">
        <x:f>IF(COUNT(I1561,M1561,N1561)=3,MAX(0,ROUND(I1561+M1561-N1561,2)),"n.a.")</x:f>
        <x:v>0</x:v>
      </x:c>
    </x:row>
    <x:row r="1562" ht="22" customHeight="1">
      <x:c r="A1562" s="2"/>
      <x:c r="B1562" s="2"/>
      <x:c r="C1562" s="27" t="n">
        <x:f>312</x:f>
        <x:v>312</x:v>
      </x:c>
      <x:c r="D1562" s="28" t="n">
        <x:f>IF(ISNUMBER('Inputs'!$D$7),EDATE('Inputs'!$D$7,311),"n.a.")</x:f>
        <x:v>55793</x:v>
      </x:c>
      <x:c r="E1562" s="26" t="n">
        <x:f>IF('Inputs'!$D$9&lt;&gt;"Ready","n.a.",IF(ISNUMBER('Inputs'!E330),IF('Inputs'!E330&gt;=0,'Inputs'!E330,"n.a."),IF('Inputs'!E330="",'Inputs'!$D$6,"n.a.")))</x:f>
        <x:v>500</x:v>
      </x:c>
      <x:c r="F1562" s="22" t="n">
        <x:f>IF(COUNT($N$1562:$N$1566)=5,SUM($N$1562:$N$1566),"n.a.")</x:f>
        <x:v>0</x:v>
      </x:c>
      <x:c r="G1562" s="22" t="n">
        <x:f>IF(COUNT(E1562:F1562)=2,MAX(0,E1562-F1562),"n.a.")</x:f>
        <x:v>500</x:v>
      </x:c>
      <x:c r="H1562" s="26" t="str">
        <x:f>'Inputs'!C11</x:f>
        <x:v>Card A</x:v>
      </x:c>
      <x:c r="I1562" s="26" t="n">
        <x:f>S1557</x:f>
        <x:v>0</x:v>
      </x:c>
      <x:c r="J1562" s="29" t="n">
        <x:f>IF('Inputs'!$D$9="Ready",'Inputs'!E11,"n.a.")</x:f>
        <x:v>0.24</x:v>
      </x:c>
      <x:c r="K1562" s="26" t="n">
        <x:f>IF('Inputs'!$D$9="Ready",'Inputs'!F11,"n.a.")</x:f>
        <x:v>35</x:v>
      </x:c>
      <x:c r="L1562" s="29" t="n">
        <x:f>IF('Inputs'!$D$9="Ready",'Inputs'!G11,"n.a.")</x:f>
        <x:v>0.02</x:v>
      </x:c>
      <x:c r="M1562" s="22" t="n">
        <x:f>IF(COUNT(I1562:L1562)=4,ROUND(I1562*J1562/12,2),"n.a.")</x:f>
        <x:v>0</x:v>
      </x:c>
      <x:c r="N1562" s="22" t="n">
        <x:f>IF(COUNT(I1562:M1562)=5,MIN(I1562+M1562,ROUND(MAX(K1562,I1562*L1562+M1562),2)),"n.a.")</x:f>
        <x:v>0</x:v>
      </x:c>
      <x:c r="O1562" s="30" t="n">
        <x:f>IF(COUNT($I$1562:$I$1566)&lt;&gt;5,"n.a.",IF(I1562=0,6,IF('Inputs'!$D$5=1,COUNTIFS($I$1562:$I$1566,"&gt;0",$I$1562:$I$1566,"&lt;"&amp;I1562)+COUNTIFS($I$1562:I1562,I1562),COUNTIFS($I$1562:$I$1566,"&gt;0",$J$1562:$J$1566,"&gt;"&amp;J1562)+COUNTIFS($I$1562:I1562,"&gt;0",$J$1562:J1562,J1562))))</x:f>
        <x:v>6</x:v>
      </x:c>
      <x:c r="P1562" s="22" t="n">
        <x:f>IF(T1562="Ready",MIN(U1562,MAX(0,G1562-SUMIFS($U$1562:$U$1566,$O$1562:$O$1566,"&lt;"&amp;O1562))),"n.a.")</x:f>
        <x:v>0</x:v>
      </x:c>
      <x:c r="Q1562" s="22" t="n">
        <x:f>IF(T1562="Ready",ROUND(N1562+P1562,2),"n.a.")</x:f>
        <x:v>0</x:v>
      </x:c>
      <x:c r="R1562" s="22" t="n">
        <x:f>IF(T1562="Ready",ROUND(Q1562-M1562,2),"n.a.")</x:f>
        <x:v>0</x:v>
      </x:c>
      <x:c r="S1562" s="22" t="n">
        <x:f>IF(T1562="Ready",MAX(0,ROUND(I1562+M1562-Q1562,2)),"n.a.")</x:f>
        <x:v>0</x:v>
      </x:c>
      <x:c r="T1562" s="22" t="str">
        <x:f>IF(AND(COUNT($I$1562:$I$1566)=5,COUNT(E1562:F1562)=2),IF(E1562&gt;=F1562,"Ready","Budget below minima"),"Check inputs")</x:f>
        <x:v>Ready</x:v>
      </x:c>
      <x:c r="U1562" s="22" t="n">
        <x:f>IF(COUNT(I1562,M1562,N1562)=3,MAX(0,ROUND(I1562+M1562-N1562,2)),"n.a.")</x:f>
        <x:v>0</x:v>
      </x:c>
    </x:row>
    <x:row r="1563" ht="22" customHeight="1">
      <x:c r="A1563" s="2"/>
      <x:c r="B1563" s="2"/>
      <x:c r="C1563" s="27" t="n">
        <x:f>312</x:f>
        <x:v>312</x:v>
      </x:c>
      <x:c r="D1563" s="28" t="n">
        <x:f>IF(ISNUMBER('Inputs'!$D$7),EDATE('Inputs'!$D$7,311),"n.a.")</x:f>
        <x:v>55793</x:v>
      </x:c>
      <x:c r="E1563" s="26" t="n">
        <x:f>IF('Inputs'!$D$9&lt;&gt;"Ready","n.a.",IF(ISNUMBER('Inputs'!E330),IF('Inputs'!E330&gt;=0,'Inputs'!E330,"n.a."),IF('Inputs'!E330="",'Inputs'!$D$6,"n.a.")))</x:f>
        <x:v>500</x:v>
      </x:c>
      <x:c r="F1563" s="22" t="n">
        <x:f>IF(COUNT($N$1562:$N$1566)=5,SUM($N$1562:$N$1566),"n.a.")</x:f>
        <x:v>0</x:v>
      </x:c>
      <x:c r="G1563" s="22" t="n">
        <x:f>IF(COUNT(E1563:F1563)=2,MAX(0,E1563-F1563),"n.a.")</x:f>
        <x:v>500</x:v>
      </x:c>
      <x:c r="H1563" s="26" t="str">
        <x:f>'Inputs'!C12</x:f>
        <x:v>Card B</x:v>
      </x:c>
      <x:c r="I1563" s="26" t="n">
        <x:f>S1558</x:f>
        <x:v>0</x:v>
      </x:c>
      <x:c r="J1563" s="29" t="n">
        <x:f>IF('Inputs'!$D$9="Ready",'Inputs'!E12,"n.a.")</x:f>
        <x:v>0.18</x:v>
      </x:c>
      <x:c r="K1563" s="26" t="n">
        <x:f>IF('Inputs'!$D$9="Ready",'Inputs'!F12,"n.a.")</x:f>
        <x:v>60</x:v>
      </x:c>
      <x:c r="L1563" s="29" t="n">
        <x:f>IF('Inputs'!$D$9="Ready",'Inputs'!G12,"n.a.")</x:f>
        <x:v>0.02</x:v>
      </x:c>
      <x:c r="M1563" s="22" t="n">
        <x:f>IF(COUNT(I1563:L1563)=4,ROUND(I1563*J1563/12,2),"n.a.")</x:f>
        <x:v>0</x:v>
      </x:c>
      <x:c r="N1563" s="22" t="n">
        <x:f>IF(COUNT(I1563:M1563)=5,MIN(I1563+M1563,ROUND(MAX(K1563,I1563*L1563+M1563),2)),"n.a.")</x:f>
        <x:v>0</x:v>
      </x:c>
      <x:c r="O1563" s="30" t="n">
        <x:f>IF(COUNT($I$1562:$I$1566)&lt;&gt;5,"n.a.",IF(I1563=0,6,IF('Inputs'!$D$5=1,COUNTIFS($I$1562:$I$1566,"&gt;0",$I$1562:$I$1566,"&lt;"&amp;I1563)+COUNTIFS($I$1562:I1563,I1563),COUNTIFS($I$1562:$I$1566,"&gt;0",$J$1562:$J$1566,"&gt;"&amp;J1563)+COUNTIFS($I$1562:I1563,"&gt;0",$J$1562:J1563,J1563))))</x:f>
        <x:v>6</x:v>
      </x:c>
      <x:c r="P1563" s="22" t="n">
        <x:f>IF(T1563="Ready",MIN(U1563,MAX(0,G1563-SUMIFS($U$1562:$U$1566,$O$1562:$O$1566,"&lt;"&amp;O1563))),"n.a.")</x:f>
        <x:v>0</x:v>
      </x:c>
      <x:c r="Q1563" s="22" t="n">
        <x:f>IF(T1563="Ready",ROUND(N1563+P1563,2),"n.a.")</x:f>
        <x:v>0</x:v>
      </x:c>
      <x:c r="R1563" s="22" t="n">
        <x:f>IF(T1563="Ready",ROUND(Q1563-M1563,2),"n.a.")</x:f>
        <x:v>0</x:v>
      </x:c>
      <x:c r="S1563" s="22" t="n">
        <x:f>IF(T1563="Ready",MAX(0,ROUND(I1563+M1563-Q1563,2)),"n.a.")</x:f>
        <x:v>0</x:v>
      </x:c>
      <x:c r="T1563" s="22" t="str">
        <x:f>IF(AND(COUNT($I$1562:$I$1566)=5,COUNT(E1563:F1563)=2),IF(E1563&gt;=F1563,"Ready","Budget below minima"),"Check inputs")</x:f>
        <x:v>Ready</x:v>
      </x:c>
      <x:c r="U1563" s="22" t="n">
        <x:f>IF(COUNT(I1563,M1563,N1563)=3,MAX(0,ROUND(I1563+M1563-N1563,2)),"n.a.")</x:f>
        <x:v>0</x:v>
      </x:c>
    </x:row>
    <x:row r="1564" ht="22" customHeight="1">
      <x:c r="A1564" s="2"/>
      <x:c r="B1564" s="2"/>
      <x:c r="C1564" s="27" t="n">
        <x:f>312</x:f>
        <x:v>312</x:v>
      </x:c>
      <x:c r="D1564" s="28" t="n">
        <x:f>IF(ISNUMBER('Inputs'!$D$7),EDATE('Inputs'!$D$7,311),"n.a.")</x:f>
        <x:v>55793</x:v>
      </x:c>
      <x:c r="E1564" s="26" t="n">
        <x:f>IF('Inputs'!$D$9&lt;&gt;"Ready","n.a.",IF(ISNUMBER('Inputs'!E330),IF('Inputs'!E330&gt;=0,'Inputs'!E330,"n.a."),IF('Inputs'!E330="",'Inputs'!$D$6,"n.a.")))</x:f>
        <x:v>500</x:v>
      </x:c>
      <x:c r="F1564" s="22" t="n">
        <x:f>IF(COUNT($N$1562:$N$1566)=5,SUM($N$1562:$N$1566),"n.a.")</x:f>
        <x:v>0</x:v>
      </x:c>
      <x:c r="G1564" s="22" t="n">
        <x:f>IF(COUNT(E1564:F1564)=2,MAX(0,E1564-F1564),"n.a.")</x:f>
        <x:v>500</x:v>
      </x:c>
      <x:c r="H1564" s="26" t="str">
        <x:f>'Inputs'!C13</x:f>
        <x:v>Loan C</x:v>
      </x:c>
      <x:c r="I1564" s="26" t="n">
        <x:f>S1559</x:f>
        <x:v>0</x:v>
      </x:c>
      <x:c r="J1564" s="29" t="n">
        <x:f>IF('Inputs'!$D$9="Ready",'Inputs'!E13,"n.a.")</x:f>
        <x:v>0.08</x:v>
      </x:c>
      <x:c r="K1564" s="26" t="n">
        <x:f>IF('Inputs'!$D$9="Ready",'Inputs'!F13,"n.a.")</x:f>
        <x:v>150</x:v>
      </x:c>
      <x:c r="L1564" s="29" t="n">
        <x:f>IF('Inputs'!$D$9="Ready",'Inputs'!G13,"n.a.")</x:f>
        <x:v>0</x:v>
      </x:c>
      <x:c r="M1564" s="22" t="n">
        <x:f>IF(COUNT(I1564:L1564)=4,ROUND(I1564*J1564/12,2),"n.a.")</x:f>
        <x:v>0</x:v>
      </x:c>
      <x:c r="N1564" s="22" t="n">
        <x:f>IF(COUNT(I1564:M1564)=5,MIN(I1564+M1564,ROUND(MAX(K1564,I1564*L1564+M1564),2)),"n.a.")</x:f>
        <x:v>0</x:v>
      </x:c>
      <x:c r="O1564" s="30" t="n">
        <x:f>IF(COUNT($I$1562:$I$1566)&lt;&gt;5,"n.a.",IF(I1564=0,6,IF('Inputs'!$D$5=1,COUNTIFS($I$1562:$I$1566,"&gt;0",$I$1562:$I$1566,"&lt;"&amp;I1564)+COUNTIFS($I$1562:I1564,I1564),COUNTIFS($I$1562:$I$1566,"&gt;0",$J$1562:$J$1566,"&gt;"&amp;J1564)+COUNTIFS($I$1562:I1564,"&gt;0",$J$1562:J1564,J1564))))</x:f>
        <x:v>6</x:v>
      </x:c>
      <x:c r="P1564" s="22" t="n">
        <x:f>IF(T1564="Ready",MIN(U1564,MAX(0,G1564-SUMIFS($U$1562:$U$1566,$O$1562:$O$1566,"&lt;"&amp;O1564))),"n.a.")</x:f>
        <x:v>0</x:v>
      </x:c>
      <x:c r="Q1564" s="22" t="n">
        <x:f>IF(T1564="Ready",ROUND(N1564+P1564,2),"n.a.")</x:f>
        <x:v>0</x:v>
      </x:c>
      <x:c r="R1564" s="22" t="n">
        <x:f>IF(T1564="Ready",ROUND(Q1564-M1564,2),"n.a.")</x:f>
        <x:v>0</x:v>
      </x:c>
      <x:c r="S1564" s="22" t="n">
        <x:f>IF(T1564="Ready",MAX(0,ROUND(I1564+M1564-Q1564,2)),"n.a.")</x:f>
        <x:v>0</x:v>
      </x:c>
      <x:c r="T1564" s="22" t="str">
        <x:f>IF(AND(COUNT($I$1562:$I$1566)=5,COUNT(E1564:F1564)=2),IF(E1564&gt;=F1564,"Ready","Budget below minima"),"Check inputs")</x:f>
        <x:v>Ready</x:v>
      </x:c>
      <x:c r="U1564" s="22" t="n">
        <x:f>IF(COUNT(I1564,M1564,N1564)=3,MAX(0,ROUND(I1564+M1564-N1564,2)),"n.a.")</x:f>
        <x:v>0</x:v>
      </x:c>
    </x:row>
    <x:row r="1565" ht="22" customHeight="1">
      <x:c r="A1565" s="2"/>
      <x:c r="B1565" s="2"/>
      <x:c r="C1565" s="27" t="n">
        <x:f>312</x:f>
        <x:v>312</x:v>
      </x:c>
      <x:c r="D1565" s="28" t="n">
        <x:f>IF(ISNUMBER('Inputs'!$D$7),EDATE('Inputs'!$D$7,311),"n.a.")</x:f>
        <x:v>55793</x:v>
      </x:c>
      <x:c r="E1565" s="26" t="n">
        <x:f>IF('Inputs'!$D$9&lt;&gt;"Ready","n.a.",IF(ISNUMBER('Inputs'!E330),IF('Inputs'!E330&gt;=0,'Inputs'!E330,"n.a."),IF('Inputs'!E330="",'Inputs'!$D$6,"n.a.")))</x:f>
        <x:v>500</x:v>
      </x:c>
      <x:c r="F1565" s="22" t="n">
        <x:f>IF(COUNT($N$1562:$N$1566)=5,SUM($N$1562:$N$1566),"n.a.")</x:f>
        <x:v>0</x:v>
      </x:c>
      <x:c r="G1565" s="22" t="n">
        <x:f>IF(COUNT(E1565:F1565)=2,MAX(0,E1565-F1565),"n.a.")</x:f>
        <x:v>500</x:v>
      </x:c>
      <x:c r="H1565" s="26" t="str">
        <x:f>'Inputs'!C14</x:f>
        <x:v>Unused 4</x:v>
      </x:c>
      <x:c r="I1565" s="26" t="n">
        <x:f>S1560</x:f>
        <x:v>0</x:v>
      </x:c>
      <x:c r="J1565" s="29" t="n">
        <x:f>IF('Inputs'!$D$9="Ready",'Inputs'!E14,"n.a.")</x:f>
        <x:v>0</x:v>
      </x:c>
      <x:c r="K1565" s="26" t="n">
        <x:f>IF('Inputs'!$D$9="Ready",'Inputs'!F14,"n.a.")</x:f>
        <x:v>0</x:v>
      </x:c>
      <x:c r="L1565" s="29" t="n">
        <x:f>IF('Inputs'!$D$9="Ready",'Inputs'!G14,"n.a.")</x:f>
        <x:v>0</x:v>
      </x:c>
      <x:c r="M1565" s="22" t="n">
        <x:f>IF(COUNT(I1565:L1565)=4,ROUND(I1565*J1565/12,2),"n.a.")</x:f>
        <x:v>0</x:v>
      </x:c>
      <x:c r="N1565" s="22" t="n">
        <x:f>IF(COUNT(I1565:M1565)=5,MIN(I1565+M1565,ROUND(MAX(K1565,I1565*L1565+M1565),2)),"n.a.")</x:f>
        <x:v>0</x:v>
      </x:c>
      <x:c r="O1565" s="30" t="n">
        <x:f>IF(COUNT($I$1562:$I$1566)&lt;&gt;5,"n.a.",IF(I1565=0,6,IF('Inputs'!$D$5=1,COUNTIFS($I$1562:$I$1566,"&gt;0",$I$1562:$I$1566,"&lt;"&amp;I1565)+COUNTIFS($I$1562:I1565,I1565),COUNTIFS($I$1562:$I$1566,"&gt;0",$J$1562:$J$1566,"&gt;"&amp;J1565)+COUNTIFS($I$1562:I1565,"&gt;0",$J$1562:J1565,J1565))))</x:f>
        <x:v>6</x:v>
      </x:c>
      <x:c r="P1565" s="22" t="n">
        <x:f>IF(T1565="Ready",MIN(U1565,MAX(0,G1565-SUMIFS($U$1562:$U$1566,$O$1562:$O$1566,"&lt;"&amp;O1565))),"n.a.")</x:f>
        <x:v>0</x:v>
      </x:c>
      <x:c r="Q1565" s="22" t="n">
        <x:f>IF(T1565="Ready",ROUND(N1565+P1565,2),"n.a.")</x:f>
        <x:v>0</x:v>
      </x:c>
      <x:c r="R1565" s="22" t="n">
        <x:f>IF(T1565="Ready",ROUND(Q1565-M1565,2),"n.a.")</x:f>
        <x:v>0</x:v>
      </x:c>
      <x:c r="S1565" s="22" t="n">
        <x:f>IF(T1565="Ready",MAX(0,ROUND(I1565+M1565-Q1565,2)),"n.a.")</x:f>
        <x:v>0</x:v>
      </x:c>
      <x:c r="T1565" s="22" t="str">
        <x:f>IF(AND(COUNT($I$1562:$I$1566)=5,COUNT(E1565:F1565)=2),IF(E1565&gt;=F1565,"Ready","Budget below minima"),"Check inputs")</x:f>
        <x:v>Ready</x:v>
      </x:c>
      <x:c r="U1565" s="22" t="n">
        <x:f>IF(COUNT(I1565,M1565,N1565)=3,MAX(0,ROUND(I1565+M1565-N1565,2)),"n.a.")</x:f>
        <x:v>0</x:v>
      </x:c>
    </x:row>
    <x:row r="1566" ht="22" customHeight="1">
      <x:c r="A1566" s="2"/>
      <x:c r="B1566" s="2"/>
      <x:c r="C1566" s="27" t="n">
        <x:f>312</x:f>
        <x:v>312</x:v>
      </x:c>
      <x:c r="D1566" s="28" t="n">
        <x:f>IF(ISNUMBER('Inputs'!$D$7),EDATE('Inputs'!$D$7,311),"n.a.")</x:f>
        <x:v>55793</x:v>
      </x:c>
      <x:c r="E1566" s="26" t="n">
        <x:f>IF('Inputs'!$D$9&lt;&gt;"Ready","n.a.",IF(ISNUMBER('Inputs'!E330),IF('Inputs'!E330&gt;=0,'Inputs'!E330,"n.a."),IF('Inputs'!E330="",'Inputs'!$D$6,"n.a.")))</x:f>
        <x:v>500</x:v>
      </x:c>
      <x:c r="F1566" s="22" t="n">
        <x:f>IF(COUNT($N$1562:$N$1566)=5,SUM($N$1562:$N$1566),"n.a.")</x:f>
        <x:v>0</x:v>
      </x:c>
      <x:c r="G1566" s="22" t="n">
        <x:f>IF(COUNT(E1566:F1566)=2,MAX(0,E1566-F1566),"n.a.")</x:f>
        <x:v>500</x:v>
      </x:c>
      <x:c r="H1566" s="26" t="str">
        <x:f>'Inputs'!C15</x:f>
        <x:v>Unused 5</x:v>
      </x:c>
      <x:c r="I1566" s="26" t="n">
        <x:f>S1561</x:f>
        <x:v>0</x:v>
      </x:c>
      <x:c r="J1566" s="29" t="n">
        <x:f>IF('Inputs'!$D$9="Ready",'Inputs'!E15,"n.a.")</x:f>
        <x:v>0</x:v>
      </x:c>
      <x:c r="K1566" s="26" t="n">
        <x:f>IF('Inputs'!$D$9="Ready",'Inputs'!F15,"n.a.")</x:f>
        <x:v>0</x:v>
      </x:c>
      <x:c r="L1566" s="29" t="n">
        <x:f>IF('Inputs'!$D$9="Ready",'Inputs'!G15,"n.a.")</x:f>
        <x:v>0</x:v>
      </x:c>
      <x:c r="M1566" s="22" t="n">
        <x:f>IF(COUNT(I1566:L1566)=4,ROUND(I1566*J1566/12,2),"n.a.")</x:f>
        <x:v>0</x:v>
      </x:c>
      <x:c r="N1566" s="22" t="n">
        <x:f>IF(COUNT(I1566:M1566)=5,MIN(I1566+M1566,ROUND(MAX(K1566,I1566*L1566+M1566),2)),"n.a.")</x:f>
        <x:v>0</x:v>
      </x:c>
      <x:c r="O1566" s="30" t="n">
        <x:f>IF(COUNT($I$1562:$I$1566)&lt;&gt;5,"n.a.",IF(I1566=0,6,IF('Inputs'!$D$5=1,COUNTIFS($I$1562:$I$1566,"&gt;0",$I$1562:$I$1566,"&lt;"&amp;I1566)+COUNTIFS($I$1562:I1566,I1566),COUNTIFS($I$1562:$I$1566,"&gt;0",$J$1562:$J$1566,"&gt;"&amp;J1566)+COUNTIFS($I$1562:I1566,"&gt;0",$J$1562:J1566,J1566))))</x:f>
        <x:v>6</x:v>
      </x:c>
      <x:c r="P1566" s="22" t="n">
        <x:f>IF(T1566="Ready",MIN(U1566,MAX(0,G1566-SUMIFS($U$1562:$U$1566,$O$1562:$O$1566,"&lt;"&amp;O1566))),"n.a.")</x:f>
        <x:v>0</x:v>
      </x:c>
      <x:c r="Q1566" s="22" t="n">
        <x:f>IF(T1566="Ready",ROUND(N1566+P1566,2),"n.a.")</x:f>
        <x:v>0</x:v>
      </x:c>
      <x:c r="R1566" s="22" t="n">
        <x:f>IF(T1566="Ready",ROUND(Q1566-M1566,2),"n.a.")</x:f>
        <x:v>0</x:v>
      </x:c>
      <x:c r="S1566" s="22" t="n">
        <x:f>IF(T1566="Ready",MAX(0,ROUND(I1566+M1566-Q1566,2)),"n.a.")</x:f>
        <x:v>0</x:v>
      </x:c>
      <x:c r="T1566" s="22" t="str">
        <x:f>IF(AND(COUNT($I$1562:$I$1566)=5,COUNT(E1566:F1566)=2),IF(E1566&gt;=F1566,"Ready","Budget below minima"),"Check inputs")</x:f>
        <x:v>Ready</x:v>
      </x:c>
      <x:c r="U1566" s="22" t="n">
        <x:f>IF(COUNT(I1566,M1566,N1566)=3,MAX(0,ROUND(I1566+M1566-N1566,2)),"n.a.")</x:f>
        <x:v>0</x:v>
      </x:c>
    </x:row>
    <x:row r="1567" ht="22" customHeight="1">
      <x:c r="A1567" s="2"/>
      <x:c r="B1567" s="2"/>
      <x:c r="C1567" s="27" t="n">
        <x:f>313</x:f>
        <x:v>313</x:v>
      </x:c>
      <x:c r="D1567" s="28" t="n">
        <x:f>IF(ISNUMBER('Inputs'!$D$7),EDATE('Inputs'!$D$7,312),"n.a.")</x:f>
        <x:v>55824</x:v>
      </x:c>
      <x:c r="E1567" s="26" t="n">
        <x:f>IF('Inputs'!$D$9&lt;&gt;"Ready","n.a.",IF(ISNUMBER('Inputs'!E331),IF('Inputs'!E331&gt;=0,'Inputs'!E331,"n.a."),IF('Inputs'!E331="",'Inputs'!$D$6,"n.a.")))</x:f>
        <x:v>500</x:v>
      </x:c>
      <x:c r="F1567" s="22" t="n">
        <x:f>IF(COUNT($N$1567:$N$1571)=5,SUM($N$1567:$N$1571),"n.a.")</x:f>
        <x:v>0</x:v>
      </x:c>
      <x:c r="G1567" s="22" t="n">
        <x:f>IF(COUNT(E1567:F1567)=2,MAX(0,E1567-F1567),"n.a.")</x:f>
        <x:v>500</x:v>
      </x:c>
      <x:c r="H1567" s="26" t="str">
        <x:f>'Inputs'!C11</x:f>
        <x:v>Card A</x:v>
      </x:c>
      <x:c r="I1567" s="26" t="n">
        <x:f>S1562</x:f>
        <x:v>0</x:v>
      </x:c>
      <x:c r="J1567" s="29" t="n">
        <x:f>IF('Inputs'!$D$9="Ready",'Inputs'!E11,"n.a.")</x:f>
        <x:v>0.24</x:v>
      </x:c>
      <x:c r="K1567" s="26" t="n">
        <x:f>IF('Inputs'!$D$9="Ready",'Inputs'!F11,"n.a.")</x:f>
        <x:v>35</x:v>
      </x:c>
      <x:c r="L1567" s="29" t="n">
        <x:f>IF('Inputs'!$D$9="Ready",'Inputs'!G11,"n.a.")</x:f>
        <x:v>0.02</x:v>
      </x:c>
      <x:c r="M1567" s="22" t="n">
        <x:f>IF(COUNT(I1567:L1567)=4,ROUND(I1567*J1567/12,2),"n.a.")</x:f>
        <x:v>0</x:v>
      </x:c>
      <x:c r="N1567" s="22" t="n">
        <x:f>IF(COUNT(I1567:M1567)=5,MIN(I1567+M1567,ROUND(MAX(K1567,I1567*L1567+M1567),2)),"n.a.")</x:f>
        <x:v>0</x:v>
      </x:c>
      <x:c r="O1567" s="30" t="n">
        <x:f>IF(COUNT($I$1567:$I$1571)&lt;&gt;5,"n.a.",IF(I1567=0,6,IF('Inputs'!$D$5=1,COUNTIFS($I$1567:$I$1571,"&gt;0",$I$1567:$I$1571,"&lt;"&amp;I1567)+COUNTIFS($I$1567:I1567,I1567),COUNTIFS($I$1567:$I$1571,"&gt;0",$J$1567:$J$1571,"&gt;"&amp;J1567)+COUNTIFS($I$1567:I1567,"&gt;0",$J$1567:J1567,J1567))))</x:f>
        <x:v>6</x:v>
      </x:c>
      <x:c r="P1567" s="22" t="n">
        <x:f>IF(T1567="Ready",MIN(U1567,MAX(0,G1567-SUMIFS($U$1567:$U$1571,$O$1567:$O$1571,"&lt;"&amp;O1567))),"n.a.")</x:f>
        <x:v>0</x:v>
      </x:c>
      <x:c r="Q1567" s="22" t="n">
        <x:f>IF(T1567="Ready",ROUND(N1567+P1567,2),"n.a.")</x:f>
        <x:v>0</x:v>
      </x:c>
      <x:c r="R1567" s="22" t="n">
        <x:f>IF(T1567="Ready",ROUND(Q1567-M1567,2),"n.a.")</x:f>
        <x:v>0</x:v>
      </x:c>
      <x:c r="S1567" s="22" t="n">
        <x:f>IF(T1567="Ready",MAX(0,ROUND(I1567+M1567-Q1567,2)),"n.a.")</x:f>
        <x:v>0</x:v>
      </x:c>
      <x:c r="T1567" s="22" t="str">
        <x:f>IF(AND(COUNT($I$1567:$I$1571)=5,COUNT(E1567:F1567)=2),IF(E1567&gt;=F1567,"Ready","Budget below minima"),"Check inputs")</x:f>
        <x:v>Ready</x:v>
      </x:c>
      <x:c r="U1567" s="22" t="n">
        <x:f>IF(COUNT(I1567,M1567,N1567)=3,MAX(0,ROUND(I1567+M1567-N1567,2)),"n.a.")</x:f>
        <x:v>0</x:v>
      </x:c>
    </x:row>
    <x:row r="1568" ht="22" customHeight="1">
      <x:c r="A1568" s="2"/>
      <x:c r="B1568" s="2"/>
      <x:c r="C1568" s="27" t="n">
        <x:f>313</x:f>
        <x:v>313</x:v>
      </x:c>
      <x:c r="D1568" s="28" t="n">
        <x:f>IF(ISNUMBER('Inputs'!$D$7),EDATE('Inputs'!$D$7,312),"n.a.")</x:f>
        <x:v>55824</x:v>
      </x:c>
      <x:c r="E1568" s="26" t="n">
        <x:f>IF('Inputs'!$D$9&lt;&gt;"Ready","n.a.",IF(ISNUMBER('Inputs'!E331),IF('Inputs'!E331&gt;=0,'Inputs'!E331,"n.a."),IF('Inputs'!E331="",'Inputs'!$D$6,"n.a.")))</x:f>
        <x:v>500</x:v>
      </x:c>
      <x:c r="F1568" s="22" t="n">
        <x:f>IF(COUNT($N$1567:$N$1571)=5,SUM($N$1567:$N$1571),"n.a.")</x:f>
        <x:v>0</x:v>
      </x:c>
      <x:c r="G1568" s="22" t="n">
        <x:f>IF(COUNT(E1568:F1568)=2,MAX(0,E1568-F1568),"n.a.")</x:f>
        <x:v>500</x:v>
      </x:c>
      <x:c r="H1568" s="26" t="str">
        <x:f>'Inputs'!C12</x:f>
        <x:v>Card B</x:v>
      </x:c>
      <x:c r="I1568" s="26" t="n">
        <x:f>S1563</x:f>
        <x:v>0</x:v>
      </x:c>
      <x:c r="J1568" s="29" t="n">
        <x:f>IF('Inputs'!$D$9="Ready",'Inputs'!E12,"n.a.")</x:f>
        <x:v>0.18</x:v>
      </x:c>
      <x:c r="K1568" s="26" t="n">
        <x:f>IF('Inputs'!$D$9="Ready",'Inputs'!F12,"n.a.")</x:f>
        <x:v>60</x:v>
      </x:c>
      <x:c r="L1568" s="29" t="n">
        <x:f>IF('Inputs'!$D$9="Ready",'Inputs'!G12,"n.a.")</x:f>
        <x:v>0.02</x:v>
      </x:c>
      <x:c r="M1568" s="22" t="n">
        <x:f>IF(COUNT(I1568:L1568)=4,ROUND(I1568*J1568/12,2),"n.a.")</x:f>
        <x:v>0</x:v>
      </x:c>
      <x:c r="N1568" s="22" t="n">
        <x:f>IF(COUNT(I1568:M1568)=5,MIN(I1568+M1568,ROUND(MAX(K1568,I1568*L1568+M1568),2)),"n.a.")</x:f>
        <x:v>0</x:v>
      </x:c>
      <x:c r="O1568" s="30" t="n">
        <x:f>IF(COUNT($I$1567:$I$1571)&lt;&gt;5,"n.a.",IF(I1568=0,6,IF('Inputs'!$D$5=1,COUNTIFS($I$1567:$I$1571,"&gt;0",$I$1567:$I$1571,"&lt;"&amp;I1568)+COUNTIFS($I$1567:I1568,I1568),COUNTIFS($I$1567:$I$1571,"&gt;0",$J$1567:$J$1571,"&gt;"&amp;J1568)+COUNTIFS($I$1567:I1568,"&gt;0",$J$1567:J1568,J1568))))</x:f>
        <x:v>6</x:v>
      </x:c>
      <x:c r="P1568" s="22" t="n">
        <x:f>IF(T1568="Ready",MIN(U1568,MAX(0,G1568-SUMIFS($U$1567:$U$1571,$O$1567:$O$1571,"&lt;"&amp;O1568))),"n.a.")</x:f>
        <x:v>0</x:v>
      </x:c>
      <x:c r="Q1568" s="22" t="n">
        <x:f>IF(T1568="Ready",ROUND(N1568+P1568,2),"n.a.")</x:f>
        <x:v>0</x:v>
      </x:c>
      <x:c r="R1568" s="22" t="n">
        <x:f>IF(T1568="Ready",ROUND(Q1568-M1568,2),"n.a.")</x:f>
        <x:v>0</x:v>
      </x:c>
      <x:c r="S1568" s="22" t="n">
        <x:f>IF(T1568="Ready",MAX(0,ROUND(I1568+M1568-Q1568,2)),"n.a.")</x:f>
        <x:v>0</x:v>
      </x:c>
      <x:c r="T1568" s="22" t="str">
        <x:f>IF(AND(COUNT($I$1567:$I$1571)=5,COUNT(E1568:F1568)=2),IF(E1568&gt;=F1568,"Ready","Budget below minima"),"Check inputs")</x:f>
        <x:v>Ready</x:v>
      </x:c>
      <x:c r="U1568" s="22" t="n">
        <x:f>IF(COUNT(I1568,M1568,N1568)=3,MAX(0,ROUND(I1568+M1568-N1568,2)),"n.a.")</x:f>
        <x:v>0</x:v>
      </x:c>
    </x:row>
    <x:row r="1569" ht="22" customHeight="1">
      <x:c r="A1569" s="2"/>
      <x:c r="B1569" s="2"/>
      <x:c r="C1569" s="27" t="n">
        <x:f>313</x:f>
        <x:v>313</x:v>
      </x:c>
      <x:c r="D1569" s="28" t="n">
        <x:f>IF(ISNUMBER('Inputs'!$D$7),EDATE('Inputs'!$D$7,312),"n.a.")</x:f>
        <x:v>55824</x:v>
      </x:c>
      <x:c r="E1569" s="26" t="n">
        <x:f>IF('Inputs'!$D$9&lt;&gt;"Ready","n.a.",IF(ISNUMBER('Inputs'!E331),IF('Inputs'!E331&gt;=0,'Inputs'!E331,"n.a."),IF('Inputs'!E331="",'Inputs'!$D$6,"n.a.")))</x:f>
        <x:v>500</x:v>
      </x:c>
      <x:c r="F1569" s="22" t="n">
        <x:f>IF(COUNT($N$1567:$N$1571)=5,SUM($N$1567:$N$1571),"n.a.")</x:f>
        <x:v>0</x:v>
      </x:c>
      <x:c r="G1569" s="22" t="n">
        <x:f>IF(COUNT(E1569:F1569)=2,MAX(0,E1569-F1569),"n.a.")</x:f>
        <x:v>500</x:v>
      </x:c>
      <x:c r="H1569" s="26" t="str">
        <x:f>'Inputs'!C13</x:f>
        <x:v>Loan C</x:v>
      </x:c>
      <x:c r="I1569" s="26" t="n">
        <x:f>S1564</x:f>
        <x:v>0</x:v>
      </x:c>
      <x:c r="J1569" s="29" t="n">
        <x:f>IF('Inputs'!$D$9="Ready",'Inputs'!E13,"n.a.")</x:f>
        <x:v>0.08</x:v>
      </x:c>
      <x:c r="K1569" s="26" t="n">
        <x:f>IF('Inputs'!$D$9="Ready",'Inputs'!F13,"n.a.")</x:f>
        <x:v>150</x:v>
      </x:c>
      <x:c r="L1569" s="29" t="n">
        <x:f>IF('Inputs'!$D$9="Ready",'Inputs'!G13,"n.a.")</x:f>
        <x:v>0</x:v>
      </x:c>
      <x:c r="M1569" s="22" t="n">
        <x:f>IF(COUNT(I1569:L1569)=4,ROUND(I1569*J1569/12,2),"n.a.")</x:f>
        <x:v>0</x:v>
      </x:c>
      <x:c r="N1569" s="22" t="n">
        <x:f>IF(COUNT(I1569:M1569)=5,MIN(I1569+M1569,ROUND(MAX(K1569,I1569*L1569+M1569),2)),"n.a.")</x:f>
        <x:v>0</x:v>
      </x:c>
      <x:c r="O1569" s="30" t="n">
        <x:f>IF(COUNT($I$1567:$I$1571)&lt;&gt;5,"n.a.",IF(I1569=0,6,IF('Inputs'!$D$5=1,COUNTIFS($I$1567:$I$1571,"&gt;0",$I$1567:$I$1571,"&lt;"&amp;I1569)+COUNTIFS($I$1567:I1569,I1569),COUNTIFS($I$1567:$I$1571,"&gt;0",$J$1567:$J$1571,"&gt;"&amp;J1569)+COUNTIFS($I$1567:I1569,"&gt;0",$J$1567:J1569,J1569))))</x:f>
        <x:v>6</x:v>
      </x:c>
      <x:c r="P1569" s="22" t="n">
        <x:f>IF(T1569="Ready",MIN(U1569,MAX(0,G1569-SUMIFS($U$1567:$U$1571,$O$1567:$O$1571,"&lt;"&amp;O1569))),"n.a.")</x:f>
        <x:v>0</x:v>
      </x:c>
      <x:c r="Q1569" s="22" t="n">
        <x:f>IF(T1569="Ready",ROUND(N1569+P1569,2),"n.a.")</x:f>
        <x:v>0</x:v>
      </x:c>
      <x:c r="R1569" s="22" t="n">
        <x:f>IF(T1569="Ready",ROUND(Q1569-M1569,2),"n.a.")</x:f>
        <x:v>0</x:v>
      </x:c>
      <x:c r="S1569" s="22" t="n">
        <x:f>IF(T1569="Ready",MAX(0,ROUND(I1569+M1569-Q1569,2)),"n.a.")</x:f>
        <x:v>0</x:v>
      </x:c>
      <x:c r="T1569" s="22" t="str">
        <x:f>IF(AND(COUNT($I$1567:$I$1571)=5,COUNT(E1569:F1569)=2),IF(E1569&gt;=F1569,"Ready","Budget below minima"),"Check inputs")</x:f>
        <x:v>Ready</x:v>
      </x:c>
      <x:c r="U1569" s="22" t="n">
        <x:f>IF(COUNT(I1569,M1569,N1569)=3,MAX(0,ROUND(I1569+M1569-N1569,2)),"n.a.")</x:f>
        <x:v>0</x:v>
      </x:c>
    </x:row>
    <x:row r="1570" ht="22" customHeight="1">
      <x:c r="A1570" s="2"/>
      <x:c r="B1570" s="2"/>
      <x:c r="C1570" s="27" t="n">
        <x:f>313</x:f>
        <x:v>313</x:v>
      </x:c>
      <x:c r="D1570" s="28" t="n">
        <x:f>IF(ISNUMBER('Inputs'!$D$7),EDATE('Inputs'!$D$7,312),"n.a.")</x:f>
        <x:v>55824</x:v>
      </x:c>
      <x:c r="E1570" s="26" t="n">
        <x:f>IF('Inputs'!$D$9&lt;&gt;"Ready","n.a.",IF(ISNUMBER('Inputs'!E331),IF('Inputs'!E331&gt;=0,'Inputs'!E331,"n.a."),IF('Inputs'!E331="",'Inputs'!$D$6,"n.a.")))</x:f>
        <x:v>500</x:v>
      </x:c>
      <x:c r="F1570" s="22" t="n">
        <x:f>IF(COUNT($N$1567:$N$1571)=5,SUM($N$1567:$N$1571),"n.a.")</x:f>
        <x:v>0</x:v>
      </x:c>
      <x:c r="G1570" s="22" t="n">
        <x:f>IF(COUNT(E1570:F1570)=2,MAX(0,E1570-F1570),"n.a.")</x:f>
        <x:v>500</x:v>
      </x:c>
      <x:c r="H1570" s="26" t="str">
        <x:f>'Inputs'!C14</x:f>
        <x:v>Unused 4</x:v>
      </x:c>
      <x:c r="I1570" s="26" t="n">
        <x:f>S1565</x:f>
        <x:v>0</x:v>
      </x:c>
      <x:c r="J1570" s="29" t="n">
        <x:f>IF('Inputs'!$D$9="Ready",'Inputs'!E14,"n.a.")</x:f>
        <x:v>0</x:v>
      </x:c>
      <x:c r="K1570" s="26" t="n">
        <x:f>IF('Inputs'!$D$9="Ready",'Inputs'!F14,"n.a.")</x:f>
        <x:v>0</x:v>
      </x:c>
      <x:c r="L1570" s="29" t="n">
        <x:f>IF('Inputs'!$D$9="Ready",'Inputs'!G14,"n.a.")</x:f>
        <x:v>0</x:v>
      </x:c>
      <x:c r="M1570" s="22" t="n">
        <x:f>IF(COUNT(I1570:L1570)=4,ROUND(I1570*J1570/12,2),"n.a.")</x:f>
        <x:v>0</x:v>
      </x:c>
      <x:c r="N1570" s="22" t="n">
        <x:f>IF(COUNT(I1570:M1570)=5,MIN(I1570+M1570,ROUND(MAX(K1570,I1570*L1570+M1570),2)),"n.a.")</x:f>
        <x:v>0</x:v>
      </x:c>
      <x:c r="O1570" s="30" t="n">
        <x:f>IF(COUNT($I$1567:$I$1571)&lt;&gt;5,"n.a.",IF(I1570=0,6,IF('Inputs'!$D$5=1,COUNTIFS($I$1567:$I$1571,"&gt;0",$I$1567:$I$1571,"&lt;"&amp;I1570)+COUNTIFS($I$1567:I1570,I1570),COUNTIFS($I$1567:$I$1571,"&gt;0",$J$1567:$J$1571,"&gt;"&amp;J1570)+COUNTIFS($I$1567:I1570,"&gt;0",$J$1567:J1570,J1570))))</x:f>
        <x:v>6</x:v>
      </x:c>
      <x:c r="P1570" s="22" t="n">
        <x:f>IF(T1570="Ready",MIN(U1570,MAX(0,G1570-SUMIFS($U$1567:$U$1571,$O$1567:$O$1571,"&lt;"&amp;O1570))),"n.a.")</x:f>
        <x:v>0</x:v>
      </x:c>
      <x:c r="Q1570" s="22" t="n">
        <x:f>IF(T1570="Ready",ROUND(N1570+P1570,2),"n.a.")</x:f>
        <x:v>0</x:v>
      </x:c>
      <x:c r="R1570" s="22" t="n">
        <x:f>IF(T1570="Ready",ROUND(Q1570-M1570,2),"n.a.")</x:f>
        <x:v>0</x:v>
      </x:c>
      <x:c r="S1570" s="22" t="n">
        <x:f>IF(T1570="Ready",MAX(0,ROUND(I1570+M1570-Q1570,2)),"n.a.")</x:f>
        <x:v>0</x:v>
      </x:c>
      <x:c r="T1570" s="22" t="str">
        <x:f>IF(AND(COUNT($I$1567:$I$1571)=5,COUNT(E1570:F1570)=2),IF(E1570&gt;=F1570,"Ready","Budget below minima"),"Check inputs")</x:f>
        <x:v>Ready</x:v>
      </x:c>
      <x:c r="U1570" s="22" t="n">
        <x:f>IF(COUNT(I1570,M1570,N1570)=3,MAX(0,ROUND(I1570+M1570-N1570,2)),"n.a.")</x:f>
        <x:v>0</x:v>
      </x:c>
    </x:row>
    <x:row r="1571" ht="22" customHeight="1">
      <x:c r="A1571" s="2"/>
      <x:c r="B1571" s="2"/>
      <x:c r="C1571" s="27" t="n">
        <x:f>313</x:f>
        <x:v>313</x:v>
      </x:c>
      <x:c r="D1571" s="28" t="n">
        <x:f>IF(ISNUMBER('Inputs'!$D$7),EDATE('Inputs'!$D$7,312),"n.a.")</x:f>
        <x:v>55824</x:v>
      </x:c>
      <x:c r="E1571" s="26" t="n">
        <x:f>IF('Inputs'!$D$9&lt;&gt;"Ready","n.a.",IF(ISNUMBER('Inputs'!E331),IF('Inputs'!E331&gt;=0,'Inputs'!E331,"n.a."),IF('Inputs'!E331="",'Inputs'!$D$6,"n.a.")))</x:f>
        <x:v>500</x:v>
      </x:c>
      <x:c r="F1571" s="22" t="n">
        <x:f>IF(COUNT($N$1567:$N$1571)=5,SUM($N$1567:$N$1571),"n.a.")</x:f>
        <x:v>0</x:v>
      </x:c>
      <x:c r="G1571" s="22" t="n">
        <x:f>IF(COUNT(E1571:F1571)=2,MAX(0,E1571-F1571),"n.a.")</x:f>
        <x:v>500</x:v>
      </x:c>
      <x:c r="H1571" s="26" t="str">
        <x:f>'Inputs'!C15</x:f>
        <x:v>Unused 5</x:v>
      </x:c>
      <x:c r="I1571" s="26" t="n">
        <x:f>S1566</x:f>
        <x:v>0</x:v>
      </x:c>
      <x:c r="J1571" s="29" t="n">
        <x:f>IF('Inputs'!$D$9="Ready",'Inputs'!E15,"n.a.")</x:f>
        <x:v>0</x:v>
      </x:c>
      <x:c r="K1571" s="26" t="n">
        <x:f>IF('Inputs'!$D$9="Ready",'Inputs'!F15,"n.a.")</x:f>
        <x:v>0</x:v>
      </x:c>
      <x:c r="L1571" s="29" t="n">
        <x:f>IF('Inputs'!$D$9="Ready",'Inputs'!G15,"n.a.")</x:f>
        <x:v>0</x:v>
      </x:c>
      <x:c r="M1571" s="22" t="n">
        <x:f>IF(COUNT(I1571:L1571)=4,ROUND(I1571*J1571/12,2),"n.a.")</x:f>
        <x:v>0</x:v>
      </x:c>
      <x:c r="N1571" s="22" t="n">
        <x:f>IF(COUNT(I1571:M1571)=5,MIN(I1571+M1571,ROUND(MAX(K1571,I1571*L1571+M1571),2)),"n.a.")</x:f>
        <x:v>0</x:v>
      </x:c>
      <x:c r="O1571" s="30" t="n">
        <x:f>IF(COUNT($I$1567:$I$1571)&lt;&gt;5,"n.a.",IF(I1571=0,6,IF('Inputs'!$D$5=1,COUNTIFS($I$1567:$I$1571,"&gt;0",$I$1567:$I$1571,"&lt;"&amp;I1571)+COUNTIFS($I$1567:I1571,I1571),COUNTIFS($I$1567:$I$1571,"&gt;0",$J$1567:$J$1571,"&gt;"&amp;J1571)+COUNTIFS($I$1567:I1571,"&gt;0",$J$1567:J1571,J1571))))</x:f>
        <x:v>6</x:v>
      </x:c>
      <x:c r="P1571" s="22" t="n">
        <x:f>IF(T1571="Ready",MIN(U1571,MAX(0,G1571-SUMIFS($U$1567:$U$1571,$O$1567:$O$1571,"&lt;"&amp;O1571))),"n.a.")</x:f>
        <x:v>0</x:v>
      </x:c>
      <x:c r="Q1571" s="22" t="n">
        <x:f>IF(T1571="Ready",ROUND(N1571+P1571,2),"n.a.")</x:f>
        <x:v>0</x:v>
      </x:c>
      <x:c r="R1571" s="22" t="n">
        <x:f>IF(T1571="Ready",ROUND(Q1571-M1571,2),"n.a.")</x:f>
        <x:v>0</x:v>
      </x:c>
      <x:c r="S1571" s="22" t="n">
        <x:f>IF(T1571="Ready",MAX(0,ROUND(I1571+M1571-Q1571,2)),"n.a.")</x:f>
        <x:v>0</x:v>
      </x:c>
      <x:c r="T1571" s="22" t="str">
        <x:f>IF(AND(COUNT($I$1567:$I$1571)=5,COUNT(E1571:F1571)=2),IF(E1571&gt;=F1571,"Ready","Budget below minima"),"Check inputs")</x:f>
        <x:v>Ready</x:v>
      </x:c>
      <x:c r="U1571" s="22" t="n">
        <x:f>IF(COUNT(I1571,M1571,N1571)=3,MAX(0,ROUND(I1571+M1571-N1571,2)),"n.a.")</x:f>
        <x:v>0</x:v>
      </x:c>
    </x:row>
    <x:row r="1572" ht="22" customHeight="1">
      <x:c r="A1572" s="2"/>
      <x:c r="B1572" s="2"/>
      <x:c r="C1572" s="27" t="n">
        <x:f>314</x:f>
        <x:v>314</x:v>
      </x:c>
      <x:c r="D1572" s="28" t="n">
        <x:f>IF(ISNUMBER('Inputs'!$D$7),EDATE('Inputs'!$D$7,313),"n.a.")</x:f>
        <x:v>55854</x:v>
      </x:c>
      <x:c r="E1572" s="26" t="n">
        <x:f>IF('Inputs'!$D$9&lt;&gt;"Ready","n.a.",IF(ISNUMBER('Inputs'!E332),IF('Inputs'!E332&gt;=0,'Inputs'!E332,"n.a."),IF('Inputs'!E332="",'Inputs'!$D$6,"n.a.")))</x:f>
        <x:v>500</x:v>
      </x:c>
      <x:c r="F1572" s="22" t="n">
        <x:f>IF(COUNT($N$1572:$N$1576)=5,SUM($N$1572:$N$1576),"n.a.")</x:f>
        <x:v>0</x:v>
      </x:c>
      <x:c r="G1572" s="22" t="n">
        <x:f>IF(COUNT(E1572:F1572)=2,MAX(0,E1572-F1572),"n.a.")</x:f>
        <x:v>500</x:v>
      </x:c>
      <x:c r="H1572" s="26" t="str">
        <x:f>'Inputs'!C11</x:f>
        <x:v>Card A</x:v>
      </x:c>
      <x:c r="I1572" s="26" t="n">
        <x:f>S1567</x:f>
        <x:v>0</x:v>
      </x:c>
      <x:c r="J1572" s="29" t="n">
        <x:f>IF('Inputs'!$D$9="Ready",'Inputs'!E11,"n.a.")</x:f>
        <x:v>0.24</x:v>
      </x:c>
      <x:c r="K1572" s="26" t="n">
        <x:f>IF('Inputs'!$D$9="Ready",'Inputs'!F11,"n.a.")</x:f>
        <x:v>35</x:v>
      </x:c>
      <x:c r="L1572" s="29" t="n">
        <x:f>IF('Inputs'!$D$9="Ready",'Inputs'!G11,"n.a.")</x:f>
        <x:v>0.02</x:v>
      </x:c>
      <x:c r="M1572" s="22" t="n">
        <x:f>IF(COUNT(I1572:L1572)=4,ROUND(I1572*J1572/12,2),"n.a.")</x:f>
        <x:v>0</x:v>
      </x:c>
      <x:c r="N1572" s="22" t="n">
        <x:f>IF(COUNT(I1572:M1572)=5,MIN(I1572+M1572,ROUND(MAX(K1572,I1572*L1572+M1572),2)),"n.a.")</x:f>
        <x:v>0</x:v>
      </x:c>
      <x:c r="O1572" s="30" t="n">
        <x:f>IF(COUNT($I$1572:$I$1576)&lt;&gt;5,"n.a.",IF(I1572=0,6,IF('Inputs'!$D$5=1,COUNTIFS($I$1572:$I$1576,"&gt;0",$I$1572:$I$1576,"&lt;"&amp;I1572)+COUNTIFS($I$1572:I1572,I1572),COUNTIFS($I$1572:$I$1576,"&gt;0",$J$1572:$J$1576,"&gt;"&amp;J1572)+COUNTIFS($I$1572:I1572,"&gt;0",$J$1572:J1572,J1572))))</x:f>
        <x:v>6</x:v>
      </x:c>
      <x:c r="P1572" s="22" t="n">
        <x:f>IF(T1572="Ready",MIN(U1572,MAX(0,G1572-SUMIFS($U$1572:$U$1576,$O$1572:$O$1576,"&lt;"&amp;O1572))),"n.a.")</x:f>
        <x:v>0</x:v>
      </x:c>
      <x:c r="Q1572" s="22" t="n">
        <x:f>IF(T1572="Ready",ROUND(N1572+P1572,2),"n.a.")</x:f>
        <x:v>0</x:v>
      </x:c>
      <x:c r="R1572" s="22" t="n">
        <x:f>IF(T1572="Ready",ROUND(Q1572-M1572,2),"n.a.")</x:f>
        <x:v>0</x:v>
      </x:c>
      <x:c r="S1572" s="22" t="n">
        <x:f>IF(T1572="Ready",MAX(0,ROUND(I1572+M1572-Q1572,2)),"n.a.")</x:f>
        <x:v>0</x:v>
      </x:c>
      <x:c r="T1572" s="22" t="str">
        <x:f>IF(AND(COUNT($I$1572:$I$1576)=5,COUNT(E1572:F1572)=2),IF(E1572&gt;=F1572,"Ready","Budget below minima"),"Check inputs")</x:f>
        <x:v>Ready</x:v>
      </x:c>
      <x:c r="U1572" s="22" t="n">
        <x:f>IF(COUNT(I1572,M1572,N1572)=3,MAX(0,ROUND(I1572+M1572-N1572,2)),"n.a.")</x:f>
        <x:v>0</x:v>
      </x:c>
    </x:row>
    <x:row r="1573" ht="22" customHeight="1">
      <x:c r="A1573" s="2"/>
      <x:c r="B1573" s="2"/>
      <x:c r="C1573" s="27" t="n">
        <x:f>314</x:f>
        <x:v>314</x:v>
      </x:c>
      <x:c r="D1573" s="28" t="n">
        <x:f>IF(ISNUMBER('Inputs'!$D$7),EDATE('Inputs'!$D$7,313),"n.a.")</x:f>
        <x:v>55854</x:v>
      </x:c>
      <x:c r="E1573" s="26" t="n">
        <x:f>IF('Inputs'!$D$9&lt;&gt;"Ready","n.a.",IF(ISNUMBER('Inputs'!E332),IF('Inputs'!E332&gt;=0,'Inputs'!E332,"n.a."),IF('Inputs'!E332="",'Inputs'!$D$6,"n.a.")))</x:f>
        <x:v>500</x:v>
      </x:c>
      <x:c r="F1573" s="22" t="n">
        <x:f>IF(COUNT($N$1572:$N$1576)=5,SUM($N$1572:$N$1576),"n.a.")</x:f>
        <x:v>0</x:v>
      </x:c>
      <x:c r="G1573" s="22" t="n">
        <x:f>IF(COUNT(E1573:F1573)=2,MAX(0,E1573-F1573),"n.a.")</x:f>
        <x:v>500</x:v>
      </x:c>
      <x:c r="H1573" s="26" t="str">
        <x:f>'Inputs'!C12</x:f>
        <x:v>Card B</x:v>
      </x:c>
      <x:c r="I1573" s="26" t="n">
        <x:f>S1568</x:f>
        <x:v>0</x:v>
      </x:c>
      <x:c r="J1573" s="29" t="n">
        <x:f>IF('Inputs'!$D$9="Ready",'Inputs'!E12,"n.a.")</x:f>
        <x:v>0.18</x:v>
      </x:c>
      <x:c r="K1573" s="26" t="n">
        <x:f>IF('Inputs'!$D$9="Ready",'Inputs'!F12,"n.a.")</x:f>
        <x:v>60</x:v>
      </x:c>
      <x:c r="L1573" s="29" t="n">
        <x:f>IF('Inputs'!$D$9="Ready",'Inputs'!G12,"n.a.")</x:f>
        <x:v>0.02</x:v>
      </x:c>
      <x:c r="M1573" s="22" t="n">
        <x:f>IF(COUNT(I1573:L1573)=4,ROUND(I1573*J1573/12,2),"n.a.")</x:f>
        <x:v>0</x:v>
      </x:c>
      <x:c r="N1573" s="22" t="n">
        <x:f>IF(COUNT(I1573:M1573)=5,MIN(I1573+M1573,ROUND(MAX(K1573,I1573*L1573+M1573),2)),"n.a.")</x:f>
        <x:v>0</x:v>
      </x:c>
      <x:c r="O1573" s="30" t="n">
        <x:f>IF(COUNT($I$1572:$I$1576)&lt;&gt;5,"n.a.",IF(I1573=0,6,IF('Inputs'!$D$5=1,COUNTIFS($I$1572:$I$1576,"&gt;0",$I$1572:$I$1576,"&lt;"&amp;I1573)+COUNTIFS($I$1572:I1573,I1573),COUNTIFS($I$1572:$I$1576,"&gt;0",$J$1572:$J$1576,"&gt;"&amp;J1573)+COUNTIFS($I$1572:I1573,"&gt;0",$J$1572:J1573,J1573))))</x:f>
        <x:v>6</x:v>
      </x:c>
      <x:c r="P1573" s="22" t="n">
        <x:f>IF(T1573="Ready",MIN(U1573,MAX(0,G1573-SUMIFS($U$1572:$U$1576,$O$1572:$O$1576,"&lt;"&amp;O1573))),"n.a.")</x:f>
        <x:v>0</x:v>
      </x:c>
      <x:c r="Q1573" s="22" t="n">
        <x:f>IF(T1573="Ready",ROUND(N1573+P1573,2),"n.a.")</x:f>
        <x:v>0</x:v>
      </x:c>
      <x:c r="R1573" s="22" t="n">
        <x:f>IF(T1573="Ready",ROUND(Q1573-M1573,2),"n.a.")</x:f>
        <x:v>0</x:v>
      </x:c>
      <x:c r="S1573" s="22" t="n">
        <x:f>IF(T1573="Ready",MAX(0,ROUND(I1573+M1573-Q1573,2)),"n.a.")</x:f>
        <x:v>0</x:v>
      </x:c>
      <x:c r="T1573" s="22" t="str">
        <x:f>IF(AND(COUNT($I$1572:$I$1576)=5,COUNT(E1573:F1573)=2),IF(E1573&gt;=F1573,"Ready","Budget below minima"),"Check inputs")</x:f>
        <x:v>Ready</x:v>
      </x:c>
      <x:c r="U1573" s="22" t="n">
        <x:f>IF(COUNT(I1573,M1573,N1573)=3,MAX(0,ROUND(I1573+M1573-N1573,2)),"n.a.")</x:f>
        <x:v>0</x:v>
      </x:c>
    </x:row>
    <x:row r="1574" ht="22" customHeight="1">
      <x:c r="A1574" s="2"/>
      <x:c r="B1574" s="2"/>
      <x:c r="C1574" s="27" t="n">
        <x:f>314</x:f>
        <x:v>314</x:v>
      </x:c>
      <x:c r="D1574" s="28" t="n">
        <x:f>IF(ISNUMBER('Inputs'!$D$7),EDATE('Inputs'!$D$7,313),"n.a.")</x:f>
        <x:v>55854</x:v>
      </x:c>
      <x:c r="E1574" s="26" t="n">
        <x:f>IF('Inputs'!$D$9&lt;&gt;"Ready","n.a.",IF(ISNUMBER('Inputs'!E332),IF('Inputs'!E332&gt;=0,'Inputs'!E332,"n.a."),IF('Inputs'!E332="",'Inputs'!$D$6,"n.a.")))</x:f>
        <x:v>500</x:v>
      </x:c>
      <x:c r="F1574" s="22" t="n">
        <x:f>IF(COUNT($N$1572:$N$1576)=5,SUM($N$1572:$N$1576),"n.a.")</x:f>
        <x:v>0</x:v>
      </x:c>
      <x:c r="G1574" s="22" t="n">
        <x:f>IF(COUNT(E1574:F1574)=2,MAX(0,E1574-F1574),"n.a.")</x:f>
        <x:v>500</x:v>
      </x:c>
      <x:c r="H1574" s="26" t="str">
        <x:f>'Inputs'!C13</x:f>
        <x:v>Loan C</x:v>
      </x:c>
      <x:c r="I1574" s="26" t="n">
        <x:f>S1569</x:f>
        <x:v>0</x:v>
      </x:c>
      <x:c r="J1574" s="29" t="n">
        <x:f>IF('Inputs'!$D$9="Ready",'Inputs'!E13,"n.a.")</x:f>
        <x:v>0.08</x:v>
      </x:c>
      <x:c r="K1574" s="26" t="n">
        <x:f>IF('Inputs'!$D$9="Ready",'Inputs'!F13,"n.a.")</x:f>
        <x:v>150</x:v>
      </x:c>
      <x:c r="L1574" s="29" t="n">
        <x:f>IF('Inputs'!$D$9="Ready",'Inputs'!G13,"n.a.")</x:f>
        <x:v>0</x:v>
      </x:c>
      <x:c r="M1574" s="22" t="n">
        <x:f>IF(COUNT(I1574:L1574)=4,ROUND(I1574*J1574/12,2),"n.a.")</x:f>
        <x:v>0</x:v>
      </x:c>
      <x:c r="N1574" s="22" t="n">
        <x:f>IF(COUNT(I1574:M1574)=5,MIN(I1574+M1574,ROUND(MAX(K1574,I1574*L1574+M1574),2)),"n.a.")</x:f>
        <x:v>0</x:v>
      </x:c>
      <x:c r="O1574" s="30" t="n">
        <x:f>IF(COUNT($I$1572:$I$1576)&lt;&gt;5,"n.a.",IF(I1574=0,6,IF('Inputs'!$D$5=1,COUNTIFS($I$1572:$I$1576,"&gt;0",$I$1572:$I$1576,"&lt;"&amp;I1574)+COUNTIFS($I$1572:I1574,I1574),COUNTIFS($I$1572:$I$1576,"&gt;0",$J$1572:$J$1576,"&gt;"&amp;J1574)+COUNTIFS($I$1572:I1574,"&gt;0",$J$1572:J1574,J1574))))</x:f>
        <x:v>6</x:v>
      </x:c>
      <x:c r="P1574" s="22" t="n">
        <x:f>IF(T1574="Ready",MIN(U1574,MAX(0,G1574-SUMIFS($U$1572:$U$1576,$O$1572:$O$1576,"&lt;"&amp;O1574))),"n.a.")</x:f>
        <x:v>0</x:v>
      </x:c>
      <x:c r="Q1574" s="22" t="n">
        <x:f>IF(T1574="Ready",ROUND(N1574+P1574,2),"n.a.")</x:f>
        <x:v>0</x:v>
      </x:c>
      <x:c r="R1574" s="22" t="n">
        <x:f>IF(T1574="Ready",ROUND(Q1574-M1574,2),"n.a.")</x:f>
        <x:v>0</x:v>
      </x:c>
      <x:c r="S1574" s="22" t="n">
        <x:f>IF(T1574="Ready",MAX(0,ROUND(I1574+M1574-Q1574,2)),"n.a.")</x:f>
        <x:v>0</x:v>
      </x:c>
      <x:c r="T1574" s="22" t="str">
        <x:f>IF(AND(COUNT($I$1572:$I$1576)=5,COUNT(E1574:F1574)=2),IF(E1574&gt;=F1574,"Ready","Budget below minima"),"Check inputs")</x:f>
        <x:v>Ready</x:v>
      </x:c>
      <x:c r="U1574" s="22" t="n">
        <x:f>IF(COUNT(I1574,M1574,N1574)=3,MAX(0,ROUND(I1574+M1574-N1574,2)),"n.a.")</x:f>
        <x:v>0</x:v>
      </x:c>
    </x:row>
    <x:row r="1575" ht="22" customHeight="1">
      <x:c r="A1575" s="2"/>
      <x:c r="B1575" s="2"/>
      <x:c r="C1575" s="27" t="n">
        <x:f>314</x:f>
        <x:v>314</x:v>
      </x:c>
      <x:c r="D1575" s="28" t="n">
        <x:f>IF(ISNUMBER('Inputs'!$D$7),EDATE('Inputs'!$D$7,313),"n.a.")</x:f>
        <x:v>55854</x:v>
      </x:c>
      <x:c r="E1575" s="26" t="n">
        <x:f>IF('Inputs'!$D$9&lt;&gt;"Ready","n.a.",IF(ISNUMBER('Inputs'!E332),IF('Inputs'!E332&gt;=0,'Inputs'!E332,"n.a."),IF('Inputs'!E332="",'Inputs'!$D$6,"n.a.")))</x:f>
        <x:v>500</x:v>
      </x:c>
      <x:c r="F1575" s="22" t="n">
        <x:f>IF(COUNT($N$1572:$N$1576)=5,SUM($N$1572:$N$1576),"n.a.")</x:f>
        <x:v>0</x:v>
      </x:c>
      <x:c r="G1575" s="22" t="n">
        <x:f>IF(COUNT(E1575:F1575)=2,MAX(0,E1575-F1575),"n.a.")</x:f>
        <x:v>500</x:v>
      </x:c>
      <x:c r="H1575" s="26" t="str">
        <x:f>'Inputs'!C14</x:f>
        <x:v>Unused 4</x:v>
      </x:c>
      <x:c r="I1575" s="26" t="n">
        <x:f>S1570</x:f>
        <x:v>0</x:v>
      </x:c>
      <x:c r="J1575" s="29" t="n">
        <x:f>IF('Inputs'!$D$9="Ready",'Inputs'!E14,"n.a.")</x:f>
        <x:v>0</x:v>
      </x:c>
      <x:c r="K1575" s="26" t="n">
        <x:f>IF('Inputs'!$D$9="Ready",'Inputs'!F14,"n.a.")</x:f>
        <x:v>0</x:v>
      </x:c>
      <x:c r="L1575" s="29" t="n">
        <x:f>IF('Inputs'!$D$9="Ready",'Inputs'!G14,"n.a.")</x:f>
        <x:v>0</x:v>
      </x:c>
      <x:c r="M1575" s="22" t="n">
        <x:f>IF(COUNT(I1575:L1575)=4,ROUND(I1575*J1575/12,2),"n.a.")</x:f>
        <x:v>0</x:v>
      </x:c>
      <x:c r="N1575" s="22" t="n">
        <x:f>IF(COUNT(I1575:M1575)=5,MIN(I1575+M1575,ROUND(MAX(K1575,I1575*L1575+M1575),2)),"n.a.")</x:f>
        <x:v>0</x:v>
      </x:c>
      <x:c r="O1575" s="30" t="n">
        <x:f>IF(COUNT($I$1572:$I$1576)&lt;&gt;5,"n.a.",IF(I1575=0,6,IF('Inputs'!$D$5=1,COUNTIFS($I$1572:$I$1576,"&gt;0",$I$1572:$I$1576,"&lt;"&amp;I1575)+COUNTIFS($I$1572:I1575,I1575),COUNTIFS($I$1572:$I$1576,"&gt;0",$J$1572:$J$1576,"&gt;"&amp;J1575)+COUNTIFS($I$1572:I1575,"&gt;0",$J$1572:J1575,J1575))))</x:f>
        <x:v>6</x:v>
      </x:c>
      <x:c r="P1575" s="22" t="n">
        <x:f>IF(T1575="Ready",MIN(U1575,MAX(0,G1575-SUMIFS($U$1572:$U$1576,$O$1572:$O$1576,"&lt;"&amp;O1575))),"n.a.")</x:f>
        <x:v>0</x:v>
      </x:c>
      <x:c r="Q1575" s="22" t="n">
        <x:f>IF(T1575="Ready",ROUND(N1575+P1575,2),"n.a.")</x:f>
        <x:v>0</x:v>
      </x:c>
      <x:c r="R1575" s="22" t="n">
        <x:f>IF(T1575="Ready",ROUND(Q1575-M1575,2),"n.a.")</x:f>
        <x:v>0</x:v>
      </x:c>
      <x:c r="S1575" s="22" t="n">
        <x:f>IF(T1575="Ready",MAX(0,ROUND(I1575+M1575-Q1575,2)),"n.a.")</x:f>
        <x:v>0</x:v>
      </x:c>
      <x:c r="T1575" s="22" t="str">
        <x:f>IF(AND(COUNT($I$1572:$I$1576)=5,COUNT(E1575:F1575)=2),IF(E1575&gt;=F1575,"Ready","Budget below minima"),"Check inputs")</x:f>
        <x:v>Ready</x:v>
      </x:c>
      <x:c r="U1575" s="22" t="n">
        <x:f>IF(COUNT(I1575,M1575,N1575)=3,MAX(0,ROUND(I1575+M1575-N1575,2)),"n.a.")</x:f>
        <x:v>0</x:v>
      </x:c>
    </x:row>
    <x:row r="1576" ht="22" customHeight="1">
      <x:c r="A1576" s="2"/>
      <x:c r="B1576" s="2"/>
      <x:c r="C1576" s="27" t="n">
        <x:f>314</x:f>
        <x:v>314</x:v>
      </x:c>
      <x:c r="D1576" s="28" t="n">
        <x:f>IF(ISNUMBER('Inputs'!$D$7),EDATE('Inputs'!$D$7,313),"n.a.")</x:f>
        <x:v>55854</x:v>
      </x:c>
      <x:c r="E1576" s="26" t="n">
        <x:f>IF('Inputs'!$D$9&lt;&gt;"Ready","n.a.",IF(ISNUMBER('Inputs'!E332),IF('Inputs'!E332&gt;=0,'Inputs'!E332,"n.a."),IF('Inputs'!E332="",'Inputs'!$D$6,"n.a.")))</x:f>
        <x:v>500</x:v>
      </x:c>
      <x:c r="F1576" s="22" t="n">
        <x:f>IF(COUNT($N$1572:$N$1576)=5,SUM($N$1572:$N$1576),"n.a.")</x:f>
        <x:v>0</x:v>
      </x:c>
      <x:c r="G1576" s="22" t="n">
        <x:f>IF(COUNT(E1576:F1576)=2,MAX(0,E1576-F1576),"n.a.")</x:f>
        <x:v>500</x:v>
      </x:c>
      <x:c r="H1576" s="26" t="str">
        <x:f>'Inputs'!C15</x:f>
        <x:v>Unused 5</x:v>
      </x:c>
      <x:c r="I1576" s="26" t="n">
        <x:f>S1571</x:f>
        <x:v>0</x:v>
      </x:c>
      <x:c r="J1576" s="29" t="n">
        <x:f>IF('Inputs'!$D$9="Ready",'Inputs'!E15,"n.a.")</x:f>
        <x:v>0</x:v>
      </x:c>
      <x:c r="K1576" s="26" t="n">
        <x:f>IF('Inputs'!$D$9="Ready",'Inputs'!F15,"n.a.")</x:f>
        <x:v>0</x:v>
      </x:c>
      <x:c r="L1576" s="29" t="n">
        <x:f>IF('Inputs'!$D$9="Ready",'Inputs'!G15,"n.a.")</x:f>
        <x:v>0</x:v>
      </x:c>
      <x:c r="M1576" s="22" t="n">
        <x:f>IF(COUNT(I1576:L1576)=4,ROUND(I1576*J1576/12,2),"n.a.")</x:f>
        <x:v>0</x:v>
      </x:c>
      <x:c r="N1576" s="22" t="n">
        <x:f>IF(COUNT(I1576:M1576)=5,MIN(I1576+M1576,ROUND(MAX(K1576,I1576*L1576+M1576),2)),"n.a.")</x:f>
        <x:v>0</x:v>
      </x:c>
      <x:c r="O1576" s="30" t="n">
        <x:f>IF(COUNT($I$1572:$I$1576)&lt;&gt;5,"n.a.",IF(I1576=0,6,IF('Inputs'!$D$5=1,COUNTIFS($I$1572:$I$1576,"&gt;0",$I$1572:$I$1576,"&lt;"&amp;I1576)+COUNTIFS($I$1572:I1576,I1576),COUNTIFS($I$1572:$I$1576,"&gt;0",$J$1572:$J$1576,"&gt;"&amp;J1576)+COUNTIFS($I$1572:I1576,"&gt;0",$J$1572:J1576,J1576))))</x:f>
        <x:v>6</x:v>
      </x:c>
      <x:c r="P1576" s="22" t="n">
        <x:f>IF(T1576="Ready",MIN(U1576,MAX(0,G1576-SUMIFS($U$1572:$U$1576,$O$1572:$O$1576,"&lt;"&amp;O1576))),"n.a.")</x:f>
        <x:v>0</x:v>
      </x:c>
      <x:c r="Q1576" s="22" t="n">
        <x:f>IF(T1576="Ready",ROUND(N1576+P1576,2),"n.a.")</x:f>
        <x:v>0</x:v>
      </x:c>
      <x:c r="R1576" s="22" t="n">
        <x:f>IF(T1576="Ready",ROUND(Q1576-M1576,2),"n.a.")</x:f>
        <x:v>0</x:v>
      </x:c>
      <x:c r="S1576" s="22" t="n">
        <x:f>IF(T1576="Ready",MAX(0,ROUND(I1576+M1576-Q1576,2)),"n.a.")</x:f>
        <x:v>0</x:v>
      </x:c>
      <x:c r="T1576" s="22" t="str">
        <x:f>IF(AND(COUNT($I$1572:$I$1576)=5,COUNT(E1576:F1576)=2),IF(E1576&gt;=F1576,"Ready","Budget below minima"),"Check inputs")</x:f>
        <x:v>Ready</x:v>
      </x:c>
      <x:c r="U1576" s="22" t="n">
        <x:f>IF(COUNT(I1576,M1576,N1576)=3,MAX(0,ROUND(I1576+M1576-N1576,2)),"n.a.")</x:f>
        <x:v>0</x:v>
      </x:c>
    </x:row>
    <x:row r="1577" ht="22" customHeight="1">
      <x:c r="A1577" s="2"/>
      <x:c r="B1577" s="2"/>
      <x:c r="C1577" s="27" t="n">
        <x:f>315</x:f>
        <x:v>315</x:v>
      </x:c>
      <x:c r="D1577" s="28" t="n">
        <x:f>IF(ISNUMBER('Inputs'!$D$7),EDATE('Inputs'!$D$7,314),"n.a.")</x:f>
        <x:v>55885</x:v>
      </x:c>
      <x:c r="E1577" s="26" t="n">
        <x:f>IF('Inputs'!$D$9&lt;&gt;"Ready","n.a.",IF(ISNUMBER('Inputs'!E333),IF('Inputs'!E333&gt;=0,'Inputs'!E333,"n.a."),IF('Inputs'!E333="",'Inputs'!$D$6,"n.a.")))</x:f>
        <x:v>500</x:v>
      </x:c>
      <x:c r="F1577" s="22" t="n">
        <x:f>IF(COUNT($N$1577:$N$1581)=5,SUM($N$1577:$N$1581),"n.a.")</x:f>
        <x:v>0</x:v>
      </x:c>
      <x:c r="G1577" s="22" t="n">
        <x:f>IF(COUNT(E1577:F1577)=2,MAX(0,E1577-F1577),"n.a.")</x:f>
        <x:v>500</x:v>
      </x:c>
      <x:c r="H1577" s="26" t="str">
        <x:f>'Inputs'!C11</x:f>
        <x:v>Card A</x:v>
      </x:c>
      <x:c r="I1577" s="26" t="n">
        <x:f>S1572</x:f>
        <x:v>0</x:v>
      </x:c>
      <x:c r="J1577" s="29" t="n">
        <x:f>IF('Inputs'!$D$9="Ready",'Inputs'!E11,"n.a.")</x:f>
        <x:v>0.24</x:v>
      </x:c>
      <x:c r="K1577" s="26" t="n">
        <x:f>IF('Inputs'!$D$9="Ready",'Inputs'!F11,"n.a.")</x:f>
        <x:v>35</x:v>
      </x:c>
      <x:c r="L1577" s="29" t="n">
        <x:f>IF('Inputs'!$D$9="Ready",'Inputs'!G11,"n.a.")</x:f>
        <x:v>0.02</x:v>
      </x:c>
      <x:c r="M1577" s="22" t="n">
        <x:f>IF(COUNT(I1577:L1577)=4,ROUND(I1577*J1577/12,2),"n.a.")</x:f>
        <x:v>0</x:v>
      </x:c>
      <x:c r="N1577" s="22" t="n">
        <x:f>IF(COUNT(I1577:M1577)=5,MIN(I1577+M1577,ROUND(MAX(K1577,I1577*L1577+M1577),2)),"n.a.")</x:f>
        <x:v>0</x:v>
      </x:c>
      <x:c r="O1577" s="30" t="n">
        <x:f>IF(COUNT($I$1577:$I$1581)&lt;&gt;5,"n.a.",IF(I1577=0,6,IF('Inputs'!$D$5=1,COUNTIFS($I$1577:$I$1581,"&gt;0",$I$1577:$I$1581,"&lt;"&amp;I1577)+COUNTIFS($I$1577:I1577,I1577),COUNTIFS($I$1577:$I$1581,"&gt;0",$J$1577:$J$1581,"&gt;"&amp;J1577)+COUNTIFS($I$1577:I1577,"&gt;0",$J$1577:J1577,J1577))))</x:f>
        <x:v>6</x:v>
      </x:c>
      <x:c r="P1577" s="22" t="n">
        <x:f>IF(T1577="Ready",MIN(U1577,MAX(0,G1577-SUMIFS($U$1577:$U$1581,$O$1577:$O$1581,"&lt;"&amp;O1577))),"n.a.")</x:f>
        <x:v>0</x:v>
      </x:c>
      <x:c r="Q1577" s="22" t="n">
        <x:f>IF(T1577="Ready",ROUND(N1577+P1577,2),"n.a.")</x:f>
        <x:v>0</x:v>
      </x:c>
      <x:c r="R1577" s="22" t="n">
        <x:f>IF(T1577="Ready",ROUND(Q1577-M1577,2),"n.a.")</x:f>
        <x:v>0</x:v>
      </x:c>
      <x:c r="S1577" s="22" t="n">
        <x:f>IF(T1577="Ready",MAX(0,ROUND(I1577+M1577-Q1577,2)),"n.a.")</x:f>
        <x:v>0</x:v>
      </x:c>
      <x:c r="T1577" s="22" t="str">
        <x:f>IF(AND(COUNT($I$1577:$I$1581)=5,COUNT(E1577:F1577)=2),IF(E1577&gt;=F1577,"Ready","Budget below minima"),"Check inputs")</x:f>
        <x:v>Ready</x:v>
      </x:c>
      <x:c r="U1577" s="22" t="n">
        <x:f>IF(COUNT(I1577,M1577,N1577)=3,MAX(0,ROUND(I1577+M1577-N1577,2)),"n.a.")</x:f>
        <x:v>0</x:v>
      </x:c>
    </x:row>
    <x:row r="1578" ht="22" customHeight="1">
      <x:c r="A1578" s="2"/>
      <x:c r="B1578" s="2"/>
      <x:c r="C1578" s="27" t="n">
        <x:f>315</x:f>
        <x:v>315</x:v>
      </x:c>
      <x:c r="D1578" s="28" t="n">
        <x:f>IF(ISNUMBER('Inputs'!$D$7),EDATE('Inputs'!$D$7,314),"n.a.")</x:f>
        <x:v>55885</x:v>
      </x:c>
      <x:c r="E1578" s="26" t="n">
        <x:f>IF('Inputs'!$D$9&lt;&gt;"Ready","n.a.",IF(ISNUMBER('Inputs'!E333),IF('Inputs'!E333&gt;=0,'Inputs'!E333,"n.a."),IF('Inputs'!E333="",'Inputs'!$D$6,"n.a.")))</x:f>
        <x:v>500</x:v>
      </x:c>
      <x:c r="F1578" s="22" t="n">
        <x:f>IF(COUNT($N$1577:$N$1581)=5,SUM($N$1577:$N$1581),"n.a.")</x:f>
        <x:v>0</x:v>
      </x:c>
      <x:c r="G1578" s="22" t="n">
        <x:f>IF(COUNT(E1578:F1578)=2,MAX(0,E1578-F1578),"n.a.")</x:f>
        <x:v>500</x:v>
      </x:c>
      <x:c r="H1578" s="26" t="str">
        <x:f>'Inputs'!C12</x:f>
        <x:v>Card B</x:v>
      </x:c>
      <x:c r="I1578" s="26" t="n">
        <x:f>S1573</x:f>
        <x:v>0</x:v>
      </x:c>
      <x:c r="J1578" s="29" t="n">
        <x:f>IF('Inputs'!$D$9="Ready",'Inputs'!E12,"n.a.")</x:f>
        <x:v>0.18</x:v>
      </x:c>
      <x:c r="K1578" s="26" t="n">
        <x:f>IF('Inputs'!$D$9="Ready",'Inputs'!F12,"n.a.")</x:f>
        <x:v>60</x:v>
      </x:c>
      <x:c r="L1578" s="29" t="n">
        <x:f>IF('Inputs'!$D$9="Ready",'Inputs'!G12,"n.a.")</x:f>
        <x:v>0.02</x:v>
      </x:c>
      <x:c r="M1578" s="22" t="n">
        <x:f>IF(COUNT(I1578:L1578)=4,ROUND(I1578*J1578/12,2),"n.a.")</x:f>
        <x:v>0</x:v>
      </x:c>
      <x:c r="N1578" s="22" t="n">
        <x:f>IF(COUNT(I1578:M1578)=5,MIN(I1578+M1578,ROUND(MAX(K1578,I1578*L1578+M1578),2)),"n.a.")</x:f>
        <x:v>0</x:v>
      </x:c>
      <x:c r="O1578" s="30" t="n">
        <x:f>IF(COUNT($I$1577:$I$1581)&lt;&gt;5,"n.a.",IF(I1578=0,6,IF('Inputs'!$D$5=1,COUNTIFS($I$1577:$I$1581,"&gt;0",$I$1577:$I$1581,"&lt;"&amp;I1578)+COUNTIFS($I$1577:I1578,I1578),COUNTIFS($I$1577:$I$1581,"&gt;0",$J$1577:$J$1581,"&gt;"&amp;J1578)+COUNTIFS($I$1577:I1578,"&gt;0",$J$1577:J1578,J1578))))</x:f>
        <x:v>6</x:v>
      </x:c>
      <x:c r="P1578" s="22" t="n">
        <x:f>IF(T1578="Ready",MIN(U1578,MAX(0,G1578-SUMIFS($U$1577:$U$1581,$O$1577:$O$1581,"&lt;"&amp;O1578))),"n.a.")</x:f>
        <x:v>0</x:v>
      </x:c>
      <x:c r="Q1578" s="22" t="n">
        <x:f>IF(T1578="Ready",ROUND(N1578+P1578,2),"n.a.")</x:f>
        <x:v>0</x:v>
      </x:c>
      <x:c r="R1578" s="22" t="n">
        <x:f>IF(T1578="Ready",ROUND(Q1578-M1578,2),"n.a.")</x:f>
        <x:v>0</x:v>
      </x:c>
      <x:c r="S1578" s="22" t="n">
        <x:f>IF(T1578="Ready",MAX(0,ROUND(I1578+M1578-Q1578,2)),"n.a.")</x:f>
        <x:v>0</x:v>
      </x:c>
      <x:c r="T1578" s="22" t="str">
        <x:f>IF(AND(COUNT($I$1577:$I$1581)=5,COUNT(E1578:F1578)=2),IF(E1578&gt;=F1578,"Ready","Budget below minima"),"Check inputs")</x:f>
        <x:v>Ready</x:v>
      </x:c>
      <x:c r="U1578" s="22" t="n">
        <x:f>IF(COUNT(I1578,M1578,N1578)=3,MAX(0,ROUND(I1578+M1578-N1578,2)),"n.a.")</x:f>
        <x:v>0</x:v>
      </x:c>
    </x:row>
    <x:row r="1579" ht="22" customHeight="1">
      <x:c r="A1579" s="2"/>
      <x:c r="B1579" s="2"/>
      <x:c r="C1579" s="27" t="n">
        <x:f>315</x:f>
        <x:v>315</x:v>
      </x:c>
      <x:c r="D1579" s="28" t="n">
        <x:f>IF(ISNUMBER('Inputs'!$D$7),EDATE('Inputs'!$D$7,314),"n.a.")</x:f>
        <x:v>55885</x:v>
      </x:c>
      <x:c r="E1579" s="26" t="n">
        <x:f>IF('Inputs'!$D$9&lt;&gt;"Ready","n.a.",IF(ISNUMBER('Inputs'!E333),IF('Inputs'!E333&gt;=0,'Inputs'!E333,"n.a."),IF('Inputs'!E333="",'Inputs'!$D$6,"n.a.")))</x:f>
        <x:v>500</x:v>
      </x:c>
      <x:c r="F1579" s="22" t="n">
        <x:f>IF(COUNT($N$1577:$N$1581)=5,SUM($N$1577:$N$1581),"n.a.")</x:f>
        <x:v>0</x:v>
      </x:c>
      <x:c r="G1579" s="22" t="n">
        <x:f>IF(COUNT(E1579:F1579)=2,MAX(0,E1579-F1579),"n.a.")</x:f>
        <x:v>500</x:v>
      </x:c>
      <x:c r="H1579" s="26" t="str">
        <x:f>'Inputs'!C13</x:f>
        <x:v>Loan C</x:v>
      </x:c>
      <x:c r="I1579" s="26" t="n">
        <x:f>S1574</x:f>
        <x:v>0</x:v>
      </x:c>
      <x:c r="J1579" s="29" t="n">
        <x:f>IF('Inputs'!$D$9="Ready",'Inputs'!E13,"n.a.")</x:f>
        <x:v>0.08</x:v>
      </x:c>
      <x:c r="K1579" s="26" t="n">
        <x:f>IF('Inputs'!$D$9="Ready",'Inputs'!F13,"n.a.")</x:f>
        <x:v>150</x:v>
      </x:c>
      <x:c r="L1579" s="29" t="n">
        <x:f>IF('Inputs'!$D$9="Ready",'Inputs'!G13,"n.a.")</x:f>
        <x:v>0</x:v>
      </x:c>
      <x:c r="M1579" s="22" t="n">
        <x:f>IF(COUNT(I1579:L1579)=4,ROUND(I1579*J1579/12,2),"n.a.")</x:f>
        <x:v>0</x:v>
      </x:c>
      <x:c r="N1579" s="22" t="n">
        <x:f>IF(COUNT(I1579:M1579)=5,MIN(I1579+M1579,ROUND(MAX(K1579,I1579*L1579+M1579),2)),"n.a.")</x:f>
        <x:v>0</x:v>
      </x:c>
      <x:c r="O1579" s="30" t="n">
        <x:f>IF(COUNT($I$1577:$I$1581)&lt;&gt;5,"n.a.",IF(I1579=0,6,IF('Inputs'!$D$5=1,COUNTIFS($I$1577:$I$1581,"&gt;0",$I$1577:$I$1581,"&lt;"&amp;I1579)+COUNTIFS($I$1577:I1579,I1579),COUNTIFS($I$1577:$I$1581,"&gt;0",$J$1577:$J$1581,"&gt;"&amp;J1579)+COUNTIFS($I$1577:I1579,"&gt;0",$J$1577:J1579,J1579))))</x:f>
        <x:v>6</x:v>
      </x:c>
      <x:c r="P1579" s="22" t="n">
        <x:f>IF(T1579="Ready",MIN(U1579,MAX(0,G1579-SUMIFS($U$1577:$U$1581,$O$1577:$O$1581,"&lt;"&amp;O1579))),"n.a.")</x:f>
        <x:v>0</x:v>
      </x:c>
      <x:c r="Q1579" s="22" t="n">
        <x:f>IF(T1579="Ready",ROUND(N1579+P1579,2),"n.a.")</x:f>
        <x:v>0</x:v>
      </x:c>
      <x:c r="R1579" s="22" t="n">
        <x:f>IF(T1579="Ready",ROUND(Q1579-M1579,2),"n.a.")</x:f>
        <x:v>0</x:v>
      </x:c>
      <x:c r="S1579" s="22" t="n">
        <x:f>IF(T1579="Ready",MAX(0,ROUND(I1579+M1579-Q1579,2)),"n.a.")</x:f>
        <x:v>0</x:v>
      </x:c>
      <x:c r="T1579" s="22" t="str">
        <x:f>IF(AND(COUNT($I$1577:$I$1581)=5,COUNT(E1579:F1579)=2),IF(E1579&gt;=F1579,"Ready","Budget below minima"),"Check inputs")</x:f>
        <x:v>Ready</x:v>
      </x:c>
      <x:c r="U1579" s="22" t="n">
        <x:f>IF(COUNT(I1579,M1579,N1579)=3,MAX(0,ROUND(I1579+M1579-N1579,2)),"n.a.")</x:f>
        <x:v>0</x:v>
      </x:c>
    </x:row>
    <x:row r="1580" ht="22" customHeight="1">
      <x:c r="A1580" s="2"/>
      <x:c r="B1580" s="2"/>
      <x:c r="C1580" s="27" t="n">
        <x:f>315</x:f>
        <x:v>315</x:v>
      </x:c>
      <x:c r="D1580" s="28" t="n">
        <x:f>IF(ISNUMBER('Inputs'!$D$7),EDATE('Inputs'!$D$7,314),"n.a.")</x:f>
        <x:v>55885</x:v>
      </x:c>
      <x:c r="E1580" s="26" t="n">
        <x:f>IF('Inputs'!$D$9&lt;&gt;"Ready","n.a.",IF(ISNUMBER('Inputs'!E333),IF('Inputs'!E333&gt;=0,'Inputs'!E333,"n.a."),IF('Inputs'!E333="",'Inputs'!$D$6,"n.a.")))</x:f>
        <x:v>500</x:v>
      </x:c>
      <x:c r="F1580" s="22" t="n">
        <x:f>IF(COUNT($N$1577:$N$1581)=5,SUM($N$1577:$N$1581),"n.a.")</x:f>
        <x:v>0</x:v>
      </x:c>
      <x:c r="G1580" s="22" t="n">
        <x:f>IF(COUNT(E1580:F1580)=2,MAX(0,E1580-F1580),"n.a.")</x:f>
        <x:v>500</x:v>
      </x:c>
      <x:c r="H1580" s="26" t="str">
        <x:f>'Inputs'!C14</x:f>
        <x:v>Unused 4</x:v>
      </x:c>
      <x:c r="I1580" s="26" t="n">
        <x:f>S1575</x:f>
        <x:v>0</x:v>
      </x:c>
      <x:c r="J1580" s="29" t="n">
        <x:f>IF('Inputs'!$D$9="Ready",'Inputs'!E14,"n.a.")</x:f>
        <x:v>0</x:v>
      </x:c>
      <x:c r="K1580" s="26" t="n">
        <x:f>IF('Inputs'!$D$9="Ready",'Inputs'!F14,"n.a.")</x:f>
        <x:v>0</x:v>
      </x:c>
      <x:c r="L1580" s="29" t="n">
        <x:f>IF('Inputs'!$D$9="Ready",'Inputs'!G14,"n.a.")</x:f>
        <x:v>0</x:v>
      </x:c>
      <x:c r="M1580" s="22" t="n">
        <x:f>IF(COUNT(I1580:L1580)=4,ROUND(I1580*J1580/12,2),"n.a.")</x:f>
        <x:v>0</x:v>
      </x:c>
      <x:c r="N1580" s="22" t="n">
        <x:f>IF(COUNT(I1580:M1580)=5,MIN(I1580+M1580,ROUND(MAX(K1580,I1580*L1580+M1580),2)),"n.a.")</x:f>
        <x:v>0</x:v>
      </x:c>
      <x:c r="O1580" s="30" t="n">
        <x:f>IF(COUNT($I$1577:$I$1581)&lt;&gt;5,"n.a.",IF(I1580=0,6,IF('Inputs'!$D$5=1,COUNTIFS($I$1577:$I$1581,"&gt;0",$I$1577:$I$1581,"&lt;"&amp;I1580)+COUNTIFS($I$1577:I1580,I1580),COUNTIFS($I$1577:$I$1581,"&gt;0",$J$1577:$J$1581,"&gt;"&amp;J1580)+COUNTIFS($I$1577:I1580,"&gt;0",$J$1577:J1580,J1580))))</x:f>
        <x:v>6</x:v>
      </x:c>
      <x:c r="P1580" s="22" t="n">
        <x:f>IF(T1580="Ready",MIN(U1580,MAX(0,G1580-SUMIFS($U$1577:$U$1581,$O$1577:$O$1581,"&lt;"&amp;O1580))),"n.a.")</x:f>
        <x:v>0</x:v>
      </x:c>
      <x:c r="Q1580" s="22" t="n">
        <x:f>IF(T1580="Ready",ROUND(N1580+P1580,2),"n.a.")</x:f>
        <x:v>0</x:v>
      </x:c>
      <x:c r="R1580" s="22" t="n">
        <x:f>IF(T1580="Ready",ROUND(Q1580-M1580,2),"n.a.")</x:f>
        <x:v>0</x:v>
      </x:c>
      <x:c r="S1580" s="22" t="n">
        <x:f>IF(T1580="Ready",MAX(0,ROUND(I1580+M1580-Q1580,2)),"n.a.")</x:f>
        <x:v>0</x:v>
      </x:c>
      <x:c r="T1580" s="22" t="str">
        <x:f>IF(AND(COUNT($I$1577:$I$1581)=5,COUNT(E1580:F1580)=2),IF(E1580&gt;=F1580,"Ready","Budget below minima"),"Check inputs")</x:f>
        <x:v>Ready</x:v>
      </x:c>
      <x:c r="U1580" s="22" t="n">
        <x:f>IF(COUNT(I1580,M1580,N1580)=3,MAX(0,ROUND(I1580+M1580-N1580,2)),"n.a.")</x:f>
        <x:v>0</x:v>
      </x:c>
    </x:row>
    <x:row r="1581" ht="22" customHeight="1">
      <x:c r="A1581" s="2"/>
      <x:c r="B1581" s="2"/>
      <x:c r="C1581" s="27" t="n">
        <x:f>315</x:f>
        <x:v>315</x:v>
      </x:c>
      <x:c r="D1581" s="28" t="n">
        <x:f>IF(ISNUMBER('Inputs'!$D$7),EDATE('Inputs'!$D$7,314),"n.a.")</x:f>
        <x:v>55885</x:v>
      </x:c>
      <x:c r="E1581" s="26" t="n">
        <x:f>IF('Inputs'!$D$9&lt;&gt;"Ready","n.a.",IF(ISNUMBER('Inputs'!E333),IF('Inputs'!E333&gt;=0,'Inputs'!E333,"n.a."),IF('Inputs'!E333="",'Inputs'!$D$6,"n.a.")))</x:f>
        <x:v>500</x:v>
      </x:c>
      <x:c r="F1581" s="22" t="n">
        <x:f>IF(COUNT($N$1577:$N$1581)=5,SUM($N$1577:$N$1581),"n.a.")</x:f>
        <x:v>0</x:v>
      </x:c>
      <x:c r="G1581" s="22" t="n">
        <x:f>IF(COUNT(E1581:F1581)=2,MAX(0,E1581-F1581),"n.a.")</x:f>
        <x:v>500</x:v>
      </x:c>
      <x:c r="H1581" s="26" t="str">
        <x:f>'Inputs'!C15</x:f>
        <x:v>Unused 5</x:v>
      </x:c>
      <x:c r="I1581" s="26" t="n">
        <x:f>S1576</x:f>
        <x:v>0</x:v>
      </x:c>
      <x:c r="J1581" s="29" t="n">
        <x:f>IF('Inputs'!$D$9="Ready",'Inputs'!E15,"n.a.")</x:f>
        <x:v>0</x:v>
      </x:c>
      <x:c r="K1581" s="26" t="n">
        <x:f>IF('Inputs'!$D$9="Ready",'Inputs'!F15,"n.a.")</x:f>
        <x:v>0</x:v>
      </x:c>
      <x:c r="L1581" s="29" t="n">
        <x:f>IF('Inputs'!$D$9="Ready",'Inputs'!G15,"n.a.")</x:f>
        <x:v>0</x:v>
      </x:c>
      <x:c r="M1581" s="22" t="n">
        <x:f>IF(COUNT(I1581:L1581)=4,ROUND(I1581*J1581/12,2),"n.a.")</x:f>
        <x:v>0</x:v>
      </x:c>
      <x:c r="N1581" s="22" t="n">
        <x:f>IF(COUNT(I1581:M1581)=5,MIN(I1581+M1581,ROUND(MAX(K1581,I1581*L1581+M1581),2)),"n.a.")</x:f>
        <x:v>0</x:v>
      </x:c>
      <x:c r="O1581" s="30" t="n">
        <x:f>IF(COUNT($I$1577:$I$1581)&lt;&gt;5,"n.a.",IF(I1581=0,6,IF('Inputs'!$D$5=1,COUNTIFS($I$1577:$I$1581,"&gt;0",$I$1577:$I$1581,"&lt;"&amp;I1581)+COUNTIFS($I$1577:I1581,I1581),COUNTIFS($I$1577:$I$1581,"&gt;0",$J$1577:$J$1581,"&gt;"&amp;J1581)+COUNTIFS($I$1577:I1581,"&gt;0",$J$1577:J1581,J1581))))</x:f>
        <x:v>6</x:v>
      </x:c>
      <x:c r="P1581" s="22" t="n">
        <x:f>IF(T1581="Ready",MIN(U1581,MAX(0,G1581-SUMIFS($U$1577:$U$1581,$O$1577:$O$1581,"&lt;"&amp;O1581))),"n.a.")</x:f>
        <x:v>0</x:v>
      </x:c>
      <x:c r="Q1581" s="22" t="n">
        <x:f>IF(T1581="Ready",ROUND(N1581+P1581,2),"n.a.")</x:f>
        <x:v>0</x:v>
      </x:c>
      <x:c r="R1581" s="22" t="n">
        <x:f>IF(T1581="Ready",ROUND(Q1581-M1581,2),"n.a.")</x:f>
        <x:v>0</x:v>
      </x:c>
      <x:c r="S1581" s="22" t="n">
        <x:f>IF(T1581="Ready",MAX(0,ROUND(I1581+M1581-Q1581,2)),"n.a.")</x:f>
        <x:v>0</x:v>
      </x:c>
      <x:c r="T1581" s="22" t="str">
        <x:f>IF(AND(COUNT($I$1577:$I$1581)=5,COUNT(E1581:F1581)=2),IF(E1581&gt;=F1581,"Ready","Budget below minima"),"Check inputs")</x:f>
        <x:v>Ready</x:v>
      </x:c>
      <x:c r="U1581" s="22" t="n">
        <x:f>IF(COUNT(I1581,M1581,N1581)=3,MAX(0,ROUND(I1581+M1581-N1581,2)),"n.a.")</x:f>
        <x:v>0</x:v>
      </x:c>
    </x:row>
    <x:row r="1582" ht="22" customHeight="1">
      <x:c r="A1582" s="2"/>
      <x:c r="B1582" s="2"/>
      <x:c r="C1582" s="27" t="n">
        <x:f>316</x:f>
        <x:v>316</x:v>
      </x:c>
      <x:c r="D1582" s="28" t="n">
        <x:f>IF(ISNUMBER('Inputs'!$D$7),EDATE('Inputs'!$D$7,315),"n.a.")</x:f>
        <x:v>55916</x:v>
      </x:c>
      <x:c r="E1582" s="26" t="n">
        <x:f>IF('Inputs'!$D$9&lt;&gt;"Ready","n.a.",IF(ISNUMBER('Inputs'!E334),IF('Inputs'!E334&gt;=0,'Inputs'!E334,"n.a."),IF('Inputs'!E334="",'Inputs'!$D$6,"n.a.")))</x:f>
        <x:v>500</x:v>
      </x:c>
      <x:c r="F1582" s="22" t="n">
        <x:f>IF(COUNT($N$1582:$N$1586)=5,SUM($N$1582:$N$1586),"n.a.")</x:f>
        <x:v>0</x:v>
      </x:c>
      <x:c r="G1582" s="22" t="n">
        <x:f>IF(COUNT(E1582:F1582)=2,MAX(0,E1582-F1582),"n.a.")</x:f>
        <x:v>500</x:v>
      </x:c>
      <x:c r="H1582" s="26" t="str">
        <x:f>'Inputs'!C11</x:f>
        <x:v>Card A</x:v>
      </x:c>
      <x:c r="I1582" s="26" t="n">
        <x:f>S1577</x:f>
        <x:v>0</x:v>
      </x:c>
      <x:c r="J1582" s="29" t="n">
        <x:f>IF('Inputs'!$D$9="Ready",'Inputs'!E11,"n.a.")</x:f>
        <x:v>0.24</x:v>
      </x:c>
      <x:c r="K1582" s="26" t="n">
        <x:f>IF('Inputs'!$D$9="Ready",'Inputs'!F11,"n.a.")</x:f>
        <x:v>35</x:v>
      </x:c>
      <x:c r="L1582" s="29" t="n">
        <x:f>IF('Inputs'!$D$9="Ready",'Inputs'!G11,"n.a.")</x:f>
        <x:v>0.02</x:v>
      </x:c>
      <x:c r="M1582" s="22" t="n">
        <x:f>IF(COUNT(I1582:L1582)=4,ROUND(I1582*J1582/12,2),"n.a.")</x:f>
        <x:v>0</x:v>
      </x:c>
      <x:c r="N1582" s="22" t="n">
        <x:f>IF(COUNT(I1582:M1582)=5,MIN(I1582+M1582,ROUND(MAX(K1582,I1582*L1582+M1582),2)),"n.a.")</x:f>
        <x:v>0</x:v>
      </x:c>
      <x:c r="O1582" s="30" t="n">
        <x:f>IF(COUNT($I$1582:$I$1586)&lt;&gt;5,"n.a.",IF(I1582=0,6,IF('Inputs'!$D$5=1,COUNTIFS($I$1582:$I$1586,"&gt;0",$I$1582:$I$1586,"&lt;"&amp;I1582)+COUNTIFS($I$1582:I1582,I1582),COUNTIFS($I$1582:$I$1586,"&gt;0",$J$1582:$J$1586,"&gt;"&amp;J1582)+COUNTIFS($I$1582:I1582,"&gt;0",$J$1582:J1582,J1582))))</x:f>
        <x:v>6</x:v>
      </x:c>
      <x:c r="P1582" s="22" t="n">
        <x:f>IF(T1582="Ready",MIN(U1582,MAX(0,G1582-SUMIFS($U$1582:$U$1586,$O$1582:$O$1586,"&lt;"&amp;O1582))),"n.a.")</x:f>
        <x:v>0</x:v>
      </x:c>
      <x:c r="Q1582" s="22" t="n">
        <x:f>IF(T1582="Ready",ROUND(N1582+P1582,2),"n.a.")</x:f>
        <x:v>0</x:v>
      </x:c>
      <x:c r="R1582" s="22" t="n">
        <x:f>IF(T1582="Ready",ROUND(Q1582-M1582,2),"n.a.")</x:f>
        <x:v>0</x:v>
      </x:c>
      <x:c r="S1582" s="22" t="n">
        <x:f>IF(T1582="Ready",MAX(0,ROUND(I1582+M1582-Q1582,2)),"n.a.")</x:f>
        <x:v>0</x:v>
      </x:c>
      <x:c r="T1582" s="22" t="str">
        <x:f>IF(AND(COUNT($I$1582:$I$1586)=5,COUNT(E1582:F1582)=2),IF(E1582&gt;=F1582,"Ready","Budget below minima"),"Check inputs")</x:f>
        <x:v>Ready</x:v>
      </x:c>
      <x:c r="U1582" s="22" t="n">
        <x:f>IF(COUNT(I1582,M1582,N1582)=3,MAX(0,ROUND(I1582+M1582-N1582,2)),"n.a.")</x:f>
        <x:v>0</x:v>
      </x:c>
    </x:row>
    <x:row r="1583" ht="22" customHeight="1">
      <x:c r="A1583" s="2"/>
      <x:c r="B1583" s="2"/>
      <x:c r="C1583" s="27" t="n">
        <x:f>316</x:f>
        <x:v>316</x:v>
      </x:c>
      <x:c r="D1583" s="28" t="n">
        <x:f>IF(ISNUMBER('Inputs'!$D$7),EDATE('Inputs'!$D$7,315),"n.a.")</x:f>
        <x:v>55916</x:v>
      </x:c>
      <x:c r="E1583" s="26" t="n">
        <x:f>IF('Inputs'!$D$9&lt;&gt;"Ready","n.a.",IF(ISNUMBER('Inputs'!E334),IF('Inputs'!E334&gt;=0,'Inputs'!E334,"n.a."),IF('Inputs'!E334="",'Inputs'!$D$6,"n.a.")))</x:f>
        <x:v>500</x:v>
      </x:c>
      <x:c r="F1583" s="22" t="n">
        <x:f>IF(COUNT($N$1582:$N$1586)=5,SUM($N$1582:$N$1586),"n.a.")</x:f>
        <x:v>0</x:v>
      </x:c>
      <x:c r="G1583" s="22" t="n">
        <x:f>IF(COUNT(E1583:F1583)=2,MAX(0,E1583-F1583),"n.a.")</x:f>
        <x:v>500</x:v>
      </x:c>
      <x:c r="H1583" s="26" t="str">
        <x:f>'Inputs'!C12</x:f>
        <x:v>Card B</x:v>
      </x:c>
      <x:c r="I1583" s="26" t="n">
        <x:f>S1578</x:f>
        <x:v>0</x:v>
      </x:c>
      <x:c r="J1583" s="29" t="n">
        <x:f>IF('Inputs'!$D$9="Ready",'Inputs'!E12,"n.a.")</x:f>
        <x:v>0.18</x:v>
      </x:c>
      <x:c r="K1583" s="26" t="n">
        <x:f>IF('Inputs'!$D$9="Ready",'Inputs'!F12,"n.a.")</x:f>
        <x:v>60</x:v>
      </x:c>
      <x:c r="L1583" s="29" t="n">
        <x:f>IF('Inputs'!$D$9="Ready",'Inputs'!G12,"n.a.")</x:f>
        <x:v>0.02</x:v>
      </x:c>
      <x:c r="M1583" s="22" t="n">
        <x:f>IF(COUNT(I1583:L1583)=4,ROUND(I1583*J1583/12,2),"n.a.")</x:f>
        <x:v>0</x:v>
      </x:c>
      <x:c r="N1583" s="22" t="n">
        <x:f>IF(COUNT(I1583:M1583)=5,MIN(I1583+M1583,ROUND(MAX(K1583,I1583*L1583+M1583),2)),"n.a.")</x:f>
        <x:v>0</x:v>
      </x:c>
      <x:c r="O1583" s="30" t="n">
        <x:f>IF(COUNT($I$1582:$I$1586)&lt;&gt;5,"n.a.",IF(I1583=0,6,IF('Inputs'!$D$5=1,COUNTIFS($I$1582:$I$1586,"&gt;0",$I$1582:$I$1586,"&lt;"&amp;I1583)+COUNTIFS($I$1582:I1583,I1583),COUNTIFS($I$1582:$I$1586,"&gt;0",$J$1582:$J$1586,"&gt;"&amp;J1583)+COUNTIFS($I$1582:I1583,"&gt;0",$J$1582:J1583,J1583))))</x:f>
        <x:v>6</x:v>
      </x:c>
      <x:c r="P1583" s="22" t="n">
        <x:f>IF(T1583="Ready",MIN(U1583,MAX(0,G1583-SUMIFS($U$1582:$U$1586,$O$1582:$O$1586,"&lt;"&amp;O1583))),"n.a.")</x:f>
        <x:v>0</x:v>
      </x:c>
      <x:c r="Q1583" s="22" t="n">
        <x:f>IF(T1583="Ready",ROUND(N1583+P1583,2),"n.a.")</x:f>
        <x:v>0</x:v>
      </x:c>
      <x:c r="R1583" s="22" t="n">
        <x:f>IF(T1583="Ready",ROUND(Q1583-M1583,2),"n.a.")</x:f>
        <x:v>0</x:v>
      </x:c>
      <x:c r="S1583" s="22" t="n">
        <x:f>IF(T1583="Ready",MAX(0,ROUND(I1583+M1583-Q1583,2)),"n.a.")</x:f>
        <x:v>0</x:v>
      </x:c>
      <x:c r="T1583" s="22" t="str">
        <x:f>IF(AND(COUNT($I$1582:$I$1586)=5,COUNT(E1583:F1583)=2),IF(E1583&gt;=F1583,"Ready","Budget below minima"),"Check inputs")</x:f>
        <x:v>Ready</x:v>
      </x:c>
      <x:c r="U1583" s="22" t="n">
        <x:f>IF(COUNT(I1583,M1583,N1583)=3,MAX(0,ROUND(I1583+M1583-N1583,2)),"n.a.")</x:f>
        <x:v>0</x:v>
      </x:c>
    </x:row>
    <x:row r="1584" ht="22" customHeight="1">
      <x:c r="A1584" s="2"/>
      <x:c r="B1584" s="2"/>
      <x:c r="C1584" s="27" t="n">
        <x:f>316</x:f>
        <x:v>316</x:v>
      </x:c>
      <x:c r="D1584" s="28" t="n">
        <x:f>IF(ISNUMBER('Inputs'!$D$7),EDATE('Inputs'!$D$7,315),"n.a.")</x:f>
        <x:v>55916</x:v>
      </x:c>
      <x:c r="E1584" s="26" t="n">
        <x:f>IF('Inputs'!$D$9&lt;&gt;"Ready","n.a.",IF(ISNUMBER('Inputs'!E334),IF('Inputs'!E334&gt;=0,'Inputs'!E334,"n.a."),IF('Inputs'!E334="",'Inputs'!$D$6,"n.a.")))</x:f>
        <x:v>500</x:v>
      </x:c>
      <x:c r="F1584" s="22" t="n">
        <x:f>IF(COUNT($N$1582:$N$1586)=5,SUM($N$1582:$N$1586),"n.a.")</x:f>
        <x:v>0</x:v>
      </x:c>
      <x:c r="G1584" s="22" t="n">
        <x:f>IF(COUNT(E1584:F1584)=2,MAX(0,E1584-F1584),"n.a.")</x:f>
        <x:v>500</x:v>
      </x:c>
      <x:c r="H1584" s="26" t="str">
        <x:f>'Inputs'!C13</x:f>
        <x:v>Loan C</x:v>
      </x:c>
      <x:c r="I1584" s="26" t="n">
        <x:f>S1579</x:f>
        <x:v>0</x:v>
      </x:c>
      <x:c r="J1584" s="29" t="n">
        <x:f>IF('Inputs'!$D$9="Ready",'Inputs'!E13,"n.a.")</x:f>
        <x:v>0.08</x:v>
      </x:c>
      <x:c r="K1584" s="26" t="n">
        <x:f>IF('Inputs'!$D$9="Ready",'Inputs'!F13,"n.a.")</x:f>
        <x:v>150</x:v>
      </x:c>
      <x:c r="L1584" s="29" t="n">
        <x:f>IF('Inputs'!$D$9="Ready",'Inputs'!G13,"n.a.")</x:f>
        <x:v>0</x:v>
      </x:c>
      <x:c r="M1584" s="22" t="n">
        <x:f>IF(COUNT(I1584:L1584)=4,ROUND(I1584*J1584/12,2),"n.a.")</x:f>
        <x:v>0</x:v>
      </x:c>
      <x:c r="N1584" s="22" t="n">
        <x:f>IF(COUNT(I1584:M1584)=5,MIN(I1584+M1584,ROUND(MAX(K1584,I1584*L1584+M1584),2)),"n.a.")</x:f>
        <x:v>0</x:v>
      </x:c>
      <x:c r="O1584" s="30" t="n">
        <x:f>IF(COUNT($I$1582:$I$1586)&lt;&gt;5,"n.a.",IF(I1584=0,6,IF('Inputs'!$D$5=1,COUNTIFS($I$1582:$I$1586,"&gt;0",$I$1582:$I$1586,"&lt;"&amp;I1584)+COUNTIFS($I$1582:I1584,I1584),COUNTIFS($I$1582:$I$1586,"&gt;0",$J$1582:$J$1586,"&gt;"&amp;J1584)+COUNTIFS($I$1582:I1584,"&gt;0",$J$1582:J1584,J1584))))</x:f>
        <x:v>6</x:v>
      </x:c>
      <x:c r="P1584" s="22" t="n">
        <x:f>IF(T1584="Ready",MIN(U1584,MAX(0,G1584-SUMIFS($U$1582:$U$1586,$O$1582:$O$1586,"&lt;"&amp;O1584))),"n.a.")</x:f>
        <x:v>0</x:v>
      </x:c>
      <x:c r="Q1584" s="22" t="n">
        <x:f>IF(T1584="Ready",ROUND(N1584+P1584,2),"n.a.")</x:f>
        <x:v>0</x:v>
      </x:c>
      <x:c r="R1584" s="22" t="n">
        <x:f>IF(T1584="Ready",ROUND(Q1584-M1584,2),"n.a.")</x:f>
        <x:v>0</x:v>
      </x:c>
      <x:c r="S1584" s="22" t="n">
        <x:f>IF(T1584="Ready",MAX(0,ROUND(I1584+M1584-Q1584,2)),"n.a.")</x:f>
        <x:v>0</x:v>
      </x:c>
      <x:c r="T1584" s="22" t="str">
        <x:f>IF(AND(COUNT($I$1582:$I$1586)=5,COUNT(E1584:F1584)=2),IF(E1584&gt;=F1584,"Ready","Budget below minima"),"Check inputs")</x:f>
        <x:v>Ready</x:v>
      </x:c>
      <x:c r="U1584" s="22" t="n">
        <x:f>IF(COUNT(I1584,M1584,N1584)=3,MAX(0,ROUND(I1584+M1584-N1584,2)),"n.a.")</x:f>
        <x:v>0</x:v>
      </x:c>
    </x:row>
    <x:row r="1585" ht="22" customHeight="1">
      <x:c r="A1585" s="2"/>
      <x:c r="B1585" s="2"/>
      <x:c r="C1585" s="27" t="n">
        <x:f>316</x:f>
        <x:v>316</x:v>
      </x:c>
      <x:c r="D1585" s="28" t="n">
        <x:f>IF(ISNUMBER('Inputs'!$D$7),EDATE('Inputs'!$D$7,315),"n.a.")</x:f>
        <x:v>55916</x:v>
      </x:c>
      <x:c r="E1585" s="26" t="n">
        <x:f>IF('Inputs'!$D$9&lt;&gt;"Ready","n.a.",IF(ISNUMBER('Inputs'!E334),IF('Inputs'!E334&gt;=0,'Inputs'!E334,"n.a."),IF('Inputs'!E334="",'Inputs'!$D$6,"n.a.")))</x:f>
        <x:v>500</x:v>
      </x:c>
      <x:c r="F1585" s="22" t="n">
        <x:f>IF(COUNT($N$1582:$N$1586)=5,SUM($N$1582:$N$1586),"n.a.")</x:f>
        <x:v>0</x:v>
      </x:c>
      <x:c r="G1585" s="22" t="n">
        <x:f>IF(COUNT(E1585:F1585)=2,MAX(0,E1585-F1585),"n.a.")</x:f>
        <x:v>500</x:v>
      </x:c>
      <x:c r="H1585" s="26" t="str">
        <x:f>'Inputs'!C14</x:f>
        <x:v>Unused 4</x:v>
      </x:c>
      <x:c r="I1585" s="26" t="n">
        <x:f>S1580</x:f>
        <x:v>0</x:v>
      </x:c>
      <x:c r="J1585" s="29" t="n">
        <x:f>IF('Inputs'!$D$9="Ready",'Inputs'!E14,"n.a.")</x:f>
        <x:v>0</x:v>
      </x:c>
      <x:c r="K1585" s="26" t="n">
        <x:f>IF('Inputs'!$D$9="Ready",'Inputs'!F14,"n.a.")</x:f>
        <x:v>0</x:v>
      </x:c>
      <x:c r="L1585" s="29" t="n">
        <x:f>IF('Inputs'!$D$9="Ready",'Inputs'!G14,"n.a.")</x:f>
        <x:v>0</x:v>
      </x:c>
      <x:c r="M1585" s="22" t="n">
        <x:f>IF(COUNT(I1585:L1585)=4,ROUND(I1585*J1585/12,2),"n.a.")</x:f>
        <x:v>0</x:v>
      </x:c>
      <x:c r="N1585" s="22" t="n">
        <x:f>IF(COUNT(I1585:M1585)=5,MIN(I1585+M1585,ROUND(MAX(K1585,I1585*L1585+M1585),2)),"n.a.")</x:f>
        <x:v>0</x:v>
      </x:c>
      <x:c r="O1585" s="30" t="n">
        <x:f>IF(COUNT($I$1582:$I$1586)&lt;&gt;5,"n.a.",IF(I1585=0,6,IF('Inputs'!$D$5=1,COUNTIFS($I$1582:$I$1586,"&gt;0",$I$1582:$I$1586,"&lt;"&amp;I1585)+COUNTIFS($I$1582:I1585,I1585),COUNTIFS($I$1582:$I$1586,"&gt;0",$J$1582:$J$1586,"&gt;"&amp;J1585)+COUNTIFS($I$1582:I1585,"&gt;0",$J$1582:J1585,J1585))))</x:f>
        <x:v>6</x:v>
      </x:c>
      <x:c r="P1585" s="22" t="n">
        <x:f>IF(T1585="Ready",MIN(U1585,MAX(0,G1585-SUMIFS($U$1582:$U$1586,$O$1582:$O$1586,"&lt;"&amp;O1585))),"n.a.")</x:f>
        <x:v>0</x:v>
      </x:c>
      <x:c r="Q1585" s="22" t="n">
        <x:f>IF(T1585="Ready",ROUND(N1585+P1585,2),"n.a.")</x:f>
        <x:v>0</x:v>
      </x:c>
      <x:c r="R1585" s="22" t="n">
        <x:f>IF(T1585="Ready",ROUND(Q1585-M1585,2),"n.a.")</x:f>
        <x:v>0</x:v>
      </x:c>
      <x:c r="S1585" s="22" t="n">
        <x:f>IF(T1585="Ready",MAX(0,ROUND(I1585+M1585-Q1585,2)),"n.a.")</x:f>
        <x:v>0</x:v>
      </x:c>
      <x:c r="T1585" s="22" t="str">
        <x:f>IF(AND(COUNT($I$1582:$I$1586)=5,COUNT(E1585:F1585)=2),IF(E1585&gt;=F1585,"Ready","Budget below minima"),"Check inputs")</x:f>
        <x:v>Ready</x:v>
      </x:c>
      <x:c r="U1585" s="22" t="n">
        <x:f>IF(COUNT(I1585,M1585,N1585)=3,MAX(0,ROUND(I1585+M1585-N1585,2)),"n.a.")</x:f>
        <x:v>0</x:v>
      </x:c>
    </x:row>
    <x:row r="1586" ht="22" customHeight="1">
      <x:c r="A1586" s="2"/>
      <x:c r="B1586" s="2"/>
      <x:c r="C1586" s="27" t="n">
        <x:f>316</x:f>
        <x:v>316</x:v>
      </x:c>
      <x:c r="D1586" s="28" t="n">
        <x:f>IF(ISNUMBER('Inputs'!$D$7),EDATE('Inputs'!$D$7,315),"n.a.")</x:f>
        <x:v>55916</x:v>
      </x:c>
      <x:c r="E1586" s="26" t="n">
        <x:f>IF('Inputs'!$D$9&lt;&gt;"Ready","n.a.",IF(ISNUMBER('Inputs'!E334),IF('Inputs'!E334&gt;=0,'Inputs'!E334,"n.a."),IF('Inputs'!E334="",'Inputs'!$D$6,"n.a.")))</x:f>
        <x:v>500</x:v>
      </x:c>
      <x:c r="F1586" s="22" t="n">
        <x:f>IF(COUNT($N$1582:$N$1586)=5,SUM($N$1582:$N$1586),"n.a.")</x:f>
        <x:v>0</x:v>
      </x:c>
      <x:c r="G1586" s="22" t="n">
        <x:f>IF(COUNT(E1586:F1586)=2,MAX(0,E1586-F1586),"n.a.")</x:f>
        <x:v>500</x:v>
      </x:c>
      <x:c r="H1586" s="26" t="str">
        <x:f>'Inputs'!C15</x:f>
        <x:v>Unused 5</x:v>
      </x:c>
      <x:c r="I1586" s="26" t="n">
        <x:f>S1581</x:f>
        <x:v>0</x:v>
      </x:c>
      <x:c r="J1586" s="29" t="n">
        <x:f>IF('Inputs'!$D$9="Ready",'Inputs'!E15,"n.a.")</x:f>
        <x:v>0</x:v>
      </x:c>
      <x:c r="K1586" s="26" t="n">
        <x:f>IF('Inputs'!$D$9="Ready",'Inputs'!F15,"n.a.")</x:f>
        <x:v>0</x:v>
      </x:c>
      <x:c r="L1586" s="29" t="n">
        <x:f>IF('Inputs'!$D$9="Ready",'Inputs'!G15,"n.a.")</x:f>
        <x:v>0</x:v>
      </x:c>
      <x:c r="M1586" s="22" t="n">
        <x:f>IF(COUNT(I1586:L1586)=4,ROUND(I1586*J1586/12,2),"n.a.")</x:f>
        <x:v>0</x:v>
      </x:c>
      <x:c r="N1586" s="22" t="n">
        <x:f>IF(COUNT(I1586:M1586)=5,MIN(I1586+M1586,ROUND(MAX(K1586,I1586*L1586+M1586),2)),"n.a.")</x:f>
        <x:v>0</x:v>
      </x:c>
      <x:c r="O1586" s="30" t="n">
        <x:f>IF(COUNT($I$1582:$I$1586)&lt;&gt;5,"n.a.",IF(I1586=0,6,IF('Inputs'!$D$5=1,COUNTIFS($I$1582:$I$1586,"&gt;0",$I$1582:$I$1586,"&lt;"&amp;I1586)+COUNTIFS($I$1582:I1586,I1586),COUNTIFS($I$1582:$I$1586,"&gt;0",$J$1582:$J$1586,"&gt;"&amp;J1586)+COUNTIFS($I$1582:I1586,"&gt;0",$J$1582:J1586,J1586))))</x:f>
        <x:v>6</x:v>
      </x:c>
      <x:c r="P1586" s="22" t="n">
        <x:f>IF(T1586="Ready",MIN(U1586,MAX(0,G1586-SUMIFS($U$1582:$U$1586,$O$1582:$O$1586,"&lt;"&amp;O1586))),"n.a.")</x:f>
        <x:v>0</x:v>
      </x:c>
      <x:c r="Q1586" s="22" t="n">
        <x:f>IF(T1586="Ready",ROUND(N1586+P1586,2),"n.a.")</x:f>
        <x:v>0</x:v>
      </x:c>
      <x:c r="R1586" s="22" t="n">
        <x:f>IF(T1586="Ready",ROUND(Q1586-M1586,2),"n.a.")</x:f>
        <x:v>0</x:v>
      </x:c>
      <x:c r="S1586" s="22" t="n">
        <x:f>IF(T1586="Ready",MAX(0,ROUND(I1586+M1586-Q1586,2)),"n.a.")</x:f>
        <x:v>0</x:v>
      </x:c>
      <x:c r="T1586" s="22" t="str">
        <x:f>IF(AND(COUNT($I$1582:$I$1586)=5,COUNT(E1586:F1586)=2),IF(E1586&gt;=F1586,"Ready","Budget below minima"),"Check inputs")</x:f>
        <x:v>Ready</x:v>
      </x:c>
      <x:c r="U1586" s="22" t="n">
        <x:f>IF(COUNT(I1586,M1586,N1586)=3,MAX(0,ROUND(I1586+M1586-N1586,2)),"n.a.")</x:f>
        <x:v>0</x:v>
      </x:c>
    </x:row>
    <x:row r="1587" ht="22" customHeight="1">
      <x:c r="A1587" s="2"/>
      <x:c r="B1587" s="2"/>
      <x:c r="C1587" s="27" t="n">
        <x:f>317</x:f>
        <x:v>317</x:v>
      </x:c>
      <x:c r="D1587" s="28" t="n">
        <x:f>IF(ISNUMBER('Inputs'!$D$7),EDATE('Inputs'!$D$7,316),"n.a.")</x:f>
        <x:v>55944</x:v>
      </x:c>
      <x:c r="E1587" s="26" t="n">
        <x:f>IF('Inputs'!$D$9&lt;&gt;"Ready","n.a.",IF(ISNUMBER('Inputs'!E335),IF('Inputs'!E335&gt;=0,'Inputs'!E335,"n.a."),IF('Inputs'!E335="",'Inputs'!$D$6,"n.a.")))</x:f>
        <x:v>500</x:v>
      </x:c>
      <x:c r="F1587" s="22" t="n">
        <x:f>IF(COUNT($N$1587:$N$1591)=5,SUM($N$1587:$N$1591),"n.a.")</x:f>
        <x:v>0</x:v>
      </x:c>
      <x:c r="G1587" s="22" t="n">
        <x:f>IF(COUNT(E1587:F1587)=2,MAX(0,E1587-F1587),"n.a.")</x:f>
        <x:v>500</x:v>
      </x:c>
      <x:c r="H1587" s="26" t="str">
        <x:f>'Inputs'!C11</x:f>
        <x:v>Card A</x:v>
      </x:c>
      <x:c r="I1587" s="26" t="n">
        <x:f>S1582</x:f>
        <x:v>0</x:v>
      </x:c>
      <x:c r="J1587" s="29" t="n">
        <x:f>IF('Inputs'!$D$9="Ready",'Inputs'!E11,"n.a.")</x:f>
        <x:v>0.24</x:v>
      </x:c>
      <x:c r="K1587" s="26" t="n">
        <x:f>IF('Inputs'!$D$9="Ready",'Inputs'!F11,"n.a.")</x:f>
        <x:v>35</x:v>
      </x:c>
      <x:c r="L1587" s="29" t="n">
        <x:f>IF('Inputs'!$D$9="Ready",'Inputs'!G11,"n.a.")</x:f>
        <x:v>0.02</x:v>
      </x:c>
      <x:c r="M1587" s="22" t="n">
        <x:f>IF(COUNT(I1587:L1587)=4,ROUND(I1587*J1587/12,2),"n.a.")</x:f>
        <x:v>0</x:v>
      </x:c>
      <x:c r="N1587" s="22" t="n">
        <x:f>IF(COUNT(I1587:M1587)=5,MIN(I1587+M1587,ROUND(MAX(K1587,I1587*L1587+M1587),2)),"n.a.")</x:f>
        <x:v>0</x:v>
      </x:c>
      <x:c r="O1587" s="30" t="n">
        <x:f>IF(COUNT($I$1587:$I$1591)&lt;&gt;5,"n.a.",IF(I1587=0,6,IF('Inputs'!$D$5=1,COUNTIFS($I$1587:$I$1591,"&gt;0",$I$1587:$I$1591,"&lt;"&amp;I1587)+COUNTIFS($I$1587:I1587,I1587),COUNTIFS($I$1587:$I$1591,"&gt;0",$J$1587:$J$1591,"&gt;"&amp;J1587)+COUNTIFS($I$1587:I1587,"&gt;0",$J$1587:J1587,J1587))))</x:f>
        <x:v>6</x:v>
      </x:c>
      <x:c r="P1587" s="22" t="n">
        <x:f>IF(T1587="Ready",MIN(U1587,MAX(0,G1587-SUMIFS($U$1587:$U$1591,$O$1587:$O$1591,"&lt;"&amp;O1587))),"n.a.")</x:f>
        <x:v>0</x:v>
      </x:c>
      <x:c r="Q1587" s="22" t="n">
        <x:f>IF(T1587="Ready",ROUND(N1587+P1587,2),"n.a.")</x:f>
        <x:v>0</x:v>
      </x:c>
      <x:c r="R1587" s="22" t="n">
        <x:f>IF(T1587="Ready",ROUND(Q1587-M1587,2),"n.a.")</x:f>
        <x:v>0</x:v>
      </x:c>
      <x:c r="S1587" s="22" t="n">
        <x:f>IF(T1587="Ready",MAX(0,ROUND(I1587+M1587-Q1587,2)),"n.a.")</x:f>
        <x:v>0</x:v>
      </x:c>
      <x:c r="T1587" s="22" t="str">
        <x:f>IF(AND(COUNT($I$1587:$I$1591)=5,COUNT(E1587:F1587)=2),IF(E1587&gt;=F1587,"Ready","Budget below minima"),"Check inputs")</x:f>
        <x:v>Ready</x:v>
      </x:c>
      <x:c r="U1587" s="22" t="n">
        <x:f>IF(COUNT(I1587,M1587,N1587)=3,MAX(0,ROUND(I1587+M1587-N1587,2)),"n.a.")</x:f>
        <x:v>0</x:v>
      </x:c>
    </x:row>
    <x:row r="1588" ht="22" customHeight="1">
      <x:c r="A1588" s="2"/>
      <x:c r="B1588" s="2"/>
      <x:c r="C1588" s="27" t="n">
        <x:f>317</x:f>
        <x:v>317</x:v>
      </x:c>
      <x:c r="D1588" s="28" t="n">
        <x:f>IF(ISNUMBER('Inputs'!$D$7),EDATE('Inputs'!$D$7,316),"n.a.")</x:f>
        <x:v>55944</x:v>
      </x:c>
      <x:c r="E1588" s="26" t="n">
        <x:f>IF('Inputs'!$D$9&lt;&gt;"Ready","n.a.",IF(ISNUMBER('Inputs'!E335),IF('Inputs'!E335&gt;=0,'Inputs'!E335,"n.a."),IF('Inputs'!E335="",'Inputs'!$D$6,"n.a.")))</x:f>
        <x:v>500</x:v>
      </x:c>
      <x:c r="F1588" s="22" t="n">
        <x:f>IF(COUNT($N$1587:$N$1591)=5,SUM($N$1587:$N$1591),"n.a.")</x:f>
        <x:v>0</x:v>
      </x:c>
      <x:c r="G1588" s="22" t="n">
        <x:f>IF(COUNT(E1588:F1588)=2,MAX(0,E1588-F1588),"n.a.")</x:f>
        <x:v>500</x:v>
      </x:c>
      <x:c r="H1588" s="26" t="str">
        <x:f>'Inputs'!C12</x:f>
        <x:v>Card B</x:v>
      </x:c>
      <x:c r="I1588" s="26" t="n">
        <x:f>S1583</x:f>
        <x:v>0</x:v>
      </x:c>
      <x:c r="J1588" s="29" t="n">
        <x:f>IF('Inputs'!$D$9="Ready",'Inputs'!E12,"n.a.")</x:f>
        <x:v>0.18</x:v>
      </x:c>
      <x:c r="K1588" s="26" t="n">
        <x:f>IF('Inputs'!$D$9="Ready",'Inputs'!F12,"n.a.")</x:f>
        <x:v>60</x:v>
      </x:c>
      <x:c r="L1588" s="29" t="n">
        <x:f>IF('Inputs'!$D$9="Ready",'Inputs'!G12,"n.a.")</x:f>
        <x:v>0.02</x:v>
      </x:c>
      <x:c r="M1588" s="22" t="n">
        <x:f>IF(COUNT(I1588:L1588)=4,ROUND(I1588*J1588/12,2),"n.a.")</x:f>
        <x:v>0</x:v>
      </x:c>
      <x:c r="N1588" s="22" t="n">
        <x:f>IF(COUNT(I1588:M1588)=5,MIN(I1588+M1588,ROUND(MAX(K1588,I1588*L1588+M1588),2)),"n.a.")</x:f>
        <x:v>0</x:v>
      </x:c>
      <x:c r="O1588" s="30" t="n">
        <x:f>IF(COUNT($I$1587:$I$1591)&lt;&gt;5,"n.a.",IF(I1588=0,6,IF('Inputs'!$D$5=1,COUNTIFS($I$1587:$I$1591,"&gt;0",$I$1587:$I$1591,"&lt;"&amp;I1588)+COUNTIFS($I$1587:I1588,I1588),COUNTIFS($I$1587:$I$1591,"&gt;0",$J$1587:$J$1591,"&gt;"&amp;J1588)+COUNTIFS($I$1587:I1588,"&gt;0",$J$1587:J1588,J1588))))</x:f>
        <x:v>6</x:v>
      </x:c>
      <x:c r="P1588" s="22" t="n">
        <x:f>IF(T1588="Ready",MIN(U1588,MAX(0,G1588-SUMIFS($U$1587:$U$1591,$O$1587:$O$1591,"&lt;"&amp;O1588))),"n.a.")</x:f>
        <x:v>0</x:v>
      </x:c>
      <x:c r="Q1588" s="22" t="n">
        <x:f>IF(T1588="Ready",ROUND(N1588+P1588,2),"n.a.")</x:f>
        <x:v>0</x:v>
      </x:c>
      <x:c r="R1588" s="22" t="n">
        <x:f>IF(T1588="Ready",ROUND(Q1588-M1588,2),"n.a.")</x:f>
        <x:v>0</x:v>
      </x:c>
      <x:c r="S1588" s="22" t="n">
        <x:f>IF(T1588="Ready",MAX(0,ROUND(I1588+M1588-Q1588,2)),"n.a.")</x:f>
        <x:v>0</x:v>
      </x:c>
      <x:c r="T1588" s="22" t="str">
        <x:f>IF(AND(COUNT($I$1587:$I$1591)=5,COUNT(E1588:F1588)=2),IF(E1588&gt;=F1588,"Ready","Budget below minima"),"Check inputs")</x:f>
        <x:v>Ready</x:v>
      </x:c>
      <x:c r="U1588" s="22" t="n">
        <x:f>IF(COUNT(I1588,M1588,N1588)=3,MAX(0,ROUND(I1588+M1588-N1588,2)),"n.a.")</x:f>
        <x:v>0</x:v>
      </x:c>
    </x:row>
    <x:row r="1589" ht="22" customHeight="1">
      <x:c r="A1589" s="2"/>
      <x:c r="B1589" s="2"/>
      <x:c r="C1589" s="27" t="n">
        <x:f>317</x:f>
        <x:v>317</x:v>
      </x:c>
      <x:c r="D1589" s="28" t="n">
        <x:f>IF(ISNUMBER('Inputs'!$D$7),EDATE('Inputs'!$D$7,316),"n.a.")</x:f>
        <x:v>55944</x:v>
      </x:c>
      <x:c r="E1589" s="26" t="n">
        <x:f>IF('Inputs'!$D$9&lt;&gt;"Ready","n.a.",IF(ISNUMBER('Inputs'!E335),IF('Inputs'!E335&gt;=0,'Inputs'!E335,"n.a."),IF('Inputs'!E335="",'Inputs'!$D$6,"n.a.")))</x:f>
        <x:v>500</x:v>
      </x:c>
      <x:c r="F1589" s="22" t="n">
        <x:f>IF(COUNT($N$1587:$N$1591)=5,SUM($N$1587:$N$1591),"n.a.")</x:f>
        <x:v>0</x:v>
      </x:c>
      <x:c r="G1589" s="22" t="n">
        <x:f>IF(COUNT(E1589:F1589)=2,MAX(0,E1589-F1589),"n.a.")</x:f>
        <x:v>500</x:v>
      </x:c>
      <x:c r="H1589" s="26" t="str">
        <x:f>'Inputs'!C13</x:f>
        <x:v>Loan C</x:v>
      </x:c>
      <x:c r="I1589" s="26" t="n">
        <x:f>S1584</x:f>
        <x:v>0</x:v>
      </x:c>
      <x:c r="J1589" s="29" t="n">
        <x:f>IF('Inputs'!$D$9="Ready",'Inputs'!E13,"n.a.")</x:f>
        <x:v>0.08</x:v>
      </x:c>
      <x:c r="K1589" s="26" t="n">
        <x:f>IF('Inputs'!$D$9="Ready",'Inputs'!F13,"n.a.")</x:f>
        <x:v>150</x:v>
      </x:c>
      <x:c r="L1589" s="29" t="n">
        <x:f>IF('Inputs'!$D$9="Ready",'Inputs'!G13,"n.a.")</x:f>
        <x:v>0</x:v>
      </x:c>
      <x:c r="M1589" s="22" t="n">
        <x:f>IF(COUNT(I1589:L1589)=4,ROUND(I1589*J1589/12,2),"n.a.")</x:f>
        <x:v>0</x:v>
      </x:c>
      <x:c r="N1589" s="22" t="n">
        <x:f>IF(COUNT(I1589:M1589)=5,MIN(I1589+M1589,ROUND(MAX(K1589,I1589*L1589+M1589),2)),"n.a.")</x:f>
        <x:v>0</x:v>
      </x:c>
      <x:c r="O1589" s="30" t="n">
        <x:f>IF(COUNT($I$1587:$I$1591)&lt;&gt;5,"n.a.",IF(I1589=0,6,IF('Inputs'!$D$5=1,COUNTIFS($I$1587:$I$1591,"&gt;0",$I$1587:$I$1591,"&lt;"&amp;I1589)+COUNTIFS($I$1587:I1589,I1589),COUNTIFS($I$1587:$I$1591,"&gt;0",$J$1587:$J$1591,"&gt;"&amp;J1589)+COUNTIFS($I$1587:I1589,"&gt;0",$J$1587:J1589,J1589))))</x:f>
        <x:v>6</x:v>
      </x:c>
      <x:c r="P1589" s="22" t="n">
        <x:f>IF(T1589="Ready",MIN(U1589,MAX(0,G1589-SUMIFS($U$1587:$U$1591,$O$1587:$O$1591,"&lt;"&amp;O1589))),"n.a.")</x:f>
        <x:v>0</x:v>
      </x:c>
      <x:c r="Q1589" s="22" t="n">
        <x:f>IF(T1589="Ready",ROUND(N1589+P1589,2),"n.a.")</x:f>
        <x:v>0</x:v>
      </x:c>
      <x:c r="R1589" s="22" t="n">
        <x:f>IF(T1589="Ready",ROUND(Q1589-M1589,2),"n.a.")</x:f>
        <x:v>0</x:v>
      </x:c>
      <x:c r="S1589" s="22" t="n">
        <x:f>IF(T1589="Ready",MAX(0,ROUND(I1589+M1589-Q1589,2)),"n.a.")</x:f>
        <x:v>0</x:v>
      </x:c>
      <x:c r="T1589" s="22" t="str">
        <x:f>IF(AND(COUNT($I$1587:$I$1591)=5,COUNT(E1589:F1589)=2),IF(E1589&gt;=F1589,"Ready","Budget below minima"),"Check inputs")</x:f>
        <x:v>Ready</x:v>
      </x:c>
      <x:c r="U1589" s="22" t="n">
        <x:f>IF(COUNT(I1589,M1589,N1589)=3,MAX(0,ROUND(I1589+M1589-N1589,2)),"n.a.")</x:f>
        <x:v>0</x:v>
      </x:c>
    </x:row>
    <x:row r="1590" ht="22" customHeight="1">
      <x:c r="A1590" s="2"/>
      <x:c r="B1590" s="2"/>
      <x:c r="C1590" s="27" t="n">
        <x:f>317</x:f>
        <x:v>317</x:v>
      </x:c>
      <x:c r="D1590" s="28" t="n">
        <x:f>IF(ISNUMBER('Inputs'!$D$7),EDATE('Inputs'!$D$7,316),"n.a.")</x:f>
        <x:v>55944</x:v>
      </x:c>
      <x:c r="E1590" s="26" t="n">
        <x:f>IF('Inputs'!$D$9&lt;&gt;"Ready","n.a.",IF(ISNUMBER('Inputs'!E335),IF('Inputs'!E335&gt;=0,'Inputs'!E335,"n.a."),IF('Inputs'!E335="",'Inputs'!$D$6,"n.a.")))</x:f>
        <x:v>500</x:v>
      </x:c>
      <x:c r="F1590" s="22" t="n">
        <x:f>IF(COUNT($N$1587:$N$1591)=5,SUM($N$1587:$N$1591),"n.a.")</x:f>
        <x:v>0</x:v>
      </x:c>
      <x:c r="G1590" s="22" t="n">
        <x:f>IF(COUNT(E1590:F1590)=2,MAX(0,E1590-F1590),"n.a.")</x:f>
        <x:v>500</x:v>
      </x:c>
      <x:c r="H1590" s="26" t="str">
        <x:f>'Inputs'!C14</x:f>
        <x:v>Unused 4</x:v>
      </x:c>
      <x:c r="I1590" s="26" t="n">
        <x:f>S1585</x:f>
        <x:v>0</x:v>
      </x:c>
      <x:c r="J1590" s="29" t="n">
        <x:f>IF('Inputs'!$D$9="Ready",'Inputs'!E14,"n.a.")</x:f>
        <x:v>0</x:v>
      </x:c>
      <x:c r="K1590" s="26" t="n">
        <x:f>IF('Inputs'!$D$9="Ready",'Inputs'!F14,"n.a.")</x:f>
        <x:v>0</x:v>
      </x:c>
      <x:c r="L1590" s="29" t="n">
        <x:f>IF('Inputs'!$D$9="Ready",'Inputs'!G14,"n.a.")</x:f>
        <x:v>0</x:v>
      </x:c>
      <x:c r="M1590" s="22" t="n">
        <x:f>IF(COUNT(I1590:L1590)=4,ROUND(I1590*J1590/12,2),"n.a.")</x:f>
        <x:v>0</x:v>
      </x:c>
      <x:c r="N1590" s="22" t="n">
        <x:f>IF(COUNT(I1590:M1590)=5,MIN(I1590+M1590,ROUND(MAX(K1590,I1590*L1590+M1590),2)),"n.a.")</x:f>
        <x:v>0</x:v>
      </x:c>
      <x:c r="O1590" s="30" t="n">
        <x:f>IF(COUNT($I$1587:$I$1591)&lt;&gt;5,"n.a.",IF(I1590=0,6,IF('Inputs'!$D$5=1,COUNTIFS($I$1587:$I$1591,"&gt;0",$I$1587:$I$1591,"&lt;"&amp;I1590)+COUNTIFS($I$1587:I1590,I1590),COUNTIFS($I$1587:$I$1591,"&gt;0",$J$1587:$J$1591,"&gt;"&amp;J1590)+COUNTIFS($I$1587:I1590,"&gt;0",$J$1587:J1590,J1590))))</x:f>
        <x:v>6</x:v>
      </x:c>
      <x:c r="P1590" s="22" t="n">
        <x:f>IF(T1590="Ready",MIN(U1590,MAX(0,G1590-SUMIFS($U$1587:$U$1591,$O$1587:$O$1591,"&lt;"&amp;O1590))),"n.a.")</x:f>
        <x:v>0</x:v>
      </x:c>
      <x:c r="Q1590" s="22" t="n">
        <x:f>IF(T1590="Ready",ROUND(N1590+P1590,2),"n.a.")</x:f>
        <x:v>0</x:v>
      </x:c>
      <x:c r="R1590" s="22" t="n">
        <x:f>IF(T1590="Ready",ROUND(Q1590-M1590,2),"n.a.")</x:f>
        <x:v>0</x:v>
      </x:c>
      <x:c r="S1590" s="22" t="n">
        <x:f>IF(T1590="Ready",MAX(0,ROUND(I1590+M1590-Q1590,2)),"n.a.")</x:f>
        <x:v>0</x:v>
      </x:c>
      <x:c r="T1590" s="22" t="str">
        <x:f>IF(AND(COUNT($I$1587:$I$1591)=5,COUNT(E1590:F1590)=2),IF(E1590&gt;=F1590,"Ready","Budget below minima"),"Check inputs")</x:f>
        <x:v>Ready</x:v>
      </x:c>
      <x:c r="U1590" s="22" t="n">
        <x:f>IF(COUNT(I1590,M1590,N1590)=3,MAX(0,ROUND(I1590+M1590-N1590,2)),"n.a.")</x:f>
        <x:v>0</x:v>
      </x:c>
    </x:row>
    <x:row r="1591" ht="22" customHeight="1">
      <x:c r="A1591" s="2"/>
      <x:c r="B1591" s="2"/>
      <x:c r="C1591" s="27" t="n">
        <x:f>317</x:f>
        <x:v>317</x:v>
      </x:c>
      <x:c r="D1591" s="28" t="n">
        <x:f>IF(ISNUMBER('Inputs'!$D$7),EDATE('Inputs'!$D$7,316),"n.a.")</x:f>
        <x:v>55944</x:v>
      </x:c>
      <x:c r="E1591" s="26" t="n">
        <x:f>IF('Inputs'!$D$9&lt;&gt;"Ready","n.a.",IF(ISNUMBER('Inputs'!E335),IF('Inputs'!E335&gt;=0,'Inputs'!E335,"n.a."),IF('Inputs'!E335="",'Inputs'!$D$6,"n.a.")))</x:f>
        <x:v>500</x:v>
      </x:c>
      <x:c r="F1591" s="22" t="n">
        <x:f>IF(COUNT($N$1587:$N$1591)=5,SUM($N$1587:$N$1591),"n.a.")</x:f>
        <x:v>0</x:v>
      </x:c>
      <x:c r="G1591" s="22" t="n">
        <x:f>IF(COUNT(E1591:F1591)=2,MAX(0,E1591-F1591),"n.a.")</x:f>
        <x:v>500</x:v>
      </x:c>
      <x:c r="H1591" s="26" t="str">
        <x:f>'Inputs'!C15</x:f>
        <x:v>Unused 5</x:v>
      </x:c>
      <x:c r="I1591" s="26" t="n">
        <x:f>S1586</x:f>
        <x:v>0</x:v>
      </x:c>
      <x:c r="J1591" s="29" t="n">
        <x:f>IF('Inputs'!$D$9="Ready",'Inputs'!E15,"n.a.")</x:f>
        <x:v>0</x:v>
      </x:c>
      <x:c r="K1591" s="26" t="n">
        <x:f>IF('Inputs'!$D$9="Ready",'Inputs'!F15,"n.a.")</x:f>
        <x:v>0</x:v>
      </x:c>
      <x:c r="L1591" s="29" t="n">
        <x:f>IF('Inputs'!$D$9="Ready",'Inputs'!G15,"n.a.")</x:f>
        <x:v>0</x:v>
      </x:c>
      <x:c r="M1591" s="22" t="n">
        <x:f>IF(COUNT(I1591:L1591)=4,ROUND(I1591*J1591/12,2),"n.a.")</x:f>
        <x:v>0</x:v>
      </x:c>
      <x:c r="N1591" s="22" t="n">
        <x:f>IF(COUNT(I1591:M1591)=5,MIN(I1591+M1591,ROUND(MAX(K1591,I1591*L1591+M1591),2)),"n.a.")</x:f>
        <x:v>0</x:v>
      </x:c>
      <x:c r="O1591" s="30" t="n">
        <x:f>IF(COUNT($I$1587:$I$1591)&lt;&gt;5,"n.a.",IF(I1591=0,6,IF('Inputs'!$D$5=1,COUNTIFS($I$1587:$I$1591,"&gt;0",$I$1587:$I$1591,"&lt;"&amp;I1591)+COUNTIFS($I$1587:I1591,I1591),COUNTIFS($I$1587:$I$1591,"&gt;0",$J$1587:$J$1591,"&gt;"&amp;J1591)+COUNTIFS($I$1587:I1591,"&gt;0",$J$1587:J1591,J1591))))</x:f>
        <x:v>6</x:v>
      </x:c>
      <x:c r="P1591" s="22" t="n">
        <x:f>IF(T1591="Ready",MIN(U1591,MAX(0,G1591-SUMIFS($U$1587:$U$1591,$O$1587:$O$1591,"&lt;"&amp;O1591))),"n.a.")</x:f>
        <x:v>0</x:v>
      </x:c>
      <x:c r="Q1591" s="22" t="n">
        <x:f>IF(T1591="Ready",ROUND(N1591+P1591,2),"n.a.")</x:f>
        <x:v>0</x:v>
      </x:c>
      <x:c r="R1591" s="22" t="n">
        <x:f>IF(T1591="Ready",ROUND(Q1591-M1591,2),"n.a.")</x:f>
        <x:v>0</x:v>
      </x:c>
      <x:c r="S1591" s="22" t="n">
        <x:f>IF(T1591="Ready",MAX(0,ROUND(I1591+M1591-Q1591,2)),"n.a.")</x:f>
        <x:v>0</x:v>
      </x:c>
      <x:c r="T1591" s="22" t="str">
        <x:f>IF(AND(COUNT($I$1587:$I$1591)=5,COUNT(E1591:F1591)=2),IF(E1591&gt;=F1591,"Ready","Budget below minima"),"Check inputs")</x:f>
        <x:v>Ready</x:v>
      </x:c>
      <x:c r="U1591" s="22" t="n">
        <x:f>IF(COUNT(I1591,M1591,N1591)=3,MAX(0,ROUND(I1591+M1591-N1591,2)),"n.a.")</x:f>
        <x:v>0</x:v>
      </x:c>
    </x:row>
    <x:row r="1592" ht="22" customHeight="1">
      <x:c r="A1592" s="2"/>
      <x:c r="B1592" s="2"/>
      <x:c r="C1592" s="27" t="n">
        <x:f>318</x:f>
        <x:v>318</x:v>
      </x:c>
      <x:c r="D1592" s="28" t="n">
        <x:f>IF(ISNUMBER('Inputs'!$D$7),EDATE('Inputs'!$D$7,317),"n.a.")</x:f>
        <x:v>55975</x:v>
      </x:c>
      <x:c r="E1592" s="26" t="n">
        <x:f>IF('Inputs'!$D$9&lt;&gt;"Ready","n.a.",IF(ISNUMBER('Inputs'!E336),IF('Inputs'!E336&gt;=0,'Inputs'!E336,"n.a."),IF('Inputs'!E336="",'Inputs'!$D$6,"n.a.")))</x:f>
        <x:v>500</x:v>
      </x:c>
      <x:c r="F1592" s="22" t="n">
        <x:f>IF(COUNT($N$1592:$N$1596)=5,SUM($N$1592:$N$1596),"n.a.")</x:f>
        <x:v>0</x:v>
      </x:c>
      <x:c r="G1592" s="22" t="n">
        <x:f>IF(COUNT(E1592:F1592)=2,MAX(0,E1592-F1592),"n.a.")</x:f>
        <x:v>500</x:v>
      </x:c>
      <x:c r="H1592" s="26" t="str">
        <x:f>'Inputs'!C11</x:f>
        <x:v>Card A</x:v>
      </x:c>
      <x:c r="I1592" s="26" t="n">
        <x:f>S1587</x:f>
        <x:v>0</x:v>
      </x:c>
      <x:c r="J1592" s="29" t="n">
        <x:f>IF('Inputs'!$D$9="Ready",'Inputs'!E11,"n.a.")</x:f>
        <x:v>0.24</x:v>
      </x:c>
      <x:c r="K1592" s="26" t="n">
        <x:f>IF('Inputs'!$D$9="Ready",'Inputs'!F11,"n.a.")</x:f>
        <x:v>35</x:v>
      </x:c>
      <x:c r="L1592" s="29" t="n">
        <x:f>IF('Inputs'!$D$9="Ready",'Inputs'!G11,"n.a.")</x:f>
        <x:v>0.02</x:v>
      </x:c>
      <x:c r="M1592" s="22" t="n">
        <x:f>IF(COUNT(I1592:L1592)=4,ROUND(I1592*J1592/12,2),"n.a.")</x:f>
        <x:v>0</x:v>
      </x:c>
      <x:c r="N1592" s="22" t="n">
        <x:f>IF(COUNT(I1592:M1592)=5,MIN(I1592+M1592,ROUND(MAX(K1592,I1592*L1592+M1592),2)),"n.a.")</x:f>
        <x:v>0</x:v>
      </x:c>
      <x:c r="O1592" s="30" t="n">
        <x:f>IF(COUNT($I$1592:$I$1596)&lt;&gt;5,"n.a.",IF(I1592=0,6,IF('Inputs'!$D$5=1,COUNTIFS($I$1592:$I$1596,"&gt;0",$I$1592:$I$1596,"&lt;"&amp;I1592)+COUNTIFS($I$1592:I1592,I1592),COUNTIFS($I$1592:$I$1596,"&gt;0",$J$1592:$J$1596,"&gt;"&amp;J1592)+COUNTIFS($I$1592:I1592,"&gt;0",$J$1592:J1592,J1592))))</x:f>
        <x:v>6</x:v>
      </x:c>
      <x:c r="P1592" s="22" t="n">
        <x:f>IF(T1592="Ready",MIN(U1592,MAX(0,G1592-SUMIFS($U$1592:$U$1596,$O$1592:$O$1596,"&lt;"&amp;O1592))),"n.a.")</x:f>
        <x:v>0</x:v>
      </x:c>
      <x:c r="Q1592" s="22" t="n">
        <x:f>IF(T1592="Ready",ROUND(N1592+P1592,2),"n.a.")</x:f>
        <x:v>0</x:v>
      </x:c>
      <x:c r="R1592" s="22" t="n">
        <x:f>IF(T1592="Ready",ROUND(Q1592-M1592,2),"n.a.")</x:f>
        <x:v>0</x:v>
      </x:c>
      <x:c r="S1592" s="22" t="n">
        <x:f>IF(T1592="Ready",MAX(0,ROUND(I1592+M1592-Q1592,2)),"n.a.")</x:f>
        <x:v>0</x:v>
      </x:c>
      <x:c r="T1592" s="22" t="str">
        <x:f>IF(AND(COUNT($I$1592:$I$1596)=5,COUNT(E1592:F1592)=2),IF(E1592&gt;=F1592,"Ready","Budget below minima"),"Check inputs")</x:f>
        <x:v>Ready</x:v>
      </x:c>
      <x:c r="U1592" s="22" t="n">
        <x:f>IF(COUNT(I1592,M1592,N1592)=3,MAX(0,ROUND(I1592+M1592-N1592,2)),"n.a.")</x:f>
        <x:v>0</x:v>
      </x:c>
    </x:row>
    <x:row r="1593" ht="22" customHeight="1">
      <x:c r="A1593" s="2"/>
      <x:c r="B1593" s="2"/>
      <x:c r="C1593" s="27" t="n">
        <x:f>318</x:f>
        <x:v>318</x:v>
      </x:c>
      <x:c r="D1593" s="28" t="n">
        <x:f>IF(ISNUMBER('Inputs'!$D$7),EDATE('Inputs'!$D$7,317),"n.a.")</x:f>
        <x:v>55975</x:v>
      </x:c>
      <x:c r="E1593" s="26" t="n">
        <x:f>IF('Inputs'!$D$9&lt;&gt;"Ready","n.a.",IF(ISNUMBER('Inputs'!E336),IF('Inputs'!E336&gt;=0,'Inputs'!E336,"n.a."),IF('Inputs'!E336="",'Inputs'!$D$6,"n.a.")))</x:f>
        <x:v>500</x:v>
      </x:c>
      <x:c r="F1593" s="22" t="n">
        <x:f>IF(COUNT($N$1592:$N$1596)=5,SUM($N$1592:$N$1596),"n.a.")</x:f>
        <x:v>0</x:v>
      </x:c>
      <x:c r="G1593" s="22" t="n">
        <x:f>IF(COUNT(E1593:F1593)=2,MAX(0,E1593-F1593),"n.a.")</x:f>
        <x:v>500</x:v>
      </x:c>
      <x:c r="H1593" s="26" t="str">
        <x:f>'Inputs'!C12</x:f>
        <x:v>Card B</x:v>
      </x:c>
      <x:c r="I1593" s="26" t="n">
        <x:f>S1588</x:f>
        <x:v>0</x:v>
      </x:c>
      <x:c r="J1593" s="29" t="n">
        <x:f>IF('Inputs'!$D$9="Ready",'Inputs'!E12,"n.a.")</x:f>
        <x:v>0.18</x:v>
      </x:c>
      <x:c r="K1593" s="26" t="n">
        <x:f>IF('Inputs'!$D$9="Ready",'Inputs'!F12,"n.a.")</x:f>
        <x:v>60</x:v>
      </x:c>
      <x:c r="L1593" s="29" t="n">
        <x:f>IF('Inputs'!$D$9="Ready",'Inputs'!G12,"n.a.")</x:f>
        <x:v>0.02</x:v>
      </x:c>
      <x:c r="M1593" s="22" t="n">
        <x:f>IF(COUNT(I1593:L1593)=4,ROUND(I1593*J1593/12,2),"n.a.")</x:f>
        <x:v>0</x:v>
      </x:c>
      <x:c r="N1593" s="22" t="n">
        <x:f>IF(COUNT(I1593:M1593)=5,MIN(I1593+M1593,ROUND(MAX(K1593,I1593*L1593+M1593),2)),"n.a.")</x:f>
        <x:v>0</x:v>
      </x:c>
      <x:c r="O1593" s="30" t="n">
        <x:f>IF(COUNT($I$1592:$I$1596)&lt;&gt;5,"n.a.",IF(I1593=0,6,IF('Inputs'!$D$5=1,COUNTIFS($I$1592:$I$1596,"&gt;0",$I$1592:$I$1596,"&lt;"&amp;I1593)+COUNTIFS($I$1592:I1593,I1593),COUNTIFS($I$1592:$I$1596,"&gt;0",$J$1592:$J$1596,"&gt;"&amp;J1593)+COUNTIFS($I$1592:I1593,"&gt;0",$J$1592:J1593,J1593))))</x:f>
        <x:v>6</x:v>
      </x:c>
      <x:c r="P1593" s="22" t="n">
        <x:f>IF(T1593="Ready",MIN(U1593,MAX(0,G1593-SUMIFS($U$1592:$U$1596,$O$1592:$O$1596,"&lt;"&amp;O1593))),"n.a.")</x:f>
        <x:v>0</x:v>
      </x:c>
      <x:c r="Q1593" s="22" t="n">
        <x:f>IF(T1593="Ready",ROUND(N1593+P1593,2),"n.a.")</x:f>
        <x:v>0</x:v>
      </x:c>
      <x:c r="R1593" s="22" t="n">
        <x:f>IF(T1593="Ready",ROUND(Q1593-M1593,2),"n.a.")</x:f>
        <x:v>0</x:v>
      </x:c>
      <x:c r="S1593" s="22" t="n">
        <x:f>IF(T1593="Ready",MAX(0,ROUND(I1593+M1593-Q1593,2)),"n.a.")</x:f>
        <x:v>0</x:v>
      </x:c>
      <x:c r="T1593" s="22" t="str">
        <x:f>IF(AND(COUNT($I$1592:$I$1596)=5,COUNT(E1593:F1593)=2),IF(E1593&gt;=F1593,"Ready","Budget below minima"),"Check inputs")</x:f>
        <x:v>Ready</x:v>
      </x:c>
      <x:c r="U1593" s="22" t="n">
        <x:f>IF(COUNT(I1593,M1593,N1593)=3,MAX(0,ROUND(I1593+M1593-N1593,2)),"n.a.")</x:f>
        <x:v>0</x:v>
      </x:c>
    </x:row>
    <x:row r="1594" ht="22" customHeight="1">
      <x:c r="A1594" s="2"/>
      <x:c r="B1594" s="2"/>
      <x:c r="C1594" s="27" t="n">
        <x:f>318</x:f>
        <x:v>318</x:v>
      </x:c>
      <x:c r="D1594" s="28" t="n">
        <x:f>IF(ISNUMBER('Inputs'!$D$7),EDATE('Inputs'!$D$7,317),"n.a.")</x:f>
        <x:v>55975</x:v>
      </x:c>
      <x:c r="E1594" s="26" t="n">
        <x:f>IF('Inputs'!$D$9&lt;&gt;"Ready","n.a.",IF(ISNUMBER('Inputs'!E336),IF('Inputs'!E336&gt;=0,'Inputs'!E336,"n.a."),IF('Inputs'!E336="",'Inputs'!$D$6,"n.a.")))</x:f>
        <x:v>500</x:v>
      </x:c>
      <x:c r="F1594" s="22" t="n">
        <x:f>IF(COUNT($N$1592:$N$1596)=5,SUM($N$1592:$N$1596),"n.a.")</x:f>
        <x:v>0</x:v>
      </x:c>
      <x:c r="G1594" s="22" t="n">
        <x:f>IF(COUNT(E1594:F1594)=2,MAX(0,E1594-F1594),"n.a.")</x:f>
        <x:v>500</x:v>
      </x:c>
      <x:c r="H1594" s="26" t="str">
        <x:f>'Inputs'!C13</x:f>
        <x:v>Loan C</x:v>
      </x:c>
      <x:c r="I1594" s="26" t="n">
        <x:f>S1589</x:f>
        <x:v>0</x:v>
      </x:c>
      <x:c r="J1594" s="29" t="n">
        <x:f>IF('Inputs'!$D$9="Ready",'Inputs'!E13,"n.a.")</x:f>
        <x:v>0.08</x:v>
      </x:c>
      <x:c r="K1594" s="26" t="n">
        <x:f>IF('Inputs'!$D$9="Ready",'Inputs'!F13,"n.a.")</x:f>
        <x:v>150</x:v>
      </x:c>
      <x:c r="L1594" s="29" t="n">
        <x:f>IF('Inputs'!$D$9="Ready",'Inputs'!G13,"n.a.")</x:f>
        <x:v>0</x:v>
      </x:c>
      <x:c r="M1594" s="22" t="n">
        <x:f>IF(COUNT(I1594:L1594)=4,ROUND(I1594*J1594/12,2),"n.a.")</x:f>
        <x:v>0</x:v>
      </x:c>
      <x:c r="N1594" s="22" t="n">
        <x:f>IF(COUNT(I1594:M1594)=5,MIN(I1594+M1594,ROUND(MAX(K1594,I1594*L1594+M1594),2)),"n.a.")</x:f>
        <x:v>0</x:v>
      </x:c>
      <x:c r="O1594" s="30" t="n">
        <x:f>IF(COUNT($I$1592:$I$1596)&lt;&gt;5,"n.a.",IF(I1594=0,6,IF('Inputs'!$D$5=1,COUNTIFS($I$1592:$I$1596,"&gt;0",$I$1592:$I$1596,"&lt;"&amp;I1594)+COUNTIFS($I$1592:I1594,I1594),COUNTIFS($I$1592:$I$1596,"&gt;0",$J$1592:$J$1596,"&gt;"&amp;J1594)+COUNTIFS($I$1592:I1594,"&gt;0",$J$1592:J1594,J1594))))</x:f>
        <x:v>6</x:v>
      </x:c>
      <x:c r="P1594" s="22" t="n">
        <x:f>IF(T1594="Ready",MIN(U1594,MAX(0,G1594-SUMIFS($U$1592:$U$1596,$O$1592:$O$1596,"&lt;"&amp;O1594))),"n.a.")</x:f>
        <x:v>0</x:v>
      </x:c>
      <x:c r="Q1594" s="22" t="n">
        <x:f>IF(T1594="Ready",ROUND(N1594+P1594,2),"n.a.")</x:f>
        <x:v>0</x:v>
      </x:c>
      <x:c r="R1594" s="22" t="n">
        <x:f>IF(T1594="Ready",ROUND(Q1594-M1594,2),"n.a.")</x:f>
        <x:v>0</x:v>
      </x:c>
      <x:c r="S1594" s="22" t="n">
        <x:f>IF(T1594="Ready",MAX(0,ROUND(I1594+M1594-Q1594,2)),"n.a.")</x:f>
        <x:v>0</x:v>
      </x:c>
      <x:c r="T1594" s="22" t="str">
        <x:f>IF(AND(COUNT($I$1592:$I$1596)=5,COUNT(E1594:F1594)=2),IF(E1594&gt;=F1594,"Ready","Budget below minima"),"Check inputs")</x:f>
        <x:v>Ready</x:v>
      </x:c>
      <x:c r="U1594" s="22" t="n">
        <x:f>IF(COUNT(I1594,M1594,N1594)=3,MAX(0,ROUND(I1594+M1594-N1594,2)),"n.a.")</x:f>
        <x:v>0</x:v>
      </x:c>
    </x:row>
    <x:row r="1595" ht="22" customHeight="1">
      <x:c r="A1595" s="2"/>
      <x:c r="B1595" s="2"/>
      <x:c r="C1595" s="27" t="n">
        <x:f>318</x:f>
        <x:v>318</x:v>
      </x:c>
      <x:c r="D1595" s="28" t="n">
        <x:f>IF(ISNUMBER('Inputs'!$D$7),EDATE('Inputs'!$D$7,317),"n.a.")</x:f>
        <x:v>55975</x:v>
      </x:c>
      <x:c r="E1595" s="26" t="n">
        <x:f>IF('Inputs'!$D$9&lt;&gt;"Ready","n.a.",IF(ISNUMBER('Inputs'!E336),IF('Inputs'!E336&gt;=0,'Inputs'!E336,"n.a."),IF('Inputs'!E336="",'Inputs'!$D$6,"n.a.")))</x:f>
        <x:v>500</x:v>
      </x:c>
      <x:c r="F1595" s="22" t="n">
        <x:f>IF(COUNT($N$1592:$N$1596)=5,SUM($N$1592:$N$1596),"n.a.")</x:f>
        <x:v>0</x:v>
      </x:c>
      <x:c r="G1595" s="22" t="n">
        <x:f>IF(COUNT(E1595:F1595)=2,MAX(0,E1595-F1595),"n.a.")</x:f>
        <x:v>500</x:v>
      </x:c>
      <x:c r="H1595" s="26" t="str">
        <x:f>'Inputs'!C14</x:f>
        <x:v>Unused 4</x:v>
      </x:c>
      <x:c r="I1595" s="26" t="n">
        <x:f>S1590</x:f>
        <x:v>0</x:v>
      </x:c>
      <x:c r="J1595" s="29" t="n">
        <x:f>IF('Inputs'!$D$9="Ready",'Inputs'!E14,"n.a.")</x:f>
        <x:v>0</x:v>
      </x:c>
      <x:c r="K1595" s="26" t="n">
        <x:f>IF('Inputs'!$D$9="Ready",'Inputs'!F14,"n.a.")</x:f>
        <x:v>0</x:v>
      </x:c>
      <x:c r="L1595" s="29" t="n">
        <x:f>IF('Inputs'!$D$9="Ready",'Inputs'!G14,"n.a.")</x:f>
        <x:v>0</x:v>
      </x:c>
      <x:c r="M1595" s="22" t="n">
        <x:f>IF(COUNT(I1595:L1595)=4,ROUND(I1595*J1595/12,2),"n.a.")</x:f>
        <x:v>0</x:v>
      </x:c>
      <x:c r="N1595" s="22" t="n">
        <x:f>IF(COUNT(I1595:M1595)=5,MIN(I1595+M1595,ROUND(MAX(K1595,I1595*L1595+M1595),2)),"n.a.")</x:f>
        <x:v>0</x:v>
      </x:c>
      <x:c r="O1595" s="30" t="n">
        <x:f>IF(COUNT($I$1592:$I$1596)&lt;&gt;5,"n.a.",IF(I1595=0,6,IF('Inputs'!$D$5=1,COUNTIFS($I$1592:$I$1596,"&gt;0",$I$1592:$I$1596,"&lt;"&amp;I1595)+COUNTIFS($I$1592:I1595,I1595),COUNTIFS($I$1592:$I$1596,"&gt;0",$J$1592:$J$1596,"&gt;"&amp;J1595)+COUNTIFS($I$1592:I1595,"&gt;0",$J$1592:J1595,J1595))))</x:f>
        <x:v>6</x:v>
      </x:c>
      <x:c r="P1595" s="22" t="n">
        <x:f>IF(T1595="Ready",MIN(U1595,MAX(0,G1595-SUMIFS($U$1592:$U$1596,$O$1592:$O$1596,"&lt;"&amp;O1595))),"n.a.")</x:f>
        <x:v>0</x:v>
      </x:c>
      <x:c r="Q1595" s="22" t="n">
        <x:f>IF(T1595="Ready",ROUND(N1595+P1595,2),"n.a.")</x:f>
        <x:v>0</x:v>
      </x:c>
      <x:c r="R1595" s="22" t="n">
        <x:f>IF(T1595="Ready",ROUND(Q1595-M1595,2),"n.a.")</x:f>
        <x:v>0</x:v>
      </x:c>
      <x:c r="S1595" s="22" t="n">
        <x:f>IF(T1595="Ready",MAX(0,ROUND(I1595+M1595-Q1595,2)),"n.a.")</x:f>
        <x:v>0</x:v>
      </x:c>
      <x:c r="T1595" s="22" t="str">
        <x:f>IF(AND(COUNT($I$1592:$I$1596)=5,COUNT(E1595:F1595)=2),IF(E1595&gt;=F1595,"Ready","Budget below minima"),"Check inputs")</x:f>
        <x:v>Ready</x:v>
      </x:c>
      <x:c r="U1595" s="22" t="n">
        <x:f>IF(COUNT(I1595,M1595,N1595)=3,MAX(0,ROUND(I1595+M1595-N1595,2)),"n.a.")</x:f>
        <x:v>0</x:v>
      </x:c>
    </x:row>
    <x:row r="1596" ht="22" customHeight="1">
      <x:c r="A1596" s="2"/>
      <x:c r="B1596" s="2"/>
      <x:c r="C1596" s="27" t="n">
        <x:f>318</x:f>
        <x:v>318</x:v>
      </x:c>
      <x:c r="D1596" s="28" t="n">
        <x:f>IF(ISNUMBER('Inputs'!$D$7),EDATE('Inputs'!$D$7,317),"n.a.")</x:f>
        <x:v>55975</x:v>
      </x:c>
      <x:c r="E1596" s="26" t="n">
        <x:f>IF('Inputs'!$D$9&lt;&gt;"Ready","n.a.",IF(ISNUMBER('Inputs'!E336),IF('Inputs'!E336&gt;=0,'Inputs'!E336,"n.a."),IF('Inputs'!E336="",'Inputs'!$D$6,"n.a.")))</x:f>
        <x:v>500</x:v>
      </x:c>
      <x:c r="F1596" s="22" t="n">
        <x:f>IF(COUNT($N$1592:$N$1596)=5,SUM($N$1592:$N$1596),"n.a.")</x:f>
        <x:v>0</x:v>
      </x:c>
      <x:c r="G1596" s="22" t="n">
        <x:f>IF(COUNT(E1596:F1596)=2,MAX(0,E1596-F1596),"n.a.")</x:f>
        <x:v>500</x:v>
      </x:c>
      <x:c r="H1596" s="26" t="str">
        <x:f>'Inputs'!C15</x:f>
        <x:v>Unused 5</x:v>
      </x:c>
      <x:c r="I1596" s="26" t="n">
        <x:f>S1591</x:f>
        <x:v>0</x:v>
      </x:c>
      <x:c r="J1596" s="29" t="n">
        <x:f>IF('Inputs'!$D$9="Ready",'Inputs'!E15,"n.a.")</x:f>
        <x:v>0</x:v>
      </x:c>
      <x:c r="K1596" s="26" t="n">
        <x:f>IF('Inputs'!$D$9="Ready",'Inputs'!F15,"n.a.")</x:f>
        <x:v>0</x:v>
      </x:c>
      <x:c r="L1596" s="29" t="n">
        <x:f>IF('Inputs'!$D$9="Ready",'Inputs'!G15,"n.a.")</x:f>
        <x:v>0</x:v>
      </x:c>
      <x:c r="M1596" s="22" t="n">
        <x:f>IF(COUNT(I1596:L1596)=4,ROUND(I1596*J1596/12,2),"n.a.")</x:f>
        <x:v>0</x:v>
      </x:c>
      <x:c r="N1596" s="22" t="n">
        <x:f>IF(COUNT(I1596:M1596)=5,MIN(I1596+M1596,ROUND(MAX(K1596,I1596*L1596+M1596),2)),"n.a.")</x:f>
        <x:v>0</x:v>
      </x:c>
      <x:c r="O1596" s="30" t="n">
        <x:f>IF(COUNT($I$1592:$I$1596)&lt;&gt;5,"n.a.",IF(I1596=0,6,IF('Inputs'!$D$5=1,COUNTIFS($I$1592:$I$1596,"&gt;0",$I$1592:$I$1596,"&lt;"&amp;I1596)+COUNTIFS($I$1592:I1596,I1596),COUNTIFS($I$1592:$I$1596,"&gt;0",$J$1592:$J$1596,"&gt;"&amp;J1596)+COUNTIFS($I$1592:I1596,"&gt;0",$J$1592:J1596,J1596))))</x:f>
        <x:v>6</x:v>
      </x:c>
      <x:c r="P1596" s="22" t="n">
        <x:f>IF(T1596="Ready",MIN(U1596,MAX(0,G1596-SUMIFS($U$1592:$U$1596,$O$1592:$O$1596,"&lt;"&amp;O1596))),"n.a.")</x:f>
        <x:v>0</x:v>
      </x:c>
      <x:c r="Q1596" s="22" t="n">
        <x:f>IF(T1596="Ready",ROUND(N1596+P1596,2),"n.a.")</x:f>
        <x:v>0</x:v>
      </x:c>
      <x:c r="R1596" s="22" t="n">
        <x:f>IF(T1596="Ready",ROUND(Q1596-M1596,2),"n.a.")</x:f>
        <x:v>0</x:v>
      </x:c>
      <x:c r="S1596" s="22" t="n">
        <x:f>IF(T1596="Ready",MAX(0,ROUND(I1596+M1596-Q1596,2)),"n.a.")</x:f>
        <x:v>0</x:v>
      </x:c>
      <x:c r="T1596" s="22" t="str">
        <x:f>IF(AND(COUNT($I$1592:$I$1596)=5,COUNT(E1596:F1596)=2),IF(E1596&gt;=F1596,"Ready","Budget below minima"),"Check inputs")</x:f>
        <x:v>Ready</x:v>
      </x:c>
      <x:c r="U1596" s="22" t="n">
        <x:f>IF(COUNT(I1596,M1596,N1596)=3,MAX(0,ROUND(I1596+M1596-N1596,2)),"n.a.")</x:f>
        <x:v>0</x:v>
      </x:c>
    </x:row>
    <x:row r="1597" ht="22" customHeight="1">
      <x:c r="A1597" s="2"/>
      <x:c r="B1597" s="2"/>
      <x:c r="C1597" s="27" t="n">
        <x:f>319</x:f>
        <x:v>319</x:v>
      </x:c>
      <x:c r="D1597" s="28" t="n">
        <x:f>IF(ISNUMBER('Inputs'!$D$7),EDATE('Inputs'!$D$7,318),"n.a.")</x:f>
        <x:v>56005</x:v>
      </x:c>
      <x:c r="E1597" s="26" t="n">
        <x:f>IF('Inputs'!$D$9&lt;&gt;"Ready","n.a.",IF(ISNUMBER('Inputs'!E337),IF('Inputs'!E337&gt;=0,'Inputs'!E337,"n.a."),IF('Inputs'!E337="",'Inputs'!$D$6,"n.a.")))</x:f>
        <x:v>500</x:v>
      </x:c>
      <x:c r="F1597" s="22" t="n">
        <x:f>IF(COUNT($N$1597:$N$1601)=5,SUM($N$1597:$N$1601),"n.a.")</x:f>
        <x:v>0</x:v>
      </x:c>
      <x:c r="G1597" s="22" t="n">
        <x:f>IF(COUNT(E1597:F1597)=2,MAX(0,E1597-F1597),"n.a.")</x:f>
        <x:v>500</x:v>
      </x:c>
      <x:c r="H1597" s="26" t="str">
        <x:f>'Inputs'!C11</x:f>
        <x:v>Card A</x:v>
      </x:c>
      <x:c r="I1597" s="26" t="n">
        <x:f>S1592</x:f>
        <x:v>0</x:v>
      </x:c>
      <x:c r="J1597" s="29" t="n">
        <x:f>IF('Inputs'!$D$9="Ready",'Inputs'!E11,"n.a.")</x:f>
        <x:v>0.24</x:v>
      </x:c>
      <x:c r="K1597" s="26" t="n">
        <x:f>IF('Inputs'!$D$9="Ready",'Inputs'!F11,"n.a.")</x:f>
        <x:v>35</x:v>
      </x:c>
      <x:c r="L1597" s="29" t="n">
        <x:f>IF('Inputs'!$D$9="Ready",'Inputs'!G11,"n.a.")</x:f>
        <x:v>0.02</x:v>
      </x:c>
      <x:c r="M1597" s="22" t="n">
        <x:f>IF(COUNT(I1597:L1597)=4,ROUND(I1597*J1597/12,2),"n.a.")</x:f>
        <x:v>0</x:v>
      </x:c>
      <x:c r="N1597" s="22" t="n">
        <x:f>IF(COUNT(I1597:M1597)=5,MIN(I1597+M1597,ROUND(MAX(K1597,I1597*L1597+M1597),2)),"n.a.")</x:f>
        <x:v>0</x:v>
      </x:c>
      <x:c r="O1597" s="30" t="n">
        <x:f>IF(COUNT($I$1597:$I$1601)&lt;&gt;5,"n.a.",IF(I1597=0,6,IF('Inputs'!$D$5=1,COUNTIFS($I$1597:$I$1601,"&gt;0",$I$1597:$I$1601,"&lt;"&amp;I1597)+COUNTIFS($I$1597:I1597,I1597),COUNTIFS($I$1597:$I$1601,"&gt;0",$J$1597:$J$1601,"&gt;"&amp;J1597)+COUNTIFS($I$1597:I1597,"&gt;0",$J$1597:J1597,J1597))))</x:f>
        <x:v>6</x:v>
      </x:c>
      <x:c r="P1597" s="22" t="n">
        <x:f>IF(T1597="Ready",MIN(U1597,MAX(0,G1597-SUMIFS($U$1597:$U$1601,$O$1597:$O$1601,"&lt;"&amp;O1597))),"n.a.")</x:f>
        <x:v>0</x:v>
      </x:c>
      <x:c r="Q1597" s="22" t="n">
        <x:f>IF(T1597="Ready",ROUND(N1597+P1597,2),"n.a.")</x:f>
        <x:v>0</x:v>
      </x:c>
      <x:c r="R1597" s="22" t="n">
        <x:f>IF(T1597="Ready",ROUND(Q1597-M1597,2),"n.a.")</x:f>
        <x:v>0</x:v>
      </x:c>
      <x:c r="S1597" s="22" t="n">
        <x:f>IF(T1597="Ready",MAX(0,ROUND(I1597+M1597-Q1597,2)),"n.a.")</x:f>
        <x:v>0</x:v>
      </x:c>
      <x:c r="T1597" s="22" t="str">
        <x:f>IF(AND(COUNT($I$1597:$I$1601)=5,COUNT(E1597:F1597)=2),IF(E1597&gt;=F1597,"Ready","Budget below minima"),"Check inputs")</x:f>
        <x:v>Ready</x:v>
      </x:c>
      <x:c r="U1597" s="22" t="n">
        <x:f>IF(COUNT(I1597,M1597,N1597)=3,MAX(0,ROUND(I1597+M1597-N1597,2)),"n.a.")</x:f>
        <x:v>0</x:v>
      </x:c>
    </x:row>
    <x:row r="1598" ht="22" customHeight="1">
      <x:c r="A1598" s="2"/>
      <x:c r="B1598" s="2"/>
      <x:c r="C1598" s="27" t="n">
        <x:f>319</x:f>
        <x:v>319</x:v>
      </x:c>
      <x:c r="D1598" s="28" t="n">
        <x:f>IF(ISNUMBER('Inputs'!$D$7),EDATE('Inputs'!$D$7,318),"n.a.")</x:f>
        <x:v>56005</x:v>
      </x:c>
      <x:c r="E1598" s="26" t="n">
        <x:f>IF('Inputs'!$D$9&lt;&gt;"Ready","n.a.",IF(ISNUMBER('Inputs'!E337),IF('Inputs'!E337&gt;=0,'Inputs'!E337,"n.a."),IF('Inputs'!E337="",'Inputs'!$D$6,"n.a.")))</x:f>
        <x:v>500</x:v>
      </x:c>
      <x:c r="F1598" s="22" t="n">
        <x:f>IF(COUNT($N$1597:$N$1601)=5,SUM($N$1597:$N$1601),"n.a.")</x:f>
        <x:v>0</x:v>
      </x:c>
      <x:c r="G1598" s="22" t="n">
        <x:f>IF(COUNT(E1598:F1598)=2,MAX(0,E1598-F1598),"n.a.")</x:f>
        <x:v>500</x:v>
      </x:c>
      <x:c r="H1598" s="26" t="str">
        <x:f>'Inputs'!C12</x:f>
        <x:v>Card B</x:v>
      </x:c>
      <x:c r="I1598" s="26" t="n">
        <x:f>S1593</x:f>
        <x:v>0</x:v>
      </x:c>
      <x:c r="J1598" s="29" t="n">
        <x:f>IF('Inputs'!$D$9="Ready",'Inputs'!E12,"n.a.")</x:f>
        <x:v>0.18</x:v>
      </x:c>
      <x:c r="K1598" s="26" t="n">
        <x:f>IF('Inputs'!$D$9="Ready",'Inputs'!F12,"n.a.")</x:f>
        <x:v>60</x:v>
      </x:c>
      <x:c r="L1598" s="29" t="n">
        <x:f>IF('Inputs'!$D$9="Ready",'Inputs'!G12,"n.a.")</x:f>
        <x:v>0.02</x:v>
      </x:c>
      <x:c r="M1598" s="22" t="n">
        <x:f>IF(COUNT(I1598:L1598)=4,ROUND(I1598*J1598/12,2),"n.a.")</x:f>
        <x:v>0</x:v>
      </x:c>
      <x:c r="N1598" s="22" t="n">
        <x:f>IF(COUNT(I1598:M1598)=5,MIN(I1598+M1598,ROUND(MAX(K1598,I1598*L1598+M1598),2)),"n.a.")</x:f>
        <x:v>0</x:v>
      </x:c>
      <x:c r="O1598" s="30" t="n">
        <x:f>IF(COUNT($I$1597:$I$1601)&lt;&gt;5,"n.a.",IF(I1598=0,6,IF('Inputs'!$D$5=1,COUNTIFS($I$1597:$I$1601,"&gt;0",$I$1597:$I$1601,"&lt;"&amp;I1598)+COUNTIFS($I$1597:I1598,I1598),COUNTIFS($I$1597:$I$1601,"&gt;0",$J$1597:$J$1601,"&gt;"&amp;J1598)+COUNTIFS($I$1597:I1598,"&gt;0",$J$1597:J1598,J1598))))</x:f>
        <x:v>6</x:v>
      </x:c>
      <x:c r="P1598" s="22" t="n">
        <x:f>IF(T1598="Ready",MIN(U1598,MAX(0,G1598-SUMIFS($U$1597:$U$1601,$O$1597:$O$1601,"&lt;"&amp;O1598))),"n.a.")</x:f>
        <x:v>0</x:v>
      </x:c>
      <x:c r="Q1598" s="22" t="n">
        <x:f>IF(T1598="Ready",ROUND(N1598+P1598,2),"n.a.")</x:f>
        <x:v>0</x:v>
      </x:c>
      <x:c r="R1598" s="22" t="n">
        <x:f>IF(T1598="Ready",ROUND(Q1598-M1598,2),"n.a.")</x:f>
        <x:v>0</x:v>
      </x:c>
      <x:c r="S1598" s="22" t="n">
        <x:f>IF(T1598="Ready",MAX(0,ROUND(I1598+M1598-Q1598,2)),"n.a.")</x:f>
        <x:v>0</x:v>
      </x:c>
      <x:c r="T1598" s="22" t="str">
        <x:f>IF(AND(COUNT($I$1597:$I$1601)=5,COUNT(E1598:F1598)=2),IF(E1598&gt;=F1598,"Ready","Budget below minima"),"Check inputs")</x:f>
        <x:v>Ready</x:v>
      </x:c>
      <x:c r="U1598" s="22" t="n">
        <x:f>IF(COUNT(I1598,M1598,N1598)=3,MAX(0,ROUND(I1598+M1598-N1598,2)),"n.a.")</x:f>
        <x:v>0</x:v>
      </x:c>
    </x:row>
    <x:row r="1599" ht="22" customHeight="1">
      <x:c r="A1599" s="2"/>
      <x:c r="B1599" s="2"/>
      <x:c r="C1599" s="27" t="n">
        <x:f>319</x:f>
        <x:v>319</x:v>
      </x:c>
      <x:c r="D1599" s="28" t="n">
        <x:f>IF(ISNUMBER('Inputs'!$D$7),EDATE('Inputs'!$D$7,318),"n.a.")</x:f>
        <x:v>56005</x:v>
      </x:c>
      <x:c r="E1599" s="26" t="n">
        <x:f>IF('Inputs'!$D$9&lt;&gt;"Ready","n.a.",IF(ISNUMBER('Inputs'!E337),IF('Inputs'!E337&gt;=0,'Inputs'!E337,"n.a."),IF('Inputs'!E337="",'Inputs'!$D$6,"n.a.")))</x:f>
        <x:v>500</x:v>
      </x:c>
      <x:c r="F1599" s="22" t="n">
        <x:f>IF(COUNT($N$1597:$N$1601)=5,SUM($N$1597:$N$1601),"n.a.")</x:f>
        <x:v>0</x:v>
      </x:c>
      <x:c r="G1599" s="22" t="n">
        <x:f>IF(COUNT(E1599:F1599)=2,MAX(0,E1599-F1599),"n.a.")</x:f>
        <x:v>500</x:v>
      </x:c>
      <x:c r="H1599" s="26" t="str">
        <x:f>'Inputs'!C13</x:f>
        <x:v>Loan C</x:v>
      </x:c>
      <x:c r="I1599" s="26" t="n">
        <x:f>S1594</x:f>
        <x:v>0</x:v>
      </x:c>
      <x:c r="J1599" s="29" t="n">
        <x:f>IF('Inputs'!$D$9="Ready",'Inputs'!E13,"n.a.")</x:f>
        <x:v>0.08</x:v>
      </x:c>
      <x:c r="K1599" s="26" t="n">
        <x:f>IF('Inputs'!$D$9="Ready",'Inputs'!F13,"n.a.")</x:f>
        <x:v>150</x:v>
      </x:c>
      <x:c r="L1599" s="29" t="n">
        <x:f>IF('Inputs'!$D$9="Ready",'Inputs'!G13,"n.a.")</x:f>
        <x:v>0</x:v>
      </x:c>
      <x:c r="M1599" s="22" t="n">
        <x:f>IF(COUNT(I1599:L1599)=4,ROUND(I1599*J1599/12,2),"n.a.")</x:f>
        <x:v>0</x:v>
      </x:c>
      <x:c r="N1599" s="22" t="n">
        <x:f>IF(COUNT(I1599:M1599)=5,MIN(I1599+M1599,ROUND(MAX(K1599,I1599*L1599+M1599),2)),"n.a.")</x:f>
        <x:v>0</x:v>
      </x:c>
      <x:c r="O1599" s="30" t="n">
        <x:f>IF(COUNT($I$1597:$I$1601)&lt;&gt;5,"n.a.",IF(I1599=0,6,IF('Inputs'!$D$5=1,COUNTIFS($I$1597:$I$1601,"&gt;0",$I$1597:$I$1601,"&lt;"&amp;I1599)+COUNTIFS($I$1597:I1599,I1599),COUNTIFS($I$1597:$I$1601,"&gt;0",$J$1597:$J$1601,"&gt;"&amp;J1599)+COUNTIFS($I$1597:I1599,"&gt;0",$J$1597:J1599,J1599))))</x:f>
        <x:v>6</x:v>
      </x:c>
      <x:c r="P1599" s="22" t="n">
        <x:f>IF(T1599="Ready",MIN(U1599,MAX(0,G1599-SUMIFS($U$1597:$U$1601,$O$1597:$O$1601,"&lt;"&amp;O1599))),"n.a.")</x:f>
        <x:v>0</x:v>
      </x:c>
      <x:c r="Q1599" s="22" t="n">
        <x:f>IF(T1599="Ready",ROUND(N1599+P1599,2),"n.a.")</x:f>
        <x:v>0</x:v>
      </x:c>
      <x:c r="R1599" s="22" t="n">
        <x:f>IF(T1599="Ready",ROUND(Q1599-M1599,2),"n.a.")</x:f>
        <x:v>0</x:v>
      </x:c>
      <x:c r="S1599" s="22" t="n">
        <x:f>IF(T1599="Ready",MAX(0,ROUND(I1599+M1599-Q1599,2)),"n.a.")</x:f>
        <x:v>0</x:v>
      </x:c>
      <x:c r="T1599" s="22" t="str">
        <x:f>IF(AND(COUNT($I$1597:$I$1601)=5,COUNT(E1599:F1599)=2),IF(E1599&gt;=F1599,"Ready","Budget below minima"),"Check inputs")</x:f>
        <x:v>Ready</x:v>
      </x:c>
      <x:c r="U1599" s="22" t="n">
        <x:f>IF(COUNT(I1599,M1599,N1599)=3,MAX(0,ROUND(I1599+M1599-N1599,2)),"n.a.")</x:f>
        <x:v>0</x:v>
      </x:c>
    </x:row>
    <x:row r="1600" ht="22" customHeight="1">
      <x:c r="A1600" s="2"/>
      <x:c r="B1600" s="2"/>
      <x:c r="C1600" s="27" t="n">
        <x:f>319</x:f>
        <x:v>319</x:v>
      </x:c>
      <x:c r="D1600" s="28" t="n">
        <x:f>IF(ISNUMBER('Inputs'!$D$7),EDATE('Inputs'!$D$7,318),"n.a.")</x:f>
        <x:v>56005</x:v>
      </x:c>
      <x:c r="E1600" s="26" t="n">
        <x:f>IF('Inputs'!$D$9&lt;&gt;"Ready","n.a.",IF(ISNUMBER('Inputs'!E337),IF('Inputs'!E337&gt;=0,'Inputs'!E337,"n.a."),IF('Inputs'!E337="",'Inputs'!$D$6,"n.a.")))</x:f>
        <x:v>500</x:v>
      </x:c>
      <x:c r="F1600" s="22" t="n">
        <x:f>IF(COUNT($N$1597:$N$1601)=5,SUM($N$1597:$N$1601),"n.a.")</x:f>
        <x:v>0</x:v>
      </x:c>
      <x:c r="G1600" s="22" t="n">
        <x:f>IF(COUNT(E1600:F1600)=2,MAX(0,E1600-F1600),"n.a.")</x:f>
        <x:v>500</x:v>
      </x:c>
      <x:c r="H1600" s="26" t="str">
        <x:f>'Inputs'!C14</x:f>
        <x:v>Unused 4</x:v>
      </x:c>
      <x:c r="I1600" s="26" t="n">
        <x:f>S1595</x:f>
        <x:v>0</x:v>
      </x:c>
      <x:c r="J1600" s="29" t="n">
        <x:f>IF('Inputs'!$D$9="Ready",'Inputs'!E14,"n.a.")</x:f>
        <x:v>0</x:v>
      </x:c>
      <x:c r="K1600" s="26" t="n">
        <x:f>IF('Inputs'!$D$9="Ready",'Inputs'!F14,"n.a.")</x:f>
        <x:v>0</x:v>
      </x:c>
      <x:c r="L1600" s="29" t="n">
        <x:f>IF('Inputs'!$D$9="Ready",'Inputs'!G14,"n.a.")</x:f>
        <x:v>0</x:v>
      </x:c>
      <x:c r="M1600" s="22" t="n">
        <x:f>IF(COUNT(I1600:L1600)=4,ROUND(I1600*J1600/12,2),"n.a.")</x:f>
        <x:v>0</x:v>
      </x:c>
      <x:c r="N1600" s="22" t="n">
        <x:f>IF(COUNT(I1600:M1600)=5,MIN(I1600+M1600,ROUND(MAX(K1600,I1600*L1600+M1600),2)),"n.a.")</x:f>
        <x:v>0</x:v>
      </x:c>
      <x:c r="O1600" s="30" t="n">
        <x:f>IF(COUNT($I$1597:$I$1601)&lt;&gt;5,"n.a.",IF(I1600=0,6,IF('Inputs'!$D$5=1,COUNTIFS($I$1597:$I$1601,"&gt;0",$I$1597:$I$1601,"&lt;"&amp;I1600)+COUNTIFS($I$1597:I1600,I1600),COUNTIFS($I$1597:$I$1601,"&gt;0",$J$1597:$J$1601,"&gt;"&amp;J1600)+COUNTIFS($I$1597:I1600,"&gt;0",$J$1597:J1600,J1600))))</x:f>
        <x:v>6</x:v>
      </x:c>
      <x:c r="P1600" s="22" t="n">
        <x:f>IF(T1600="Ready",MIN(U1600,MAX(0,G1600-SUMIFS($U$1597:$U$1601,$O$1597:$O$1601,"&lt;"&amp;O1600))),"n.a.")</x:f>
        <x:v>0</x:v>
      </x:c>
      <x:c r="Q1600" s="22" t="n">
        <x:f>IF(T1600="Ready",ROUND(N1600+P1600,2),"n.a.")</x:f>
        <x:v>0</x:v>
      </x:c>
      <x:c r="R1600" s="22" t="n">
        <x:f>IF(T1600="Ready",ROUND(Q1600-M1600,2),"n.a.")</x:f>
        <x:v>0</x:v>
      </x:c>
      <x:c r="S1600" s="22" t="n">
        <x:f>IF(T1600="Ready",MAX(0,ROUND(I1600+M1600-Q1600,2)),"n.a.")</x:f>
        <x:v>0</x:v>
      </x:c>
      <x:c r="T1600" s="22" t="str">
        <x:f>IF(AND(COUNT($I$1597:$I$1601)=5,COUNT(E1600:F1600)=2),IF(E1600&gt;=F1600,"Ready","Budget below minima"),"Check inputs")</x:f>
        <x:v>Ready</x:v>
      </x:c>
      <x:c r="U1600" s="22" t="n">
        <x:f>IF(COUNT(I1600,M1600,N1600)=3,MAX(0,ROUND(I1600+M1600-N1600,2)),"n.a.")</x:f>
        <x:v>0</x:v>
      </x:c>
    </x:row>
    <x:row r="1601" ht="22" customHeight="1">
      <x:c r="A1601" s="2"/>
      <x:c r="B1601" s="2"/>
      <x:c r="C1601" s="27" t="n">
        <x:f>319</x:f>
        <x:v>319</x:v>
      </x:c>
      <x:c r="D1601" s="28" t="n">
        <x:f>IF(ISNUMBER('Inputs'!$D$7),EDATE('Inputs'!$D$7,318),"n.a.")</x:f>
        <x:v>56005</x:v>
      </x:c>
      <x:c r="E1601" s="26" t="n">
        <x:f>IF('Inputs'!$D$9&lt;&gt;"Ready","n.a.",IF(ISNUMBER('Inputs'!E337),IF('Inputs'!E337&gt;=0,'Inputs'!E337,"n.a."),IF('Inputs'!E337="",'Inputs'!$D$6,"n.a.")))</x:f>
        <x:v>500</x:v>
      </x:c>
      <x:c r="F1601" s="22" t="n">
        <x:f>IF(COUNT($N$1597:$N$1601)=5,SUM($N$1597:$N$1601),"n.a.")</x:f>
        <x:v>0</x:v>
      </x:c>
      <x:c r="G1601" s="22" t="n">
        <x:f>IF(COUNT(E1601:F1601)=2,MAX(0,E1601-F1601),"n.a.")</x:f>
        <x:v>500</x:v>
      </x:c>
      <x:c r="H1601" s="26" t="str">
        <x:f>'Inputs'!C15</x:f>
        <x:v>Unused 5</x:v>
      </x:c>
      <x:c r="I1601" s="26" t="n">
        <x:f>S1596</x:f>
        <x:v>0</x:v>
      </x:c>
      <x:c r="J1601" s="29" t="n">
        <x:f>IF('Inputs'!$D$9="Ready",'Inputs'!E15,"n.a.")</x:f>
        <x:v>0</x:v>
      </x:c>
      <x:c r="K1601" s="26" t="n">
        <x:f>IF('Inputs'!$D$9="Ready",'Inputs'!F15,"n.a.")</x:f>
        <x:v>0</x:v>
      </x:c>
      <x:c r="L1601" s="29" t="n">
        <x:f>IF('Inputs'!$D$9="Ready",'Inputs'!G15,"n.a.")</x:f>
        <x:v>0</x:v>
      </x:c>
      <x:c r="M1601" s="22" t="n">
        <x:f>IF(COUNT(I1601:L1601)=4,ROUND(I1601*J1601/12,2),"n.a.")</x:f>
        <x:v>0</x:v>
      </x:c>
      <x:c r="N1601" s="22" t="n">
        <x:f>IF(COUNT(I1601:M1601)=5,MIN(I1601+M1601,ROUND(MAX(K1601,I1601*L1601+M1601),2)),"n.a.")</x:f>
        <x:v>0</x:v>
      </x:c>
      <x:c r="O1601" s="30" t="n">
        <x:f>IF(COUNT($I$1597:$I$1601)&lt;&gt;5,"n.a.",IF(I1601=0,6,IF('Inputs'!$D$5=1,COUNTIFS($I$1597:$I$1601,"&gt;0",$I$1597:$I$1601,"&lt;"&amp;I1601)+COUNTIFS($I$1597:I1601,I1601),COUNTIFS($I$1597:$I$1601,"&gt;0",$J$1597:$J$1601,"&gt;"&amp;J1601)+COUNTIFS($I$1597:I1601,"&gt;0",$J$1597:J1601,J1601))))</x:f>
        <x:v>6</x:v>
      </x:c>
      <x:c r="P1601" s="22" t="n">
        <x:f>IF(T1601="Ready",MIN(U1601,MAX(0,G1601-SUMIFS($U$1597:$U$1601,$O$1597:$O$1601,"&lt;"&amp;O1601))),"n.a.")</x:f>
        <x:v>0</x:v>
      </x:c>
      <x:c r="Q1601" s="22" t="n">
        <x:f>IF(T1601="Ready",ROUND(N1601+P1601,2),"n.a.")</x:f>
        <x:v>0</x:v>
      </x:c>
      <x:c r="R1601" s="22" t="n">
        <x:f>IF(T1601="Ready",ROUND(Q1601-M1601,2),"n.a.")</x:f>
        <x:v>0</x:v>
      </x:c>
      <x:c r="S1601" s="22" t="n">
        <x:f>IF(T1601="Ready",MAX(0,ROUND(I1601+M1601-Q1601,2)),"n.a.")</x:f>
        <x:v>0</x:v>
      </x:c>
      <x:c r="T1601" s="22" t="str">
        <x:f>IF(AND(COUNT($I$1597:$I$1601)=5,COUNT(E1601:F1601)=2),IF(E1601&gt;=F1601,"Ready","Budget below minima"),"Check inputs")</x:f>
        <x:v>Ready</x:v>
      </x:c>
      <x:c r="U1601" s="22" t="n">
        <x:f>IF(COUNT(I1601,M1601,N1601)=3,MAX(0,ROUND(I1601+M1601-N1601,2)),"n.a.")</x:f>
        <x:v>0</x:v>
      </x:c>
    </x:row>
    <x:row r="1602" ht="22" customHeight="1">
      <x:c r="A1602" s="2"/>
      <x:c r="B1602" s="2"/>
      <x:c r="C1602" s="27" t="n">
        <x:f>320</x:f>
        <x:v>320</x:v>
      </x:c>
      <x:c r="D1602" s="28" t="n">
        <x:f>IF(ISNUMBER('Inputs'!$D$7),EDATE('Inputs'!$D$7,319),"n.a.")</x:f>
        <x:v>56036</x:v>
      </x:c>
      <x:c r="E1602" s="26" t="n">
        <x:f>IF('Inputs'!$D$9&lt;&gt;"Ready","n.a.",IF(ISNUMBER('Inputs'!E338),IF('Inputs'!E338&gt;=0,'Inputs'!E338,"n.a."),IF('Inputs'!E338="",'Inputs'!$D$6,"n.a.")))</x:f>
        <x:v>500</x:v>
      </x:c>
      <x:c r="F1602" s="22" t="n">
        <x:f>IF(COUNT($N$1602:$N$1606)=5,SUM($N$1602:$N$1606),"n.a.")</x:f>
        <x:v>0</x:v>
      </x:c>
      <x:c r="G1602" s="22" t="n">
        <x:f>IF(COUNT(E1602:F1602)=2,MAX(0,E1602-F1602),"n.a.")</x:f>
        <x:v>500</x:v>
      </x:c>
      <x:c r="H1602" s="26" t="str">
        <x:f>'Inputs'!C11</x:f>
        <x:v>Card A</x:v>
      </x:c>
      <x:c r="I1602" s="26" t="n">
        <x:f>S1597</x:f>
        <x:v>0</x:v>
      </x:c>
      <x:c r="J1602" s="29" t="n">
        <x:f>IF('Inputs'!$D$9="Ready",'Inputs'!E11,"n.a.")</x:f>
        <x:v>0.24</x:v>
      </x:c>
      <x:c r="K1602" s="26" t="n">
        <x:f>IF('Inputs'!$D$9="Ready",'Inputs'!F11,"n.a.")</x:f>
        <x:v>35</x:v>
      </x:c>
      <x:c r="L1602" s="29" t="n">
        <x:f>IF('Inputs'!$D$9="Ready",'Inputs'!G11,"n.a.")</x:f>
        <x:v>0.02</x:v>
      </x:c>
      <x:c r="M1602" s="22" t="n">
        <x:f>IF(COUNT(I1602:L1602)=4,ROUND(I1602*J1602/12,2),"n.a.")</x:f>
        <x:v>0</x:v>
      </x:c>
      <x:c r="N1602" s="22" t="n">
        <x:f>IF(COUNT(I1602:M1602)=5,MIN(I1602+M1602,ROUND(MAX(K1602,I1602*L1602+M1602),2)),"n.a.")</x:f>
        <x:v>0</x:v>
      </x:c>
      <x:c r="O1602" s="30" t="n">
        <x:f>IF(COUNT($I$1602:$I$1606)&lt;&gt;5,"n.a.",IF(I1602=0,6,IF('Inputs'!$D$5=1,COUNTIFS($I$1602:$I$1606,"&gt;0",$I$1602:$I$1606,"&lt;"&amp;I1602)+COUNTIFS($I$1602:I1602,I1602),COUNTIFS($I$1602:$I$1606,"&gt;0",$J$1602:$J$1606,"&gt;"&amp;J1602)+COUNTIFS($I$1602:I1602,"&gt;0",$J$1602:J1602,J1602))))</x:f>
        <x:v>6</x:v>
      </x:c>
      <x:c r="P1602" s="22" t="n">
        <x:f>IF(T1602="Ready",MIN(U1602,MAX(0,G1602-SUMIFS($U$1602:$U$1606,$O$1602:$O$1606,"&lt;"&amp;O1602))),"n.a.")</x:f>
        <x:v>0</x:v>
      </x:c>
      <x:c r="Q1602" s="22" t="n">
        <x:f>IF(T1602="Ready",ROUND(N1602+P1602,2),"n.a.")</x:f>
        <x:v>0</x:v>
      </x:c>
      <x:c r="R1602" s="22" t="n">
        <x:f>IF(T1602="Ready",ROUND(Q1602-M1602,2),"n.a.")</x:f>
        <x:v>0</x:v>
      </x:c>
      <x:c r="S1602" s="22" t="n">
        <x:f>IF(T1602="Ready",MAX(0,ROUND(I1602+M1602-Q1602,2)),"n.a.")</x:f>
        <x:v>0</x:v>
      </x:c>
      <x:c r="T1602" s="22" t="str">
        <x:f>IF(AND(COUNT($I$1602:$I$1606)=5,COUNT(E1602:F1602)=2),IF(E1602&gt;=F1602,"Ready","Budget below minima"),"Check inputs")</x:f>
        <x:v>Ready</x:v>
      </x:c>
      <x:c r="U1602" s="22" t="n">
        <x:f>IF(COUNT(I1602,M1602,N1602)=3,MAX(0,ROUND(I1602+M1602-N1602,2)),"n.a.")</x:f>
        <x:v>0</x:v>
      </x:c>
    </x:row>
    <x:row r="1603" ht="22" customHeight="1">
      <x:c r="A1603" s="2"/>
      <x:c r="B1603" s="2"/>
      <x:c r="C1603" s="27" t="n">
        <x:f>320</x:f>
        <x:v>320</x:v>
      </x:c>
      <x:c r="D1603" s="28" t="n">
        <x:f>IF(ISNUMBER('Inputs'!$D$7),EDATE('Inputs'!$D$7,319),"n.a.")</x:f>
        <x:v>56036</x:v>
      </x:c>
      <x:c r="E1603" s="26" t="n">
        <x:f>IF('Inputs'!$D$9&lt;&gt;"Ready","n.a.",IF(ISNUMBER('Inputs'!E338),IF('Inputs'!E338&gt;=0,'Inputs'!E338,"n.a."),IF('Inputs'!E338="",'Inputs'!$D$6,"n.a.")))</x:f>
        <x:v>500</x:v>
      </x:c>
      <x:c r="F1603" s="22" t="n">
        <x:f>IF(COUNT($N$1602:$N$1606)=5,SUM($N$1602:$N$1606),"n.a.")</x:f>
        <x:v>0</x:v>
      </x:c>
      <x:c r="G1603" s="22" t="n">
        <x:f>IF(COUNT(E1603:F1603)=2,MAX(0,E1603-F1603),"n.a.")</x:f>
        <x:v>500</x:v>
      </x:c>
      <x:c r="H1603" s="26" t="str">
        <x:f>'Inputs'!C12</x:f>
        <x:v>Card B</x:v>
      </x:c>
      <x:c r="I1603" s="26" t="n">
        <x:f>S1598</x:f>
        <x:v>0</x:v>
      </x:c>
      <x:c r="J1603" s="29" t="n">
        <x:f>IF('Inputs'!$D$9="Ready",'Inputs'!E12,"n.a.")</x:f>
        <x:v>0.18</x:v>
      </x:c>
      <x:c r="K1603" s="26" t="n">
        <x:f>IF('Inputs'!$D$9="Ready",'Inputs'!F12,"n.a.")</x:f>
        <x:v>60</x:v>
      </x:c>
      <x:c r="L1603" s="29" t="n">
        <x:f>IF('Inputs'!$D$9="Ready",'Inputs'!G12,"n.a.")</x:f>
        <x:v>0.02</x:v>
      </x:c>
      <x:c r="M1603" s="22" t="n">
        <x:f>IF(COUNT(I1603:L1603)=4,ROUND(I1603*J1603/12,2),"n.a.")</x:f>
        <x:v>0</x:v>
      </x:c>
      <x:c r="N1603" s="22" t="n">
        <x:f>IF(COUNT(I1603:M1603)=5,MIN(I1603+M1603,ROUND(MAX(K1603,I1603*L1603+M1603),2)),"n.a.")</x:f>
        <x:v>0</x:v>
      </x:c>
      <x:c r="O1603" s="30" t="n">
        <x:f>IF(COUNT($I$1602:$I$1606)&lt;&gt;5,"n.a.",IF(I1603=0,6,IF('Inputs'!$D$5=1,COUNTIFS($I$1602:$I$1606,"&gt;0",$I$1602:$I$1606,"&lt;"&amp;I1603)+COUNTIFS($I$1602:I1603,I1603),COUNTIFS($I$1602:$I$1606,"&gt;0",$J$1602:$J$1606,"&gt;"&amp;J1603)+COUNTIFS($I$1602:I1603,"&gt;0",$J$1602:J1603,J1603))))</x:f>
        <x:v>6</x:v>
      </x:c>
      <x:c r="P1603" s="22" t="n">
        <x:f>IF(T1603="Ready",MIN(U1603,MAX(0,G1603-SUMIFS($U$1602:$U$1606,$O$1602:$O$1606,"&lt;"&amp;O1603))),"n.a.")</x:f>
        <x:v>0</x:v>
      </x:c>
      <x:c r="Q1603" s="22" t="n">
        <x:f>IF(T1603="Ready",ROUND(N1603+P1603,2),"n.a.")</x:f>
        <x:v>0</x:v>
      </x:c>
      <x:c r="R1603" s="22" t="n">
        <x:f>IF(T1603="Ready",ROUND(Q1603-M1603,2),"n.a.")</x:f>
        <x:v>0</x:v>
      </x:c>
      <x:c r="S1603" s="22" t="n">
        <x:f>IF(T1603="Ready",MAX(0,ROUND(I1603+M1603-Q1603,2)),"n.a.")</x:f>
        <x:v>0</x:v>
      </x:c>
      <x:c r="T1603" s="22" t="str">
        <x:f>IF(AND(COUNT($I$1602:$I$1606)=5,COUNT(E1603:F1603)=2),IF(E1603&gt;=F1603,"Ready","Budget below minima"),"Check inputs")</x:f>
        <x:v>Ready</x:v>
      </x:c>
      <x:c r="U1603" s="22" t="n">
        <x:f>IF(COUNT(I1603,M1603,N1603)=3,MAX(0,ROUND(I1603+M1603-N1603,2)),"n.a.")</x:f>
        <x:v>0</x:v>
      </x:c>
    </x:row>
    <x:row r="1604" ht="22" customHeight="1">
      <x:c r="A1604" s="2"/>
      <x:c r="B1604" s="2"/>
      <x:c r="C1604" s="27" t="n">
        <x:f>320</x:f>
        <x:v>320</x:v>
      </x:c>
      <x:c r="D1604" s="28" t="n">
        <x:f>IF(ISNUMBER('Inputs'!$D$7),EDATE('Inputs'!$D$7,319),"n.a.")</x:f>
        <x:v>56036</x:v>
      </x:c>
      <x:c r="E1604" s="26" t="n">
        <x:f>IF('Inputs'!$D$9&lt;&gt;"Ready","n.a.",IF(ISNUMBER('Inputs'!E338),IF('Inputs'!E338&gt;=0,'Inputs'!E338,"n.a."),IF('Inputs'!E338="",'Inputs'!$D$6,"n.a.")))</x:f>
        <x:v>500</x:v>
      </x:c>
      <x:c r="F1604" s="22" t="n">
        <x:f>IF(COUNT($N$1602:$N$1606)=5,SUM($N$1602:$N$1606),"n.a.")</x:f>
        <x:v>0</x:v>
      </x:c>
      <x:c r="G1604" s="22" t="n">
        <x:f>IF(COUNT(E1604:F1604)=2,MAX(0,E1604-F1604),"n.a.")</x:f>
        <x:v>500</x:v>
      </x:c>
      <x:c r="H1604" s="26" t="str">
        <x:f>'Inputs'!C13</x:f>
        <x:v>Loan C</x:v>
      </x:c>
      <x:c r="I1604" s="26" t="n">
        <x:f>S1599</x:f>
        <x:v>0</x:v>
      </x:c>
      <x:c r="J1604" s="29" t="n">
        <x:f>IF('Inputs'!$D$9="Ready",'Inputs'!E13,"n.a.")</x:f>
        <x:v>0.08</x:v>
      </x:c>
      <x:c r="K1604" s="26" t="n">
        <x:f>IF('Inputs'!$D$9="Ready",'Inputs'!F13,"n.a.")</x:f>
        <x:v>150</x:v>
      </x:c>
      <x:c r="L1604" s="29" t="n">
        <x:f>IF('Inputs'!$D$9="Ready",'Inputs'!G13,"n.a.")</x:f>
        <x:v>0</x:v>
      </x:c>
      <x:c r="M1604" s="22" t="n">
        <x:f>IF(COUNT(I1604:L1604)=4,ROUND(I1604*J1604/12,2),"n.a.")</x:f>
        <x:v>0</x:v>
      </x:c>
      <x:c r="N1604" s="22" t="n">
        <x:f>IF(COUNT(I1604:M1604)=5,MIN(I1604+M1604,ROUND(MAX(K1604,I1604*L1604+M1604),2)),"n.a.")</x:f>
        <x:v>0</x:v>
      </x:c>
      <x:c r="O1604" s="30" t="n">
        <x:f>IF(COUNT($I$1602:$I$1606)&lt;&gt;5,"n.a.",IF(I1604=0,6,IF('Inputs'!$D$5=1,COUNTIFS($I$1602:$I$1606,"&gt;0",$I$1602:$I$1606,"&lt;"&amp;I1604)+COUNTIFS($I$1602:I1604,I1604),COUNTIFS($I$1602:$I$1606,"&gt;0",$J$1602:$J$1606,"&gt;"&amp;J1604)+COUNTIFS($I$1602:I1604,"&gt;0",$J$1602:J1604,J1604))))</x:f>
        <x:v>6</x:v>
      </x:c>
      <x:c r="P1604" s="22" t="n">
        <x:f>IF(T1604="Ready",MIN(U1604,MAX(0,G1604-SUMIFS($U$1602:$U$1606,$O$1602:$O$1606,"&lt;"&amp;O1604))),"n.a.")</x:f>
        <x:v>0</x:v>
      </x:c>
      <x:c r="Q1604" s="22" t="n">
        <x:f>IF(T1604="Ready",ROUND(N1604+P1604,2),"n.a.")</x:f>
        <x:v>0</x:v>
      </x:c>
      <x:c r="R1604" s="22" t="n">
        <x:f>IF(T1604="Ready",ROUND(Q1604-M1604,2),"n.a.")</x:f>
        <x:v>0</x:v>
      </x:c>
      <x:c r="S1604" s="22" t="n">
        <x:f>IF(T1604="Ready",MAX(0,ROUND(I1604+M1604-Q1604,2)),"n.a.")</x:f>
        <x:v>0</x:v>
      </x:c>
      <x:c r="T1604" s="22" t="str">
        <x:f>IF(AND(COUNT($I$1602:$I$1606)=5,COUNT(E1604:F1604)=2),IF(E1604&gt;=F1604,"Ready","Budget below minima"),"Check inputs")</x:f>
        <x:v>Ready</x:v>
      </x:c>
      <x:c r="U1604" s="22" t="n">
        <x:f>IF(COUNT(I1604,M1604,N1604)=3,MAX(0,ROUND(I1604+M1604-N1604,2)),"n.a.")</x:f>
        <x:v>0</x:v>
      </x:c>
    </x:row>
    <x:row r="1605" ht="22" customHeight="1">
      <x:c r="A1605" s="2"/>
      <x:c r="B1605" s="2"/>
      <x:c r="C1605" s="27" t="n">
        <x:f>320</x:f>
        <x:v>320</x:v>
      </x:c>
      <x:c r="D1605" s="28" t="n">
        <x:f>IF(ISNUMBER('Inputs'!$D$7),EDATE('Inputs'!$D$7,319),"n.a.")</x:f>
        <x:v>56036</x:v>
      </x:c>
      <x:c r="E1605" s="26" t="n">
        <x:f>IF('Inputs'!$D$9&lt;&gt;"Ready","n.a.",IF(ISNUMBER('Inputs'!E338),IF('Inputs'!E338&gt;=0,'Inputs'!E338,"n.a."),IF('Inputs'!E338="",'Inputs'!$D$6,"n.a.")))</x:f>
        <x:v>500</x:v>
      </x:c>
      <x:c r="F1605" s="22" t="n">
        <x:f>IF(COUNT($N$1602:$N$1606)=5,SUM($N$1602:$N$1606),"n.a.")</x:f>
        <x:v>0</x:v>
      </x:c>
      <x:c r="G1605" s="22" t="n">
        <x:f>IF(COUNT(E1605:F1605)=2,MAX(0,E1605-F1605),"n.a.")</x:f>
        <x:v>500</x:v>
      </x:c>
      <x:c r="H1605" s="26" t="str">
        <x:f>'Inputs'!C14</x:f>
        <x:v>Unused 4</x:v>
      </x:c>
      <x:c r="I1605" s="26" t="n">
        <x:f>S1600</x:f>
        <x:v>0</x:v>
      </x:c>
      <x:c r="J1605" s="29" t="n">
        <x:f>IF('Inputs'!$D$9="Ready",'Inputs'!E14,"n.a.")</x:f>
        <x:v>0</x:v>
      </x:c>
      <x:c r="K1605" s="26" t="n">
        <x:f>IF('Inputs'!$D$9="Ready",'Inputs'!F14,"n.a.")</x:f>
        <x:v>0</x:v>
      </x:c>
      <x:c r="L1605" s="29" t="n">
        <x:f>IF('Inputs'!$D$9="Ready",'Inputs'!G14,"n.a.")</x:f>
        <x:v>0</x:v>
      </x:c>
      <x:c r="M1605" s="22" t="n">
        <x:f>IF(COUNT(I1605:L1605)=4,ROUND(I1605*J1605/12,2),"n.a.")</x:f>
        <x:v>0</x:v>
      </x:c>
      <x:c r="N1605" s="22" t="n">
        <x:f>IF(COUNT(I1605:M1605)=5,MIN(I1605+M1605,ROUND(MAX(K1605,I1605*L1605+M1605),2)),"n.a.")</x:f>
        <x:v>0</x:v>
      </x:c>
      <x:c r="O1605" s="30" t="n">
        <x:f>IF(COUNT($I$1602:$I$1606)&lt;&gt;5,"n.a.",IF(I1605=0,6,IF('Inputs'!$D$5=1,COUNTIFS($I$1602:$I$1606,"&gt;0",$I$1602:$I$1606,"&lt;"&amp;I1605)+COUNTIFS($I$1602:I1605,I1605),COUNTIFS($I$1602:$I$1606,"&gt;0",$J$1602:$J$1606,"&gt;"&amp;J1605)+COUNTIFS($I$1602:I1605,"&gt;0",$J$1602:J1605,J1605))))</x:f>
        <x:v>6</x:v>
      </x:c>
      <x:c r="P1605" s="22" t="n">
        <x:f>IF(T1605="Ready",MIN(U1605,MAX(0,G1605-SUMIFS($U$1602:$U$1606,$O$1602:$O$1606,"&lt;"&amp;O1605))),"n.a.")</x:f>
        <x:v>0</x:v>
      </x:c>
      <x:c r="Q1605" s="22" t="n">
        <x:f>IF(T1605="Ready",ROUND(N1605+P1605,2),"n.a.")</x:f>
        <x:v>0</x:v>
      </x:c>
      <x:c r="R1605" s="22" t="n">
        <x:f>IF(T1605="Ready",ROUND(Q1605-M1605,2),"n.a.")</x:f>
        <x:v>0</x:v>
      </x:c>
      <x:c r="S1605" s="22" t="n">
        <x:f>IF(T1605="Ready",MAX(0,ROUND(I1605+M1605-Q1605,2)),"n.a.")</x:f>
        <x:v>0</x:v>
      </x:c>
      <x:c r="T1605" s="22" t="str">
        <x:f>IF(AND(COUNT($I$1602:$I$1606)=5,COUNT(E1605:F1605)=2),IF(E1605&gt;=F1605,"Ready","Budget below minima"),"Check inputs")</x:f>
        <x:v>Ready</x:v>
      </x:c>
      <x:c r="U1605" s="22" t="n">
        <x:f>IF(COUNT(I1605,M1605,N1605)=3,MAX(0,ROUND(I1605+M1605-N1605,2)),"n.a.")</x:f>
        <x:v>0</x:v>
      </x:c>
    </x:row>
    <x:row r="1606" ht="22" customHeight="1">
      <x:c r="A1606" s="2"/>
      <x:c r="B1606" s="2"/>
      <x:c r="C1606" s="27" t="n">
        <x:f>320</x:f>
        <x:v>320</x:v>
      </x:c>
      <x:c r="D1606" s="28" t="n">
        <x:f>IF(ISNUMBER('Inputs'!$D$7),EDATE('Inputs'!$D$7,319),"n.a.")</x:f>
        <x:v>56036</x:v>
      </x:c>
      <x:c r="E1606" s="26" t="n">
        <x:f>IF('Inputs'!$D$9&lt;&gt;"Ready","n.a.",IF(ISNUMBER('Inputs'!E338),IF('Inputs'!E338&gt;=0,'Inputs'!E338,"n.a."),IF('Inputs'!E338="",'Inputs'!$D$6,"n.a.")))</x:f>
        <x:v>500</x:v>
      </x:c>
      <x:c r="F1606" s="22" t="n">
        <x:f>IF(COUNT($N$1602:$N$1606)=5,SUM($N$1602:$N$1606),"n.a.")</x:f>
        <x:v>0</x:v>
      </x:c>
      <x:c r="G1606" s="22" t="n">
        <x:f>IF(COUNT(E1606:F1606)=2,MAX(0,E1606-F1606),"n.a.")</x:f>
        <x:v>500</x:v>
      </x:c>
      <x:c r="H1606" s="26" t="str">
        <x:f>'Inputs'!C15</x:f>
        <x:v>Unused 5</x:v>
      </x:c>
      <x:c r="I1606" s="26" t="n">
        <x:f>S1601</x:f>
        <x:v>0</x:v>
      </x:c>
      <x:c r="J1606" s="29" t="n">
        <x:f>IF('Inputs'!$D$9="Ready",'Inputs'!E15,"n.a.")</x:f>
        <x:v>0</x:v>
      </x:c>
      <x:c r="K1606" s="26" t="n">
        <x:f>IF('Inputs'!$D$9="Ready",'Inputs'!F15,"n.a.")</x:f>
        <x:v>0</x:v>
      </x:c>
      <x:c r="L1606" s="29" t="n">
        <x:f>IF('Inputs'!$D$9="Ready",'Inputs'!G15,"n.a.")</x:f>
        <x:v>0</x:v>
      </x:c>
      <x:c r="M1606" s="22" t="n">
        <x:f>IF(COUNT(I1606:L1606)=4,ROUND(I1606*J1606/12,2),"n.a.")</x:f>
        <x:v>0</x:v>
      </x:c>
      <x:c r="N1606" s="22" t="n">
        <x:f>IF(COUNT(I1606:M1606)=5,MIN(I1606+M1606,ROUND(MAX(K1606,I1606*L1606+M1606),2)),"n.a.")</x:f>
        <x:v>0</x:v>
      </x:c>
      <x:c r="O1606" s="30" t="n">
        <x:f>IF(COUNT($I$1602:$I$1606)&lt;&gt;5,"n.a.",IF(I1606=0,6,IF('Inputs'!$D$5=1,COUNTIFS($I$1602:$I$1606,"&gt;0",$I$1602:$I$1606,"&lt;"&amp;I1606)+COUNTIFS($I$1602:I1606,I1606),COUNTIFS($I$1602:$I$1606,"&gt;0",$J$1602:$J$1606,"&gt;"&amp;J1606)+COUNTIFS($I$1602:I1606,"&gt;0",$J$1602:J1606,J1606))))</x:f>
        <x:v>6</x:v>
      </x:c>
      <x:c r="P1606" s="22" t="n">
        <x:f>IF(T1606="Ready",MIN(U1606,MAX(0,G1606-SUMIFS($U$1602:$U$1606,$O$1602:$O$1606,"&lt;"&amp;O1606))),"n.a.")</x:f>
        <x:v>0</x:v>
      </x:c>
      <x:c r="Q1606" s="22" t="n">
        <x:f>IF(T1606="Ready",ROUND(N1606+P1606,2),"n.a.")</x:f>
        <x:v>0</x:v>
      </x:c>
      <x:c r="R1606" s="22" t="n">
        <x:f>IF(T1606="Ready",ROUND(Q1606-M1606,2),"n.a.")</x:f>
        <x:v>0</x:v>
      </x:c>
      <x:c r="S1606" s="22" t="n">
        <x:f>IF(T1606="Ready",MAX(0,ROUND(I1606+M1606-Q1606,2)),"n.a.")</x:f>
        <x:v>0</x:v>
      </x:c>
      <x:c r="T1606" s="22" t="str">
        <x:f>IF(AND(COUNT($I$1602:$I$1606)=5,COUNT(E1606:F1606)=2),IF(E1606&gt;=F1606,"Ready","Budget below minima"),"Check inputs")</x:f>
        <x:v>Ready</x:v>
      </x:c>
      <x:c r="U1606" s="22" t="n">
        <x:f>IF(COUNT(I1606,M1606,N1606)=3,MAX(0,ROUND(I1606+M1606-N1606,2)),"n.a.")</x:f>
        <x:v>0</x:v>
      </x:c>
    </x:row>
    <x:row r="1607" ht="22" customHeight="1">
      <x:c r="A1607" s="2"/>
      <x:c r="B1607" s="2"/>
      <x:c r="C1607" s="27" t="n">
        <x:f>321</x:f>
        <x:v>321</x:v>
      </x:c>
      <x:c r="D1607" s="28" t="n">
        <x:f>IF(ISNUMBER('Inputs'!$D$7),EDATE('Inputs'!$D$7,320),"n.a.")</x:f>
        <x:v>56066</x:v>
      </x:c>
      <x:c r="E1607" s="26" t="n">
        <x:f>IF('Inputs'!$D$9&lt;&gt;"Ready","n.a.",IF(ISNUMBER('Inputs'!E339),IF('Inputs'!E339&gt;=0,'Inputs'!E339,"n.a."),IF('Inputs'!E339="",'Inputs'!$D$6,"n.a.")))</x:f>
        <x:v>500</x:v>
      </x:c>
      <x:c r="F1607" s="22" t="n">
        <x:f>IF(COUNT($N$1607:$N$1611)=5,SUM($N$1607:$N$1611),"n.a.")</x:f>
        <x:v>0</x:v>
      </x:c>
      <x:c r="G1607" s="22" t="n">
        <x:f>IF(COUNT(E1607:F1607)=2,MAX(0,E1607-F1607),"n.a.")</x:f>
        <x:v>500</x:v>
      </x:c>
      <x:c r="H1607" s="26" t="str">
        <x:f>'Inputs'!C11</x:f>
        <x:v>Card A</x:v>
      </x:c>
      <x:c r="I1607" s="26" t="n">
        <x:f>S1602</x:f>
        <x:v>0</x:v>
      </x:c>
      <x:c r="J1607" s="29" t="n">
        <x:f>IF('Inputs'!$D$9="Ready",'Inputs'!E11,"n.a.")</x:f>
        <x:v>0.24</x:v>
      </x:c>
      <x:c r="K1607" s="26" t="n">
        <x:f>IF('Inputs'!$D$9="Ready",'Inputs'!F11,"n.a.")</x:f>
        <x:v>35</x:v>
      </x:c>
      <x:c r="L1607" s="29" t="n">
        <x:f>IF('Inputs'!$D$9="Ready",'Inputs'!G11,"n.a.")</x:f>
        <x:v>0.02</x:v>
      </x:c>
      <x:c r="M1607" s="22" t="n">
        <x:f>IF(COUNT(I1607:L1607)=4,ROUND(I1607*J1607/12,2),"n.a.")</x:f>
        <x:v>0</x:v>
      </x:c>
      <x:c r="N1607" s="22" t="n">
        <x:f>IF(COUNT(I1607:M1607)=5,MIN(I1607+M1607,ROUND(MAX(K1607,I1607*L1607+M1607),2)),"n.a.")</x:f>
        <x:v>0</x:v>
      </x:c>
      <x:c r="O1607" s="30" t="n">
        <x:f>IF(COUNT($I$1607:$I$1611)&lt;&gt;5,"n.a.",IF(I1607=0,6,IF('Inputs'!$D$5=1,COUNTIFS($I$1607:$I$1611,"&gt;0",$I$1607:$I$1611,"&lt;"&amp;I1607)+COUNTIFS($I$1607:I1607,I1607),COUNTIFS($I$1607:$I$1611,"&gt;0",$J$1607:$J$1611,"&gt;"&amp;J1607)+COUNTIFS($I$1607:I1607,"&gt;0",$J$1607:J1607,J1607))))</x:f>
        <x:v>6</x:v>
      </x:c>
      <x:c r="P1607" s="22" t="n">
        <x:f>IF(T1607="Ready",MIN(U1607,MAX(0,G1607-SUMIFS($U$1607:$U$1611,$O$1607:$O$1611,"&lt;"&amp;O1607))),"n.a.")</x:f>
        <x:v>0</x:v>
      </x:c>
      <x:c r="Q1607" s="22" t="n">
        <x:f>IF(T1607="Ready",ROUND(N1607+P1607,2),"n.a.")</x:f>
        <x:v>0</x:v>
      </x:c>
      <x:c r="R1607" s="22" t="n">
        <x:f>IF(T1607="Ready",ROUND(Q1607-M1607,2),"n.a.")</x:f>
        <x:v>0</x:v>
      </x:c>
      <x:c r="S1607" s="22" t="n">
        <x:f>IF(T1607="Ready",MAX(0,ROUND(I1607+M1607-Q1607,2)),"n.a.")</x:f>
        <x:v>0</x:v>
      </x:c>
      <x:c r="T1607" s="22" t="str">
        <x:f>IF(AND(COUNT($I$1607:$I$1611)=5,COUNT(E1607:F1607)=2),IF(E1607&gt;=F1607,"Ready","Budget below minima"),"Check inputs")</x:f>
        <x:v>Ready</x:v>
      </x:c>
      <x:c r="U1607" s="22" t="n">
        <x:f>IF(COUNT(I1607,M1607,N1607)=3,MAX(0,ROUND(I1607+M1607-N1607,2)),"n.a.")</x:f>
        <x:v>0</x:v>
      </x:c>
    </x:row>
    <x:row r="1608" ht="22" customHeight="1">
      <x:c r="A1608" s="2"/>
      <x:c r="B1608" s="2"/>
      <x:c r="C1608" s="27" t="n">
        <x:f>321</x:f>
        <x:v>321</x:v>
      </x:c>
      <x:c r="D1608" s="28" t="n">
        <x:f>IF(ISNUMBER('Inputs'!$D$7),EDATE('Inputs'!$D$7,320),"n.a.")</x:f>
        <x:v>56066</x:v>
      </x:c>
      <x:c r="E1608" s="26" t="n">
        <x:f>IF('Inputs'!$D$9&lt;&gt;"Ready","n.a.",IF(ISNUMBER('Inputs'!E339),IF('Inputs'!E339&gt;=0,'Inputs'!E339,"n.a."),IF('Inputs'!E339="",'Inputs'!$D$6,"n.a.")))</x:f>
        <x:v>500</x:v>
      </x:c>
      <x:c r="F1608" s="22" t="n">
        <x:f>IF(COUNT($N$1607:$N$1611)=5,SUM($N$1607:$N$1611),"n.a.")</x:f>
        <x:v>0</x:v>
      </x:c>
      <x:c r="G1608" s="22" t="n">
        <x:f>IF(COUNT(E1608:F1608)=2,MAX(0,E1608-F1608),"n.a.")</x:f>
        <x:v>500</x:v>
      </x:c>
      <x:c r="H1608" s="26" t="str">
        <x:f>'Inputs'!C12</x:f>
        <x:v>Card B</x:v>
      </x:c>
      <x:c r="I1608" s="26" t="n">
        <x:f>S1603</x:f>
        <x:v>0</x:v>
      </x:c>
      <x:c r="J1608" s="29" t="n">
        <x:f>IF('Inputs'!$D$9="Ready",'Inputs'!E12,"n.a.")</x:f>
        <x:v>0.18</x:v>
      </x:c>
      <x:c r="K1608" s="26" t="n">
        <x:f>IF('Inputs'!$D$9="Ready",'Inputs'!F12,"n.a.")</x:f>
        <x:v>60</x:v>
      </x:c>
      <x:c r="L1608" s="29" t="n">
        <x:f>IF('Inputs'!$D$9="Ready",'Inputs'!G12,"n.a.")</x:f>
        <x:v>0.02</x:v>
      </x:c>
      <x:c r="M1608" s="22" t="n">
        <x:f>IF(COUNT(I1608:L1608)=4,ROUND(I1608*J1608/12,2),"n.a.")</x:f>
        <x:v>0</x:v>
      </x:c>
      <x:c r="N1608" s="22" t="n">
        <x:f>IF(COUNT(I1608:M1608)=5,MIN(I1608+M1608,ROUND(MAX(K1608,I1608*L1608+M1608),2)),"n.a.")</x:f>
        <x:v>0</x:v>
      </x:c>
      <x:c r="O1608" s="30" t="n">
        <x:f>IF(COUNT($I$1607:$I$1611)&lt;&gt;5,"n.a.",IF(I1608=0,6,IF('Inputs'!$D$5=1,COUNTIFS($I$1607:$I$1611,"&gt;0",$I$1607:$I$1611,"&lt;"&amp;I1608)+COUNTIFS($I$1607:I1608,I1608),COUNTIFS($I$1607:$I$1611,"&gt;0",$J$1607:$J$1611,"&gt;"&amp;J1608)+COUNTIFS($I$1607:I1608,"&gt;0",$J$1607:J1608,J1608))))</x:f>
        <x:v>6</x:v>
      </x:c>
      <x:c r="P1608" s="22" t="n">
        <x:f>IF(T1608="Ready",MIN(U1608,MAX(0,G1608-SUMIFS($U$1607:$U$1611,$O$1607:$O$1611,"&lt;"&amp;O1608))),"n.a.")</x:f>
        <x:v>0</x:v>
      </x:c>
      <x:c r="Q1608" s="22" t="n">
        <x:f>IF(T1608="Ready",ROUND(N1608+P1608,2),"n.a.")</x:f>
        <x:v>0</x:v>
      </x:c>
      <x:c r="R1608" s="22" t="n">
        <x:f>IF(T1608="Ready",ROUND(Q1608-M1608,2),"n.a.")</x:f>
        <x:v>0</x:v>
      </x:c>
      <x:c r="S1608" s="22" t="n">
        <x:f>IF(T1608="Ready",MAX(0,ROUND(I1608+M1608-Q1608,2)),"n.a.")</x:f>
        <x:v>0</x:v>
      </x:c>
      <x:c r="T1608" s="22" t="str">
        <x:f>IF(AND(COUNT($I$1607:$I$1611)=5,COUNT(E1608:F1608)=2),IF(E1608&gt;=F1608,"Ready","Budget below minima"),"Check inputs")</x:f>
        <x:v>Ready</x:v>
      </x:c>
      <x:c r="U1608" s="22" t="n">
        <x:f>IF(COUNT(I1608,M1608,N1608)=3,MAX(0,ROUND(I1608+M1608-N1608,2)),"n.a.")</x:f>
        <x:v>0</x:v>
      </x:c>
    </x:row>
    <x:row r="1609" ht="22" customHeight="1">
      <x:c r="A1609" s="2"/>
      <x:c r="B1609" s="2"/>
      <x:c r="C1609" s="27" t="n">
        <x:f>321</x:f>
        <x:v>321</x:v>
      </x:c>
      <x:c r="D1609" s="28" t="n">
        <x:f>IF(ISNUMBER('Inputs'!$D$7),EDATE('Inputs'!$D$7,320),"n.a.")</x:f>
        <x:v>56066</x:v>
      </x:c>
      <x:c r="E1609" s="26" t="n">
        <x:f>IF('Inputs'!$D$9&lt;&gt;"Ready","n.a.",IF(ISNUMBER('Inputs'!E339),IF('Inputs'!E339&gt;=0,'Inputs'!E339,"n.a."),IF('Inputs'!E339="",'Inputs'!$D$6,"n.a.")))</x:f>
        <x:v>500</x:v>
      </x:c>
      <x:c r="F1609" s="22" t="n">
        <x:f>IF(COUNT($N$1607:$N$1611)=5,SUM($N$1607:$N$1611),"n.a.")</x:f>
        <x:v>0</x:v>
      </x:c>
      <x:c r="G1609" s="22" t="n">
        <x:f>IF(COUNT(E1609:F1609)=2,MAX(0,E1609-F1609),"n.a.")</x:f>
        <x:v>500</x:v>
      </x:c>
      <x:c r="H1609" s="26" t="str">
        <x:f>'Inputs'!C13</x:f>
        <x:v>Loan C</x:v>
      </x:c>
      <x:c r="I1609" s="26" t="n">
        <x:f>S1604</x:f>
        <x:v>0</x:v>
      </x:c>
      <x:c r="J1609" s="29" t="n">
        <x:f>IF('Inputs'!$D$9="Ready",'Inputs'!E13,"n.a.")</x:f>
        <x:v>0.08</x:v>
      </x:c>
      <x:c r="K1609" s="26" t="n">
        <x:f>IF('Inputs'!$D$9="Ready",'Inputs'!F13,"n.a.")</x:f>
        <x:v>150</x:v>
      </x:c>
      <x:c r="L1609" s="29" t="n">
        <x:f>IF('Inputs'!$D$9="Ready",'Inputs'!G13,"n.a.")</x:f>
        <x:v>0</x:v>
      </x:c>
      <x:c r="M1609" s="22" t="n">
        <x:f>IF(COUNT(I1609:L1609)=4,ROUND(I1609*J1609/12,2),"n.a.")</x:f>
        <x:v>0</x:v>
      </x:c>
      <x:c r="N1609" s="22" t="n">
        <x:f>IF(COUNT(I1609:M1609)=5,MIN(I1609+M1609,ROUND(MAX(K1609,I1609*L1609+M1609),2)),"n.a.")</x:f>
        <x:v>0</x:v>
      </x:c>
      <x:c r="O1609" s="30" t="n">
        <x:f>IF(COUNT($I$1607:$I$1611)&lt;&gt;5,"n.a.",IF(I1609=0,6,IF('Inputs'!$D$5=1,COUNTIFS($I$1607:$I$1611,"&gt;0",$I$1607:$I$1611,"&lt;"&amp;I1609)+COUNTIFS($I$1607:I1609,I1609),COUNTIFS($I$1607:$I$1611,"&gt;0",$J$1607:$J$1611,"&gt;"&amp;J1609)+COUNTIFS($I$1607:I1609,"&gt;0",$J$1607:J1609,J1609))))</x:f>
        <x:v>6</x:v>
      </x:c>
      <x:c r="P1609" s="22" t="n">
        <x:f>IF(T1609="Ready",MIN(U1609,MAX(0,G1609-SUMIFS($U$1607:$U$1611,$O$1607:$O$1611,"&lt;"&amp;O1609))),"n.a.")</x:f>
        <x:v>0</x:v>
      </x:c>
      <x:c r="Q1609" s="22" t="n">
        <x:f>IF(T1609="Ready",ROUND(N1609+P1609,2),"n.a.")</x:f>
        <x:v>0</x:v>
      </x:c>
      <x:c r="R1609" s="22" t="n">
        <x:f>IF(T1609="Ready",ROUND(Q1609-M1609,2),"n.a.")</x:f>
        <x:v>0</x:v>
      </x:c>
      <x:c r="S1609" s="22" t="n">
        <x:f>IF(T1609="Ready",MAX(0,ROUND(I1609+M1609-Q1609,2)),"n.a.")</x:f>
        <x:v>0</x:v>
      </x:c>
      <x:c r="T1609" s="22" t="str">
        <x:f>IF(AND(COUNT($I$1607:$I$1611)=5,COUNT(E1609:F1609)=2),IF(E1609&gt;=F1609,"Ready","Budget below minima"),"Check inputs")</x:f>
        <x:v>Ready</x:v>
      </x:c>
      <x:c r="U1609" s="22" t="n">
        <x:f>IF(COUNT(I1609,M1609,N1609)=3,MAX(0,ROUND(I1609+M1609-N1609,2)),"n.a.")</x:f>
        <x:v>0</x:v>
      </x:c>
    </x:row>
    <x:row r="1610" ht="22" customHeight="1">
      <x:c r="A1610" s="2"/>
      <x:c r="B1610" s="2"/>
      <x:c r="C1610" s="27" t="n">
        <x:f>321</x:f>
        <x:v>321</x:v>
      </x:c>
      <x:c r="D1610" s="28" t="n">
        <x:f>IF(ISNUMBER('Inputs'!$D$7),EDATE('Inputs'!$D$7,320),"n.a.")</x:f>
        <x:v>56066</x:v>
      </x:c>
      <x:c r="E1610" s="26" t="n">
        <x:f>IF('Inputs'!$D$9&lt;&gt;"Ready","n.a.",IF(ISNUMBER('Inputs'!E339),IF('Inputs'!E339&gt;=0,'Inputs'!E339,"n.a."),IF('Inputs'!E339="",'Inputs'!$D$6,"n.a.")))</x:f>
        <x:v>500</x:v>
      </x:c>
      <x:c r="F1610" s="22" t="n">
        <x:f>IF(COUNT($N$1607:$N$1611)=5,SUM($N$1607:$N$1611),"n.a.")</x:f>
        <x:v>0</x:v>
      </x:c>
      <x:c r="G1610" s="22" t="n">
        <x:f>IF(COUNT(E1610:F1610)=2,MAX(0,E1610-F1610),"n.a.")</x:f>
        <x:v>500</x:v>
      </x:c>
      <x:c r="H1610" s="26" t="str">
        <x:f>'Inputs'!C14</x:f>
        <x:v>Unused 4</x:v>
      </x:c>
      <x:c r="I1610" s="26" t="n">
        <x:f>S1605</x:f>
        <x:v>0</x:v>
      </x:c>
      <x:c r="J1610" s="29" t="n">
        <x:f>IF('Inputs'!$D$9="Ready",'Inputs'!E14,"n.a.")</x:f>
        <x:v>0</x:v>
      </x:c>
      <x:c r="K1610" s="26" t="n">
        <x:f>IF('Inputs'!$D$9="Ready",'Inputs'!F14,"n.a.")</x:f>
        <x:v>0</x:v>
      </x:c>
      <x:c r="L1610" s="29" t="n">
        <x:f>IF('Inputs'!$D$9="Ready",'Inputs'!G14,"n.a.")</x:f>
        <x:v>0</x:v>
      </x:c>
      <x:c r="M1610" s="22" t="n">
        <x:f>IF(COUNT(I1610:L1610)=4,ROUND(I1610*J1610/12,2),"n.a.")</x:f>
        <x:v>0</x:v>
      </x:c>
      <x:c r="N1610" s="22" t="n">
        <x:f>IF(COUNT(I1610:M1610)=5,MIN(I1610+M1610,ROUND(MAX(K1610,I1610*L1610+M1610),2)),"n.a.")</x:f>
        <x:v>0</x:v>
      </x:c>
      <x:c r="O1610" s="30" t="n">
        <x:f>IF(COUNT($I$1607:$I$1611)&lt;&gt;5,"n.a.",IF(I1610=0,6,IF('Inputs'!$D$5=1,COUNTIFS($I$1607:$I$1611,"&gt;0",$I$1607:$I$1611,"&lt;"&amp;I1610)+COUNTIFS($I$1607:I1610,I1610),COUNTIFS($I$1607:$I$1611,"&gt;0",$J$1607:$J$1611,"&gt;"&amp;J1610)+COUNTIFS($I$1607:I1610,"&gt;0",$J$1607:J1610,J1610))))</x:f>
        <x:v>6</x:v>
      </x:c>
      <x:c r="P1610" s="22" t="n">
        <x:f>IF(T1610="Ready",MIN(U1610,MAX(0,G1610-SUMIFS($U$1607:$U$1611,$O$1607:$O$1611,"&lt;"&amp;O1610))),"n.a.")</x:f>
        <x:v>0</x:v>
      </x:c>
      <x:c r="Q1610" s="22" t="n">
        <x:f>IF(T1610="Ready",ROUND(N1610+P1610,2),"n.a.")</x:f>
        <x:v>0</x:v>
      </x:c>
      <x:c r="R1610" s="22" t="n">
        <x:f>IF(T1610="Ready",ROUND(Q1610-M1610,2),"n.a.")</x:f>
        <x:v>0</x:v>
      </x:c>
      <x:c r="S1610" s="22" t="n">
        <x:f>IF(T1610="Ready",MAX(0,ROUND(I1610+M1610-Q1610,2)),"n.a.")</x:f>
        <x:v>0</x:v>
      </x:c>
      <x:c r="T1610" s="22" t="str">
        <x:f>IF(AND(COUNT($I$1607:$I$1611)=5,COUNT(E1610:F1610)=2),IF(E1610&gt;=F1610,"Ready","Budget below minima"),"Check inputs")</x:f>
        <x:v>Ready</x:v>
      </x:c>
      <x:c r="U1610" s="22" t="n">
        <x:f>IF(COUNT(I1610,M1610,N1610)=3,MAX(0,ROUND(I1610+M1610-N1610,2)),"n.a.")</x:f>
        <x:v>0</x:v>
      </x:c>
    </x:row>
    <x:row r="1611" ht="22" customHeight="1">
      <x:c r="A1611" s="2"/>
      <x:c r="B1611" s="2"/>
      <x:c r="C1611" s="27" t="n">
        <x:f>321</x:f>
        <x:v>321</x:v>
      </x:c>
      <x:c r="D1611" s="28" t="n">
        <x:f>IF(ISNUMBER('Inputs'!$D$7),EDATE('Inputs'!$D$7,320),"n.a.")</x:f>
        <x:v>56066</x:v>
      </x:c>
      <x:c r="E1611" s="26" t="n">
        <x:f>IF('Inputs'!$D$9&lt;&gt;"Ready","n.a.",IF(ISNUMBER('Inputs'!E339),IF('Inputs'!E339&gt;=0,'Inputs'!E339,"n.a."),IF('Inputs'!E339="",'Inputs'!$D$6,"n.a.")))</x:f>
        <x:v>500</x:v>
      </x:c>
      <x:c r="F1611" s="22" t="n">
        <x:f>IF(COUNT($N$1607:$N$1611)=5,SUM($N$1607:$N$1611),"n.a.")</x:f>
        <x:v>0</x:v>
      </x:c>
      <x:c r="G1611" s="22" t="n">
        <x:f>IF(COUNT(E1611:F1611)=2,MAX(0,E1611-F1611),"n.a.")</x:f>
        <x:v>500</x:v>
      </x:c>
      <x:c r="H1611" s="26" t="str">
        <x:f>'Inputs'!C15</x:f>
        <x:v>Unused 5</x:v>
      </x:c>
      <x:c r="I1611" s="26" t="n">
        <x:f>S1606</x:f>
        <x:v>0</x:v>
      </x:c>
      <x:c r="J1611" s="29" t="n">
        <x:f>IF('Inputs'!$D$9="Ready",'Inputs'!E15,"n.a.")</x:f>
        <x:v>0</x:v>
      </x:c>
      <x:c r="K1611" s="26" t="n">
        <x:f>IF('Inputs'!$D$9="Ready",'Inputs'!F15,"n.a.")</x:f>
        <x:v>0</x:v>
      </x:c>
      <x:c r="L1611" s="29" t="n">
        <x:f>IF('Inputs'!$D$9="Ready",'Inputs'!G15,"n.a.")</x:f>
        <x:v>0</x:v>
      </x:c>
      <x:c r="M1611" s="22" t="n">
        <x:f>IF(COUNT(I1611:L1611)=4,ROUND(I1611*J1611/12,2),"n.a.")</x:f>
        <x:v>0</x:v>
      </x:c>
      <x:c r="N1611" s="22" t="n">
        <x:f>IF(COUNT(I1611:M1611)=5,MIN(I1611+M1611,ROUND(MAX(K1611,I1611*L1611+M1611),2)),"n.a.")</x:f>
        <x:v>0</x:v>
      </x:c>
      <x:c r="O1611" s="30" t="n">
        <x:f>IF(COUNT($I$1607:$I$1611)&lt;&gt;5,"n.a.",IF(I1611=0,6,IF('Inputs'!$D$5=1,COUNTIFS($I$1607:$I$1611,"&gt;0",$I$1607:$I$1611,"&lt;"&amp;I1611)+COUNTIFS($I$1607:I1611,I1611),COUNTIFS($I$1607:$I$1611,"&gt;0",$J$1607:$J$1611,"&gt;"&amp;J1611)+COUNTIFS($I$1607:I1611,"&gt;0",$J$1607:J1611,J1611))))</x:f>
        <x:v>6</x:v>
      </x:c>
      <x:c r="P1611" s="22" t="n">
        <x:f>IF(T1611="Ready",MIN(U1611,MAX(0,G1611-SUMIFS($U$1607:$U$1611,$O$1607:$O$1611,"&lt;"&amp;O1611))),"n.a.")</x:f>
        <x:v>0</x:v>
      </x:c>
      <x:c r="Q1611" s="22" t="n">
        <x:f>IF(T1611="Ready",ROUND(N1611+P1611,2),"n.a.")</x:f>
        <x:v>0</x:v>
      </x:c>
      <x:c r="R1611" s="22" t="n">
        <x:f>IF(T1611="Ready",ROUND(Q1611-M1611,2),"n.a.")</x:f>
        <x:v>0</x:v>
      </x:c>
      <x:c r="S1611" s="22" t="n">
        <x:f>IF(T1611="Ready",MAX(0,ROUND(I1611+M1611-Q1611,2)),"n.a.")</x:f>
        <x:v>0</x:v>
      </x:c>
      <x:c r="T1611" s="22" t="str">
        <x:f>IF(AND(COUNT($I$1607:$I$1611)=5,COUNT(E1611:F1611)=2),IF(E1611&gt;=F1611,"Ready","Budget below minima"),"Check inputs")</x:f>
        <x:v>Ready</x:v>
      </x:c>
      <x:c r="U1611" s="22" t="n">
        <x:f>IF(COUNT(I1611,M1611,N1611)=3,MAX(0,ROUND(I1611+M1611-N1611,2)),"n.a.")</x:f>
        <x:v>0</x:v>
      </x:c>
    </x:row>
    <x:row r="1612" ht="22" customHeight="1">
      <x:c r="A1612" s="2"/>
      <x:c r="B1612" s="2"/>
      <x:c r="C1612" s="27" t="n">
        <x:f>322</x:f>
        <x:v>322</x:v>
      </x:c>
      <x:c r="D1612" s="28" t="n">
        <x:f>IF(ISNUMBER('Inputs'!$D$7),EDATE('Inputs'!$D$7,321),"n.a.")</x:f>
        <x:v>56097</x:v>
      </x:c>
      <x:c r="E1612" s="26" t="n">
        <x:f>IF('Inputs'!$D$9&lt;&gt;"Ready","n.a.",IF(ISNUMBER('Inputs'!E340),IF('Inputs'!E340&gt;=0,'Inputs'!E340,"n.a."),IF('Inputs'!E340="",'Inputs'!$D$6,"n.a.")))</x:f>
        <x:v>500</x:v>
      </x:c>
      <x:c r="F1612" s="22" t="n">
        <x:f>IF(COUNT($N$1612:$N$1616)=5,SUM($N$1612:$N$1616),"n.a.")</x:f>
        <x:v>0</x:v>
      </x:c>
      <x:c r="G1612" s="22" t="n">
        <x:f>IF(COUNT(E1612:F1612)=2,MAX(0,E1612-F1612),"n.a.")</x:f>
        <x:v>500</x:v>
      </x:c>
      <x:c r="H1612" s="26" t="str">
        <x:f>'Inputs'!C11</x:f>
        <x:v>Card A</x:v>
      </x:c>
      <x:c r="I1612" s="26" t="n">
        <x:f>S1607</x:f>
        <x:v>0</x:v>
      </x:c>
      <x:c r="J1612" s="29" t="n">
        <x:f>IF('Inputs'!$D$9="Ready",'Inputs'!E11,"n.a.")</x:f>
        <x:v>0.24</x:v>
      </x:c>
      <x:c r="K1612" s="26" t="n">
        <x:f>IF('Inputs'!$D$9="Ready",'Inputs'!F11,"n.a.")</x:f>
        <x:v>35</x:v>
      </x:c>
      <x:c r="L1612" s="29" t="n">
        <x:f>IF('Inputs'!$D$9="Ready",'Inputs'!G11,"n.a.")</x:f>
        <x:v>0.02</x:v>
      </x:c>
      <x:c r="M1612" s="22" t="n">
        <x:f>IF(COUNT(I1612:L1612)=4,ROUND(I1612*J1612/12,2),"n.a.")</x:f>
        <x:v>0</x:v>
      </x:c>
      <x:c r="N1612" s="22" t="n">
        <x:f>IF(COUNT(I1612:M1612)=5,MIN(I1612+M1612,ROUND(MAX(K1612,I1612*L1612+M1612),2)),"n.a.")</x:f>
        <x:v>0</x:v>
      </x:c>
      <x:c r="O1612" s="30" t="n">
        <x:f>IF(COUNT($I$1612:$I$1616)&lt;&gt;5,"n.a.",IF(I1612=0,6,IF('Inputs'!$D$5=1,COUNTIFS($I$1612:$I$1616,"&gt;0",$I$1612:$I$1616,"&lt;"&amp;I1612)+COUNTIFS($I$1612:I1612,I1612),COUNTIFS($I$1612:$I$1616,"&gt;0",$J$1612:$J$1616,"&gt;"&amp;J1612)+COUNTIFS($I$1612:I1612,"&gt;0",$J$1612:J1612,J1612))))</x:f>
        <x:v>6</x:v>
      </x:c>
      <x:c r="P1612" s="22" t="n">
        <x:f>IF(T1612="Ready",MIN(U1612,MAX(0,G1612-SUMIFS($U$1612:$U$1616,$O$1612:$O$1616,"&lt;"&amp;O1612))),"n.a.")</x:f>
        <x:v>0</x:v>
      </x:c>
      <x:c r="Q1612" s="22" t="n">
        <x:f>IF(T1612="Ready",ROUND(N1612+P1612,2),"n.a.")</x:f>
        <x:v>0</x:v>
      </x:c>
      <x:c r="R1612" s="22" t="n">
        <x:f>IF(T1612="Ready",ROUND(Q1612-M1612,2),"n.a.")</x:f>
        <x:v>0</x:v>
      </x:c>
      <x:c r="S1612" s="22" t="n">
        <x:f>IF(T1612="Ready",MAX(0,ROUND(I1612+M1612-Q1612,2)),"n.a.")</x:f>
        <x:v>0</x:v>
      </x:c>
      <x:c r="T1612" s="22" t="str">
        <x:f>IF(AND(COUNT($I$1612:$I$1616)=5,COUNT(E1612:F1612)=2),IF(E1612&gt;=F1612,"Ready","Budget below minima"),"Check inputs")</x:f>
        <x:v>Ready</x:v>
      </x:c>
      <x:c r="U1612" s="22" t="n">
        <x:f>IF(COUNT(I1612,M1612,N1612)=3,MAX(0,ROUND(I1612+M1612-N1612,2)),"n.a.")</x:f>
        <x:v>0</x:v>
      </x:c>
    </x:row>
    <x:row r="1613" ht="22" customHeight="1">
      <x:c r="A1613" s="2"/>
      <x:c r="B1613" s="2"/>
      <x:c r="C1613" s="27" t="n">
        <x:f>322</x:f>
        <x:v>322</x:v>
      </x:c>
      <x:c r="D1613" s="28" t="n">
        <x:f>IF(ISNUMBER('Inputs'!$D$7),EDATE('Inputs'!$D$7,321),"n.a.")</x:f>
        <x:v>56097</x:v>
      </x:c>
      <x:c r="E1613" s="26" t="n">
        <x:f>IF('Inputs'!$D$9&lt;&gt;"Ready","n.a.",IF(ISNUMBER('Inputs'!E340),IF('Inputs'!E340&gt;=0,'Inputs'!E340,"n.a."),IF('Inputs'!E340="",'Inputs'!$D$6,"n.a.")))</x:f>
        <x:v>500</x:v>
      </x:c>
      <x:c r="F1613" s="22" t="n">
        <x:f>IF(COUNT($N$1612:$N$1616)=5,SUM($N$1612:$N$1616),"n.a.")</x:f>
        <x:v>0</x:v>
      </x:c>
      <x:c r="G1613" s="22" t="n">
        <x:f>IF(COUNT(E1613:F1613)=2,MAX(0,E1613-F1613),"n.a.")</x:f>
        <x:v>500</x:v>
      </x:c>
      <x:c r="H1613" s="26" t="str">
        <x:f>'Inputs'!C12</x:f>
        <x:v>Card B</x:v>
      </x:c>
      <x:c r="I1613" s="26" t="n">
        <x:f>S1608</x:f>
        <x:v>0</x:v>
      </x:c>
      <x:c r="J1613" s="29" t="n">
        <x:f>IF('Inputs'!$D$9="Ready",'Inputs'!E12,"n.a.")</x:f>
        <x:v>0.18</x:v>
      </x:c>
      <x:c r="K1613" s="26" t="n">
        <x:f>IF('Inputs'!$D$9="Ready",'Inputs'!F12,"n.a.")</x:f>
        <x:v>60</x:v>
      </x:c>
      <x:c r="L1613" s="29" t="n">
        <x:f>IF('Inputs'!$D$9="Ready",'Inputs'!G12,"n.a.")</x:f>
        <x:v>0.02</x:v>
      </x:c>
      <x:c r="M1613" s="22" t="n">
        <x:f>IF(COUNT(I1613:L1613)=4,ROUND(I1613*J1613/12,2),"n.a.")</x:f>
        <x:v>0</x:v>
      </x:c>
      <x:c r="N1613" s="22" t="n">
        <x:f>IF(COUNT(I1613:M1613)=5,MIN(I1613+M1613,ROUND(MAX(K1613,I1613*L1613+M1613),2)),"n.a.")</x:f>
        <x:v>0</x:v>
      </x:c>
      <x:c r="O1613" s="30" t="n">
        <x:f>IF(COUNT($I$1612:$I$1616)&lt;&gt;5,"n.a.",IF(I1613=0,6,IF('Inputs'!$D$5=1,COUNTIFS($I$1612:$I$1616,"&gt;0",$I$1612:$I$1616,"&lt;"&amp;I1613)+COUNTIFS($I$1612:I1613,I1613),COUNTIFS($I$1612:$I$1616,"&gt;0",$J$1612:$J$1616,"&gt;"&amp;J1613)+COUNTIFS($I$1612:I1613,"&gt;0",$J$1612:J1613,J1613))))</x:f>
        <x:v>6</x:v>
      </x:c>
      <x:c r="P1613" s="22" t="n">
        <x:f>IF(T1613="Ready",MIN(U1613,MAX(0,G1613-SUMIFS($U$1612:$U$1616,$O$1612:$O$1616,"&lt;"&amp;O1613))),"n.a.")</x:f>
        <x:v>0</x:v>
      </x:c>
      <x:c r="Q1613" s="22" t="n">
        <x:f>IF(T1613="Ready",ROUND(N1613+P1613,2),"n.a.")</x:f>
        <x:v>0</x:v>
      </x:c>
      <x:c r="R1613" s="22" t="n">
        <x:f>IF(T1613="Ready",ROUND(Q1613-M1613,2),"n.a.")</x:f>
        <x:v>0</x:v>
      </x:c>
      <x:c r="S1613" s="22" t="n">
        <x:f>IF(T1613="Ready",MAX(0,ROUND(I1613+M1613-Q1613,2)),"n.a.")</x:f>
        <x:v>0</x:v>
      </x:c>
      <x:c r="T1613" s="22" t="str">
        <x:f>IF(AND(COUNT($I$1612:$I$1616)=5,COUNT(E1613:F1613)=2),IF(E1613&gt;=F1613,"Ready","Budget below minima"),"Check inputs")</x:f>
        <x:v>Ready</x:v>
      </x:c>
      <x:c r="U1613" s="22" t="n">
        <x:f>IF(COUNT(I1613,M1613,N1613)=3,MAX(0,ROUND(I1613+M1613-N1613,2)),"n.a.")</x:f>
        <x:v>0</x:v>
      </x:c>
    </x:row>
    <x:row r="1614" ht="22" customHeight="1">
      <x:c r="A1614" s="2"/>
      <x:c r="B1614" s="2"/>
      <x:c r="C1614" s="27" t="n">
        <x:f>322</x:f>
        <x:v>322</x:v>
      </x:c>
      <x:c r="D1614" s="28" t="n">
        <x:f>IF(ISNUMBER('Inputs'!$D$7),EDATE('Inputs'!$D$7,321),"n.a.")</x:f>
        <x:v>56097</x:v>
      </x:c>
      <x:c r="E1614" s="26" t="n">
        <x:f>IF('Inputs'!$D$9&lt;&gt;"Ready","n.a.",IF(ISNUMBER('Inputs'!E340),IF('Inputs'!E340&gt;=0,'Inputs'!E340,"n.a."),IF('Inputs'!E340="",'Inputs'!$D$6,"n.a.")))</x:f>
        <x:v>500</x:v>
      </x:c>
      <x:c r="F1614" s="22" t="n">
        <x:f>IF(COUNT($N$1612:$N$1616)=5,SUM($N$1612:$N$1616),"n.a.")</x:f>
        <x:v>0</x:v>
      </x:c>
      <x:c r="G1614" s="22" t="n">
        <x:f>IF(COUNT(E1614:F1614)=2,MAX(0,E1614-F1614),"n.a.")</x:f>
        <x:v>500</x:v>
      </x:c>
      <x:c r="H1614" s="26" t="str">
        <x:f>'Inputs'!C13</x:f>
        <x:v>Loan C</x:v>
      </x:c>
      <x:c r="I1614" s="26" t="n">
        <x:f>S1609</x:f>
        <x:v>0</x:v>
      </x:c>
      <x:c r="J1614" s="29" t="n">
        <x:f>IF('Inputs'!$D$9="Ready",'Inputs'!E13,"n.a.")</x:f>
        <x:v>0.08</x:v>
      </x:c>
      <x:c r="K1614" s="26" t="n">
        <x:f>IF('Inputs'!$D$9="Ready",'Inputs'!F13,"n.a.")</x:f>
        <x:v>150</x:v>
      </x:c>
      <x:c r="L1614" s="29" t="n">
        <x:f>IF('Inputs'!$D$9="Ready",'Inputs'!G13,"n.a.")</x:f>
        <x:v>0</x:v>
      </x:c>
      <x:c r="M1614" s="22" t="n">
        <x:f>IF(COUNT(I1614:L1614)=4,ROUND(I1614*J1614/12,2),"n.a.")</x:f>
        <x:v>0</x:v>
      </x:c>
      <x:c r="N1614" s="22" t="n">
        <x:f>IF(COUNT(I1614:M1614)=5,MIN(I1614+M1614,ROUND(MAX(K1614,I1614*L1614+M1614),2)),"n.a.")</x:f>
        <x:v>0</x:v>
      </x:c>
      <x:c r="O1614" s="30" t="n">
        <x:f>IF(COUNT($I$1612:$I$1616)&lt;&gt;5,"n.a.",IF(I1614=0,6,IF('Inputs'!$D$5=1,COUNTIFS($I$1612:$I$1616,"&gt;0",$I$1612:$I$1616,"&lt;"&amp;I1614)+COUNTIFS($I$1612:I1614,I1614),COUNTIFS($I$1612:$I$1616,"&gt;0",$J$1612:$J$1616,"&gt;"&amp;J1614)+COUNTIFS($I$1612:I1614,"&gt;0",$J$1612:J1614,J1614))))</x:f>
        <x:v>6</x:v>
      </x:c>
      <x:c r="P1614" s="22" t="n">
        <x:f>IF(T1614="Ready",MIN(U1614,MAX(0,G1614-SUMIFS($U$1612:$U$1616,$O$1612:$O$1616,"&lt;"&amp;O1614))),"n.a.")</x:f>
        <x:v>0</x:v>
      </x:c>
      <x:c r="Q1614" s="22" t="n">
        <x:f>IF(T1614="Ready",ROUND(N1614+P1614,2),"n.a.")</x:f>
        <x:v>0</x:v>
      </x:c>
      <x:c r="R1614" s="22" t="n">
        <x:f>IF(T1614="Ready",ROUND(Q1614-M1614,2),"n.a.")</x:f>
        <x:v>0</x:v>
      </x:c>
      <x:c r="S1614" s="22" t="n">
        <x:f>IF(T1614="Ready",MAX(0,ROUND(I1614+M1614-Q1614,2)),"n.a.")</x:f>
        <x:v>0</x:v>
      </x:c>
      <x:c r="T1614" s="22" t="str">
        <x:f>IF(AND(COUNT($I$1612:$I$1616)=5,COUNT(E1614:F1614)=2),IF(E1614&gt;=F1614,"Ready","Budget below minima"),"Check inputs")</x:f>
        <x:v>Ready</x:v>
      </x:c>
      <x:c r="U1614" s="22" t="n">
        <x:f>IF(COUNT(I1614,M1614,N1614)=3,MAX(0,ROUND(I1614+M1614-N1614,2)),"n.a.")</x:f>
        <x:v>0</x:v>
      </x:c>
    </x:row>
    <x:row r="1615" ht="22" customHeight="1">
      <x:c r="A1615" s="2"/>
      <x:c r="B1615" s="2"/>
      <x:c r="C1615" s="27" t="n">
        <x:f>322</x:f>
        <x:v>322</x:v>
      </x:c>
      <x:c r="D1615" s="28" t="n">
        <x:f>IF(ISNUMBER('Inputs'!$D$7),EDATE('Inputs'!$D$7,321),"n.a.")</x:f>
        <x:v>56097</x:v>
      </x:c>
      <x:c r="E1615" s="26" t="n">
        <x:f>IF('Inputs'!$D$9&lt;&gt;"Ready","n.a.",IF(ISNUMBER('Inputs'!E340),IF('Inputs'!E340&gt;=0,'Inputs'!E340,"n.a."),IF('Inputs'!E340="",'Inputs'!$D$6,"n.a.")))</x:f>
        <x:v>500</x:v>
      </x:c>
      <x:c r="F1615" s="22" t="n">
        <x:f>IF(COUNT($N$1612:$N$1616)=5,SUM($N$1612:$N$1616),"n.a.")</x:f>
        <x:v>0</x:v>
      </x:c>
      <x:c r="G1615" s="22" t="n">
        <x:f>IF(COUNT(E1615:F1615)=2,MAX(0,E1615-F1615),"n.a.")</x:f>
        <x:v>500</x:v>
      </x:c>
      <x:c r="H1615" s="26" t="str">
        <x:f>'Inputs'!C14</x:f>
        <x:v>Unused 4</x:v>
      </x:c>
      <x:c r="I1615" s="26" t="n">
        <x:f>S1610</x:f>
        <x:v>0</x:v>
      </x:c>
      <x:c r="J1615" s="29" t="n">
        <x:f>IF('Inputs'!$D$9="Ready",'Inputs'!E14,"n.a.")</x:f>
        <x:v>0</x:v>
      </x:c>
      <x:c r="K1615" s="26" t="n">
        <x:f>IF('Inputs'!$D$9="Ready",'Inputs'!F14,"n.a.")</x:f>
        <x:v>0</x:v>
      </x:c>
      <x:c r="L1615" s="29" t="n">
        <x:f>IF('Inputs'!$D$9="Ready",'Inputs'!G14,"n.a.")</x:f>
        <x:v>0</x:v>
      </x:c>
      <x:c r="M1615" s="22" t="n">
        <x:f>IF(COUNT(I1615:L1615)=4,ROUND(I1615*J1615/12,2),"n.a.")</x:f>
        <x:v>0</x:v>
      </x:c>
      <x:c r="N1615" s="22" t="n">
        <x:f>IF(COUNT(I1615:M1615)=5,MIN(I1615+M1615,ROUND(MAX(K1615,I1615*L1615+M1615),2)),"n.a.")</x:f>
        <x:v>0</x:v>
      </x:c>
      <x:c r="O1615" s="30" t="n">
        <x:f>IF(COUNT($I$1612:$I$1616)&lt;&gt;5,"n.a.",IF(I1615=0,6,IF('Inputs'!$D$5=1,COUNTIFS($I$1612:$I$1616,"&gt;0",$I$1612:$I$1616,"&lt;"&amp;I1615)+COUNTIFS($I$1612:I1615,I1615),COUNTIFS($I$1612:$I$1616,"&gt;0",$J$1612:$J$1616,"&gt;"&amp;J1615)+COUNTIFS($I$1612:I1615,"&gt;0",$J$1612:J1615,J1615))))</x:f>
        <x:v>6</x:v>
      </x:c>
      <x:c r="P1615" s="22" t="n">
        <x:f>IF(T1615="Ready",MIN(U1615,MAX(0,G1615-SUMIFS($U$1612:$U$1616,$O$1612:$O$1616,"&lt;"&amp;O1615))),"n.a.")</x:f>
        <x:v>0</x:v>
      </x:c>
      <x:c r="Q1615" s="22" t="n">
        <x:f>IF(T1615="Ready",ROUND(N1615+P1615,2),"n.a.")</x:f>
        <x:v>0</x:v>
      </x:c>
      <x:c r="R1615" s="22" t="n">
        <x:f>IF(T1615="Ready",ROUND(Q1615-M1615,2),"n.a.")</x:f>
        <x:v>0</x:v>
      </x:c>
      <x:c r="S1615" s="22" t="n">
        <x:f>IF(T1615="Ready",MAX(0,ROUND(I1615+M1615-Q1615,2)),"n.a.")</x:f>
        <x:v>0</x:v>
      </x:c>
      <x:c r="T1615" s="22" t="str">
        <x:f>IF(AND(COUNT($I$1612:$I$1616)=5,COUNT(E1615:F1615)=2),IF(E1615&gt;=F1615,"Ready","Budget below minima"),"Check inputs")</x:f>
        <x:v>Ready</x:v>
      </x:c>
      <x:c r="U1615" s="22" t="n">
        <x:f>IF(COUNT(I1615,M1615,N1615)=3,MAX(0,ROUND(I1615+M1615-N1615,2)),"n.a.")</x:f>
        <x:v>0</x:v>
      </x:c>
    </x:row>
    <x:row r="1616" ht="22" customHeight="1">
      <x:c r="A1616" s="2"/>
      <x:c r="B1616" s="2"/>
      <x:c r="C1616" s="27" t="n">
        <x:f>322</x:f>
        <x:v>322</x:v>
      </x:c>
      <x:c r="D1616" s="28" t="n">
        <x:f>IF(ISNUMBER('Inputs'!$D$7),EDATE('Inputs'!$D$7,321),"n.a.")</x:f>
        <x:v>56097</x:v>
      </x:c>
      <x:c r="E1616" s="26" t="n">
        <x:f>IF('Inputs'!$D$9&lt;&gt;"Ready","n.a.",IF(ISNUMBER('Inputs'!E340),IF('Inputs'!E340&gt;=0,'Inputs'!E340,"n.a."),IF('Inputs'!E340="",'Inputs'!$D$6,"n.a.")))</x:f>
        <x:v>500</x:v>
      </x:c>
      <x:c r="F1616" s="22" t="n">
        <x:f>IF(COUNT($N$1612:$N$1616)=5,SUM($N$1612:$N$1616),"n.a.")</x:f>
        <x:v>0</x:v>
      </x:c>
      <x:c r="G1616" s="22" t="n">
        <x:f>IF(COUNT(E1616:F1616)=2,MAX(0,E1616-F1616),"n.a.")</x:f>
        <x:v>500</x:v>
      </x:c>
      <x:c r="H1616" s="26" t="str">
        <x:f>'Inputs'!C15</x:f>
        <x:v>Unused 5</x:v>
      </x:c>
      <x:c r="I1616" s="26" t="n">
        <x:f>S1611</x:f>
        <x:v>0</x:v>
      </x:c>
      <x:c r="J1616" s="29" t="n">
        <x:f>IF('Inputs'!$D$9="Ready",'Inputs'!E15,"n.a.")</x:f>
        <x:v>0</x:v>
      </x:c>
      <x:c r="K1616" s="26" t="n">
        <x:f>IF('Inputs'!$D$9="Ready",'Inputs'!F15,"n.a.")</x:f>
        <x:v>0</x:v>
      </x:c>
      <x:c r="L1616" s="29" t="n">
        <x:f>IF('Inputs'!$D$9="Ready",'Inputs'!G15,"n.a.")</x:f>
        <x:v>0</x:v>
      </x:c>
      <x:c r="M1616" s="22" t="n">
        <x:f>IF(COUNT(I1616:L1616)=4,ROUND(I1616*J1616/12,2),"n.a.")</x:f>
        <x:v>0</x:v>
      </x:c>
      <x:c r="N1616" s="22" t="n">
        <x:f>IF(COUNT(I1616:M1616)=5,MIN(I1616+M1616,ROUND(MAX(K1616,I1616*L1616+M1616),2)),"n.a.")</x:f>
        <x:v>0</x:v>
      </x:c>
      <x:c r="O1616" s="30" t="n">
        <x:f>IF(COUNT($I$1612:$I$1616)&lt;&gt;5,"n.a.",IF(I1616=0,6,IF('Inputs'!$D$5=1,COUNTIFS($I$1612:$I$1616,"&gt;0",$I$1612:$I$1616,"&lt;"&amp;I1616)+COUNTIFS($I$1612:I1616,I1616),COUNTIFS($I$1612:$I$1616,"&gt;0",$J$1612:$J$1616,"&gt;"&amp;J1616)+COUNTIFS($I$1612:I1616,"&gt;0",$J$1612:J1616,J1616))))</x:f>
        <x:v>6</x:v>
      </x:c>
      <x:c r="P1616" s="22" t="n">
        <x:f>IF(T1616="Ready",MIN(U1616,MAX(0,G1616-SUMIFS($U$1612:$U$1616,$O$1612:$O$1616,"&lt;"&amp;O1616))),"n.a.")</x:f>
        <x:v>0</x:v>
      </x:c>
      <x:c r="Q1616" s="22" t="n">
        <x:f>IF(T1616="Ready",ROUND(N1616+P1616,2),"n.a.")</x:f>
        <x:v>0</x:v>
      </x:c>
      <x:c r="R1616" s="22" t="n">
        <x:f>IF(T1616="Ready",ROUND(Q1616-M1616,2),"n.a.")</x:f>
        <x:v>0</x:v>
      </x:c>
      <x:c r="S1616" s="22" t="n">
        <x:f>IF(T1616="Ready",MAX(0,ROUND(I1616+M1616-Q1616,2)),"n.a.")</x:f>
        <x:v>0</x:v>
      </x:c>
      <x:c r="T1616" s="22" t="str">
        <x:f>IF(AND(COUNT($I$1612:$I$1616)=5,COUNT(E1616:F1616)=2),IF(E1616&gt;=F1616,"Ready","Budget below minima"),"Check inputs")</x:f>
        <x:v>Ready</x:v>
      </x:c>
      <x:c r="U1616" s="22" t="n">
        <x:f>IF(COUNT(I1616,M1616,N1616)=3,MAX(0,ROUND(I1616+M1616-N1616,2)),"n.a.")</x:f>
        <x:v>0</x:v>
      </x:c>
    </x:row>
    <x:row r="1617" ht="22" customHeight="1">
      <x:c r="A1617" s="2"/>
      <x:c r="B1617" s="2"/>
      <x:c r="C1617" s="27" t="n">
        <x:f>323</x:f>
        <x:v>323</x:v>
      </x:c>
      <x:c r="D1617" s="28" t="n">
        <x:f>IF(ISNUMBER('Inputs'!$D$7),EDATE('Inputs'!$D$7,322),"n.a.")</x:f>
        <x:v>56128</x:v>
      </x:c>
      <x:c r="E1617" s="26" t="n">
        <x:f>IF('Inputs'!$D$9&lt;&gt;"Ready","n.a.",IF(ISNUMBER('Inputs'!E341),IF('Inputs'!E341&gt;=0,'Inputs'!E341,"n.a."),IF('Inputs'!E341="",'Inputs'!$D$6,"n.a.")))</x:f>
        <x:v>500</x:v>
      </x:c>
      <x:c r="F1617" s="22" t="n">
        <x:f>IF(COUNT($N$1617:$N$1621)=5,SUM($N$1617:$N$1621),"n.a.")</x:f>
        <x:v>0</x:v>
      </x:c>
      <x:c r="G1617" s="22" t="n">
        <x:f>IF(COUNT(E1617:F1617)=2,MAX(0,E1617-F1617),"n.a.")</x:f>
        <x:v>500</x:v>
      </x:c>
      <x:c r="H1617" s="26" t="str">
        <x:f>'Inputs'!C11</x:f>
        <x:v>Card A</x:v>
      </x:c>
      <x:c r="I1617" s="26" t="n">
        <x:f>S1612</x:f>
        <x:v>0</x:v>
      </x:c>
      <x:c r="J1617" s="29" t="n">
        <x:f>IF('Inputs'!$D$9="Ready",'Inputs'!E11,"n.a.")</x:f>
        <x:v>0.24</x:v>
      </x:c>
      <x:c r="K1617" s="26" t="n">
        <x:f>IF('Inputs'!$D$9="Ready",'Inputs'!F11,"n.a.")</x:f>
        <x:v>35</x:v>
      </x:c>
      <x:c r="L1617" s="29" t="n">
        <x:f>IF('Inputs'!$D$9="Ready",'Inputs'!G11,"n.a.")</x:f>
        <x:v>0.02</x:v>
      </x:c>
      <x:c r="M1617" s="22" t="n">
        <x:f>IF(COUNT(I1617:L1617)=4,ROUND(I1617*J1617/12,2),"n.a.")</x:f>
        <x:v>0</x:v>
      </x:c>
      <x:c r="N1617" s="22" t="n">
        <x:f>IF(COUNT(I1617:M1617)=5,MIN(I1617+M1617,ROUND(MAX(K1617,I1617*L1617+M1617),2)),"n.a.")</x:f>
        <x:v>0</x:v>
      </x:c>
      <x:c r="O1617" s="30" t="n">
        <x:f>IF(COUNT($I$1617:$I$1621)&lt;&gt;5,"n.a.",IF(I1617=0,6,IF('Inputs'!$D$5=1,COUNTIFS($I$1617:$I$1621,"&gt;0",$I$1617:$I$1621,"&lt;"&amp;I1617)+COUNTIFS($I$1617:I1617,I1617),COUNTIFS($I$1617:$I$1621,"&gt;0",$J$1617:$J$1621,"&gt;"&amp;J1617)+COUNTIFS($I$1617:I1617,"&gt;0",$J$1617:J1617,J1617))))</x:f>
        <x:v>6</x:v>
      </x:c>
      <x:c r="P1617" s="22" t="n">
        <x:f>IF(T1617="Ready",MIN(U1617,MAX(0,G1617-SUMIFS($U$1617:$U$1621,$O$1617:$O$1621,"&lt;"&amp;O1617))),"n.a.")</x:f>
        <x:v>0</x:v>
      </x:c>
      <x:c r="Q1617" s="22" t="n">
        <x:f>IF(T1617="Ready",ROUND(N1617+P1617,2),"n.a.")</x:f>
        <x:v>0</x:v>
      </x:c>
      <x:c r="R1617" s="22" t="n">
        <x:f>IF(T1617="Ready",ROUND(Q1617-M1617,2),"n.a.")</x:f>
        <x:v>0</x:v>
      </x:c>
      <x:c r="S1617" s="22" t="n">
        <x:f>IF(T1617="Ready",MAX(0,ROUND(I1617+M1617-Q1617,2)),"n.a.")</x:f>
        <x:v>0</x:v>
      </x:c>
      <x:c r="T1617" s="22" t="str">
        <x:f>IF(AND(COUNT($I$1617:$I$1621)=5,COUNT(E1617:F1617)=2),IF(E1617&gt;=F1617,"Ready","Budget below minima"),"Check inputs")</x:f>
        <x:v>Ready</x:v>
      </x:c>
      <x:c r="U1617" s="22" t="n">
        <x:f>IF(COUNT(I1617,M1617,N1617)=3,MAX(0,ROUND(I1617+M1617-N1617,2)),"n.a.")</x:f>
        <x:v>0</x:v>
      </x:c>
    </x:row>
    <x:row r="1618" ht="22" customHeight="1">
      <x:c r="A1618" s="2"/>
      <x:c r="B1618" s="2"/>
      <x:c r="C1618" s="27" t="n">
        <x:f>323</x:f>
        <x:v>323</x:v>
      </x:c>
      <x:c r="D1618" s="28" t="n">
        <x:f>IF(ISNUMBER('Inputs'!$D$7),EDATE('Inputs'!$D$7,322),"n.a.")</x:f>
        <x:v>56128</x:v>
      </x:c>
      <x:c r="E1618" s="26" t="n">
        <x:f>IF('Inputs'!$D$9&lt;&gt;"Ready","n.a.",IF(ISNUMBER('Inputs'!E341),IF('Inputs'!E341&gt;=0,'Inputs'!E341,"n.a."),IF('Inputs'!E341="",'Inputs'!$D$6,"n.a.")))</x:f>
        <x:v>500</x:v>
      </x:c>
      <x:c r="F1618" s="22" t="n">
        <x:f>IF(COUNT($N$1617:$N$1621)=5,SUM($N$1617:$N$1621),"n.a.")</x:f>
        <x:v>0</x:v>
      </x:c>
      <x:c r="G1618" s="22" t="n">
        <x:f>IF(COUNT(E1618:F1618)=2,MAX(0,E1618-F1618),"n.a.")</x:f>
        <x:v>500</x:v>
      </x:c>
      <x:c r="H1618" s="26" t="str">
        <x:f>'Inputs'!C12</x:f>
        <x:v>Card B</x:v>
      </x:c>
      <x:c r="I1618" s="26" t="n">
        <x:f>S1613</x:f>
        <x:v>0</x:v>
      </x:c>
      <x:c r="J1618" s="29" t="n">
        <x:f>IF('Inputs'!$D$9="Ready",'Inputs'!E12,"n.a.")</x:f>
        <x:v>0.18</x:v>
      </x:c>
      <x:c r="K1618" s="26" t="n">
        <x:f>IF('Inputs'!$D$9="Ready",'Inputs'!F12,"n.a.")</x:f>
        <x:v>60</x:v>
      </x:c>
      <x:c r="L1618" s="29" t="n">
        <x:f>IF('Inputs'!$D$9="Ready",'Inputs'!G12,"n.a.")</x:f>
        <x:v>0.02</x:v>
      </x:c>
      <x:c r="M1618" s="22" t="n">
        <x:f>IF(COUNT(I1618:L1618)=4,ROUND(I1618*J1618/12,2),"n.a.")</x:f>
        <x:v>0</x:v>
      </x:c>
      <x:c r="N1618" s="22" t="n">
        <x:f>IF(COUNT(I1618:M1618)=5,MIN(I1618+M1618,ROUND(MAX(K1618,I1618*L1618+M1618),2)),"n.a.")</x:f>
        <x:v>0</x:v>
      </x:c>
      <x:c r="O1618" s="30" t="n">
        <x:f>IF(COUNT($I$1617:$I$1621)&lt;&gt;5,"n.a.",IF(I1618=0,6,IF('Inputs'!$D$5=1,COUNTIFS($I$1617:$I$1621,"&gt;0",$I$1617:$I$1621,"&lt;"&amp;I1618)+COUNTIFS($I$1617:I1618,I1618),COUNTIFS($I$1617:$I$1621,"&gt;0",$J$1617:$J$1621,"&gt;"&amp;J1618)+COUNTIFS($I$1617:I1618,"&gt;0",$J$1617:J1618,J1618))))</x:f>
        <x:v>6</x:v>
      </x:c>
      <x:c r="P1618" s="22" t="n">
        <x:f>IF(T1618="Ready",MIN(U1618,MAX(0,G1618-SUMIFS($U$1617:$U$1621,$O$1617:$O$1621,"&lt;"&amp;O1618))),"n.a.")</x:f>
        <x:v>0</x:v>
      </x:c>
      <x:c r="Q1618" s="22" t="n">
        <x:f>IF(T1618="Ready",ROUND(N1618+P1618,2),"n.a.")</x:f>
        <x:v>0</x:v>
      </x:c>
      <x:c r="R1618" s="22" t="n">
        <x:f>IF(T1618="Ready",ROUND(Q1618-M1618,2),"n.a.")</x:f>
        <x:v>0</x:v>
      </x:c>
      <x:c r="S1618" s="22" t="n">
        <x:f>IF(T1618="Ready",MAX(0,ROUND(I1618+M1618-Q1618,2)),"n.a.")</x:f>
        <x:v>0</x:v>
      </x:c>
      <x:c r="T1618" s="22" t="str">
        <x:f>IF(AND(COUNT($I$1617:$I$1621)=5,COUNT(E1618:F1618)=2),IF(E1618&gt;=F1618,"Ready","Budget below minima"),"Check inputs")</x:f>
        <x:v>Ready</x:v>
      </x:c>
      <x:c r="U1618" s="22" t="n">
        <x:f>IF(COUNT(I1618,M1618,N1618)=3,MAX(0,ROUND(I1618+M1618-N1618,2)),"n.a.")</x:f>
        <x:v>0</x:v>
      </x:c>
    </x:row>
    <x:row r="1619" ht="22" customHeight="1">
      <x:c r="A1619" s="2"/>
      <x:c r="B1619" s="2"/>
      <x:c r="C1619" s="27" t="n">
        <x:f>323</x:f>
        <x:v>323</x:v>
      </x:c>
      <x:c r="D1619" s="28" t="n">
        <x:f>IF(ISNUMBER('Inputs'!$D$7),EDATE('Inputs'!$D$7,322),"n.a.")</x:f>
        <x:v>56128</x:v>
      </x:c>
      <x:c r="E1619" s="26" t="n">
        <x:f>IF('Inputs'!$D$9&lt;&gt;"Ready","n.a.",IF(ISNUMBER('Inputs'!E341),IF('Inputs'!E341&gt;=0,'Inputs'!E341,"n.a."),IF('Inputs'!E341="",'Inputs'!$D$6,"n.a.")))</x:f>
        <x:v>500</x:v>
      </x:c>
      <x:c r="F1619" s="22" t="n">
        <x:f>IF(COUNT($N$1617:$N$1621)=5,SUM($N$1617:$N$1621),"n.a.")</x:f>
        <x:v>0</x:v>
      </x:c>
      <x:c r="G1619" s="22" t="n">
        <x:f>IF(COUNT(E1619:F1619)=2,MAX(0,E1619-F1619),"n.a.")</x:f>
        <x:v>500</x:v>
      </x:c>
      <x:c r="H1619" s="26" t="str">
        <x:f>'Inputs'!C13</x:f>
        <x:v>Loan C</x:v>
      </x:c>
      <x:c r="I1619" s="26" t="n">
        <x:f>S1614</x:f>
        <x:v>0</x:v>
      </x:c>
      <x:c r="J1619" s="29" t="n">
        <x:f>IF('Inputs'!$D$9="Ready",'Inputs'!E13,"n.a.")</x:f>
        <x:v>0.08</x:v>
      </x:c>
      <x:c r="K1619" s="26" t="n">
        <x:f>IF('Inputs'!$D$9="Ready",'Inputs'!F13,"n.a.")</x:f>
        <x:v>150</x:v>
      </x:c>
      <x:c r="L1619" s="29" t="n">
        <x:f>IF('Inputs'!$D$9="Ready",'Inputs'!G13,"n.a.")</x:f>
        <x:v>0</x:v>
      </x:c>
      <x:c r="M1619" s="22" t="n">
        <x:f>IF(COUNT(I1619:L1619)=4,ROUND(I1619*J1619/12,2),"n.a.")</x:f>
        <x:v>0</x:v>
      </x:c>
      <x:c r="N1619" s="22" t="n">
        <x:f>IF(COUNT(I1619:M1619)=5,MIN(I1619+M1619,ROUND(MAX(K1619,I1619*L1619+M1619),2)),"n.a.")</x:f>
        <x:v>0</x:v>
      </x:c>
      <x:c r="O1619" s="30" t="n">
        <x:f>IF(COUNT($I$1617:$I$1621)&lt;&gt;5,"n.a.",IF(I1619=0,6,IF('Inputs'!$D$5=1,COUNTIFS($I$1617:$I$1621,"&gt;0",$I$1617:$I$1621,"&lt;"&amp;I1619)+COUNTIFS($I$1617:I1619,I1619),COUNTIFS($I$1617:$I$1621,"&gt;0",$J$1617:$J$1621,"&gt;"&amp;J1619)+COUNTIFS($I$1617:I1619,"&gt;0",$J$1617:J1619,J1619))))</x:f>
        <x:v>6</x:v>
      </x:c>
      <x:c r="P1619" s="22" t="n">
        <x:f>IF(T1619="Ready",MIN(U1619,MAX(0,G1619-SUMIFS($U$1617:$U$1621,$O$1617:$O$1621,"&lt;"&amp;O1619))),"n.a.")</x:f>
        <x:v>0</x:v>
      </x:c>
      <x:c r="Q1619" s="22" t="n">
        <x:f>IF(T1619="Ready",ROUND(N1619+P1619,2),"n.a.")</x:f>
        <x:v>0</x:v>
      </x:c>
      <x:c r="R1619" s="22" t="n">
        <x:f>IF(T1619="Ready",ROUND(Q1619-M1619,2),"n.a.")</x:f>
        <x:v>0</x:v>
      </x:c>
      <x:c r="S1619" s="22" t="n">
        <x:f>IF(T1619="Ready",MAX(0,ROUND(I1619+M1619-Q1619,2)),"n.a.")</x:f>
        <x:v>0</x:v>
      </x:c>
      <x:c r="T1619" s="22" t="str">
        <x:f>IF(AND(COUNT($I$1617:$I$1621)=5,COUNT(E1619:F1619)=2),IF(E1619&gt;=F1619,"Ready","Budget below minima"),"Check inputs")</x:f>
        <x:v>Ready</x:v>
      </x:c>
      <x:c r="U1619" s="22" t="n">
        <x:f>IF(COUNT(I1619,M1619,N1619)=3,MAX(0,ROUND(I1619+M1619-N1619,2)),"n.a.")</x:f>
        <x:v>0</x:v>
      </x:c>
    </x:row>
    <x:row r="1620" ht="22" customHeight="1">
      <x:c r="A1620" s="2"/>
      <x:c r="B1620" s="2"/>
      <x:c r="C1620" s="27" t="n">
        <x:f>323</x:f>
        <x:v>323</x:v>
      </x:c>
      <x:c r="D1620" s="28" t="n">
        <x:f>IF(ISNUMBER('Inputs'!$D$7),EDATE('Inputs'!$D$7,322),"n.a.")</x:f>
        <x:v>56128</x:v>
      </x:c>
      <x:c r="E1620" s="26" t="n">
        <x:f>IF('Inputs'!$D$9&lt;&gt;"Ready","n.a.",IF(ISNUMBER('Inputs'!E341),IF('Inputs'!E341&gt;=0,'Inputs'!E341,"n.a."),IF('Inputs'!E341="",'Inputs'!$D$6,"n.a.")))</x:f>
        <x:v>500</x:v>
      </x:c>
      <x:c r="F1620" s="22" t="n">
        <x:f>IF(COUNT($N$1617:$N$1621)=5,SUM($N$1617:$N$1621),"n.a.")</x:f>
        <x:v>0</x:v>
      </x:c>
      <x:c r="G1620" s="22" t="n">
        <x:f>IF(COUNT(E1620:F1620)=2,MAX(0,E1620-F1620),"n.a.")</x:f>
        <x:v>500</x:v>
      </x:c>
      <x:c r="H1620" s="26" t="str">
        <x:f>'Inputs'!C14</x:f>
        <x:v>Unused 4</x:v>
      </x:c>
      <x:c r="I1620" s="26" t="n">
        <x:f>S1615</x:f>
        <x:v>0</x:v>
      </x:c>
      <x:c r="J1620" s="29" t="n">
        <x:f>IF('Inputs'!$D$9="Ready",'Inputs'!E14,"n.a.")</x:f>
        <x:v>0</x:v>
      </x:c>
      <x:c r="K1620" s="26" t="n">
        <x:f>IF('Inputs'!$D$9="Ready",'Inputs'!F14,"n.a.")</x:f>
        <x:v>0</x:v>
      </x:c>
      <x:c r="L1620" s="29" t="n">
        <x:f>IF('Inputs'!$D$9="Ready",'Inputs'!G14,"n.a.")</x:f>
        <x:v>0</x:v>
      </x:c>
      <x:c r="M1620" s="22" t="n">
        <x:f>IF(COUNT(I1620:L1620)=4,ROUND(I1620*J1620/12,2),"n.a.")</x:f>
        <x:v>0</x:v>
      </x:c>
      <x:c r="N1620" s="22" t="n">
        <x:f>IF(COUNT(I1620:M1620)=5,MIN(I1620+M1620,ROUND(MAX(K1620,I1620*L1620+M1620),2)),"n.a.")</x:f>
        <x:v>0</x:v>
      </x:c>
      <x:c r="O1620" s="30" t="n">
        <x:f>IF(COUNT($I$1617:$I$1621)&lt;&gt;5,"n.a.",IF(I1620=0,6,IF('Inputs'!$D$5=1,COUNTIFS($I$1617:$I$1621,"&gt;0",$I$1617:$I$1621,"&lt;"&amp;I1620)+COUNTIFS($I$1617:I1620,I1620),COUNTIFS($I$1617:$I$1621,"&gt;0",$J$1617:$J$1621,"&gt;"&amp;J1620)+COUNTIFS($I$1617:I1620,"&gt;0",$J$1617:J1620,J1620))))</x:f>
        <x:v>6</x:v>
      </x:c>
      <x:c r="P1620" s="22" t="n">
        <x:f>IF(T1620="Ready",MIN(U1620,MAX(0,G1620-SUMIFS($U$1617:$U$1621,$O$1617:$O$1621,"&lt;"&amp;O1620))),"n.a.")</x:f>
        <x:v>0</x:v>
      </x:c>
      <x:c r="Q1620" s="22" t="n">
        <x:f>IF(T1620="Ready",ROUND(N1620+P1620,2),"n.a.")</x:f>
        <x:v>0</x:v>
      </x:c>
      <x:c r="R1620" s="22" t="n">
        <x:f>IF(T1620="Ready",ROUND(Q1620-M1620,2),"n.a.")</x:f>
        <x:v>0</x:v>
      </x:c>
      <x:c r="S1620" s="22" t="n">
        <x:f>IF(T1620="Ready",MAX(0,ROUND(I1620+M1620-Q1620,2)),"n.a.")</x:f>
        <x:v>0</x:v>
      </x:c>
      <x:c r="T1620" s="22" t="str">
        <x:f>IF(AND(COUNT($I$1617:$I$1621)=5,COUNT(E1620:F1620)=2),IF(E1620&gt;=F1620,"Ready","Budget below minima"),"Check inputs")</x:f>
        <x:v>Ready</x:v>
      </x:c>
      <x:c r="U1620" s="22" t="n">
        <x:f>IF(COUNT(I1620,M1620,N1620)=3,MAX(0,ROUND(I1620+M1620-N1620,2)),"n.a.")</x:f>
        <x:v>0</x:v>
      </x:c>
    </x:row>
    <x:row r="1621" ht="22" customHeight="1">
      <x:c r="A1621" s="2"/>
      <x:c r="B1621" s="2"/>
      <x:c r="C1621" s="27" t="n">
        <x:f>323</x:f>
        <x:v>323</x:v>
      </x:c>
      <x:c r="D1621" s="28" t="n">
        <x:f>IF(ISNUMBER('Inputs'!$D$7),EDATE('Inputs'!$D$7,322),"n.a.")</x:f>
        <x:v>56128</x:v>
      </x:c>
      <x:c r="E1621" s="26" t="n">
        <x:f>IF('Inputs'!$D$9&lt;&gt;"Ready","n.a.",IF(ISNUMBER('Inputs'!E341),IF('Inputs'!E341&gt;=0,'Inputs'!E341,"n.a."),IF('Inputs'!E341="",'Inputs'!$D$6,"n.a.")))</x:f>
        <x:v>500</x:v>
      </x:c>
      <x:c r="F1621" s="22" t="n">
        <x:f>IF(COUNT($N$1617:$N$1621)=5,SUM($N$1617:$N$1621),"n.a.")</x:f>
        <x:v>0</x:v>
      </x:c>
      <x:c r="G1621" s="22" t="n">
        <x:f>IF(COUNT(E1621:F1621)=2,MAX(0,E1621-F1621),"n.a.")</x:f>
        <x:v>500</x:v>
      </x:c>
      <x:c r="H1621" s="26" t="str">
        <x:f>'Inputs'!C15</x:f>
        <x:v>Unused 5</x:v>
      </x:c>
      <x:c r="I1621" s="26" t="n">
        <x:f>S1616</x:f>
        <x:v>0</x:v>
      </x:c>
      <x:c r="J1621" s="29" t="n">
        <x:f>IF('Inputs'!$D$9="Ready",'Inputs'!E15,"n.a.")</x:f>
        <x:v>0</x:v>
      </x:c>
      <x:c r="K1621" s="26" t="n">
        <x:f>IF('Inputs'!$D$9="Ready",'Inputs'!F15,"n.a.")</x:f>
        <x:v>0</x:v>
      </x:c>
      <x:c r="L1621" s="29" t="n">
        <x:f>IF('Inputs'!$D$9="Ready",'Inputs'!G15,"n.a.")</x:f>
        <x:v>0</x:v>
      </x:c>
      <x:c r="M1621" s="22" t="n">
        <x:f>IF(COUNT(I1621:L1621)=4,ROUND(I1621*J1621/12,2),"n.a.")</x:f>
        <x:v>0</x:v>
      </x:c>
      <x:c r="N1621" s="22" t="n">
        <x:f>IF(COUNT(I1621:M1621)=5,MIN(I1621+M1621,ROUND(MAX(K1621,I1621*L1621+M1621),2)),"n.a.")</x:f>
        <x:v>0</x:v>
      </x:c>
      <x:c r="O1621" s="30" t="n">
        <x:f>IF(COUNT($I$1617:$I$1621)&lt;&gt;5,"n.a.",IF(I1621=0,6,IF('Inputs'!$D$5=1,COUNTIFS($I$1617:$I$1621,"&gt;0",$I$1617:$I$1621,"&lt;"&amp;I1621)+COUNTIFS($I$1617:I1621,I1621),COUNTIFS($I$1617:$I$1621,"&gt;0",$J$1617:$J$1621,"&gt;"&amp;J1621)+COUNTIFS($I$1617:I1621,"&gt;0",$J$1617:J1621,J1621))))</x:f>
        <x:v>6</x:v>
      </x:c>
      <x:c r="P1621" s="22" t="n">
        <x:f>IF(T1621="Ready",MIN(U1621,MAX(0,G1621-SUMIFS($U$1617:$U$1621,$O$1617:$O$1621,"&lt;"&amp;O1621))),"n.a.")</x:f>
        <x:v>0</x:v>
      </x:c>
      <x:c r="Q1621" s="22" t="n">
        <x:f>IF(T1621="Ready",ROUND(N1621+P1621,2),"n.a.")</x:f>
        <x:v>0</x:v>
      </x:c>
      <x:c r="R1621" s="22" t="n">
        <x:f>IF(T1621="Ready",ROUND(Q1621-M1621,2),"n.a.")</x:f>
        <x:v>0</x:v>
      </x:c>
      <x:c r="S1621" s="22" t="n">
        <x:f>IF(T1621="Ready",MAX(0,ROUND(I1621+M1621-Q1621,2)),"n.a.")</x:f>
        <x:v>0</x:v>
      </x:c>
      <x:c r="T1621" s="22" t="str">
        <x:f>IF(AND(COUNT($I$1617:$I$1621)=5,COUNT(E1621:F1621)=2),IF(E1621&gt;=F1621,"Ready","Budget below minima"),"Check inputs")</x:f>
        <x:v>Ready</x:v>
      </x:c>
      <x:c r="U1621" s="22" t="n">
        <x:f>IF(COUNT(I1621,M1621,N1621)=3,MAX(0,ROUND(I1621+M1621-N1621,2)),"n.a.")</x:f>
        <x:v>0</x:v>
      </x:c>
    </x:row>
    <x:row r="1622" ht="22" customHeight="1">
      <x:c r="A1622" s="2"/>
      <x:c r="B1622" s="2"/>
      <x:c r="C1622" s="27" t="n">
        <x:f>324</x:f>
        <x:v>324</x:v>
      </x:c>
      <x:c r="D1622" s="28" t="n">
        <x:f>IF(ISNUMBER('Inputs'!$D$7),EDATE('Inputs'!$D$7,323),"n.a.")</x:f>
        <x:v>56158</x:v>
      </x:c>
      <x:c r="E1622" s="26" t="n">
        <x:f>IF('Inputs'!$D$9&lt;&gt;"Ready","n.a.",IF(ISNUMBER('Inputs'!E342),IF('Inputs'!E342&gt;=0,'Inputs'!E342,"n.a."),IF('Inputs'!E342="",'Inputs'!$D$6,"n.a.")))</x:f>
        <x:v>500</x:v>
      </x:c>
      <x:c r="F1622" s="22" t="n">
        <x:f>IF(COUNT($N$1622:$N$1626)=5,SUM($N$1622:$N$1626),"n.a.")</x:f>
        <x:v>0</x:v>
      </x:c>
      <x:c r="G1622" s="22" t="n">
        <x:f>IF(COUNT(E1622:F1622)=2,MAX(0,E1622-F1622),"n.a.")</x:f>
        <x:v>500</x:v>
      </x:c>
      <x:c r="H1622" s="26" t="str">
        <x:f>'Inputs'!C11</x:f>
        <x:v>Card A</x:v>
      </x:c>
      <x:c r="I1622" s="26" t="n">
        <x:f>S1617</x:f>
        <x:v>0</x:v>
      </x:c>
      <x:c r="J1622" s="29" t="n">
        <x:f>IF('Inputs'!$D$9="Ready",'Inputs'!E11,"n.a.")</x:f>
        <x:v>0.24</x:v>
      </x:c>
      <x:c r="K1622" s="26" t="n">
        <x:f>IF('Inputs'!$D$9="Ready",'Inputs'!F11,"n.a.")</x:f>
        <x:v>35</x:v>
      </x:c>
      <x:c r="L1622" s="29" t="n">
        <x:f>IF('Inputs'!$D$9="Ready",'Inputs'!G11,"n.a.")</x:f>
        <x:v>0.02</x:v>
      </x:c>
      <x:c r="M1622" s="22" t="n">
        <x:f>IF(COUNT(I1622:L1622)=4,ROUND(I1622*J1622/12,2),"n.a.")</x:f>
        <x:v>0</x:v>
      </x:c>
      <x:c r="N1622" s="22" t="n">
        <x:f>IF(COUNT(I1622:M1622)=5,MIN(I1622+M1622,ROUND(MAX(K1622,I1622*L1622+M1622),2)),"n.a.")</x:f>
        <x:v>0</x:v>
      </x:c>
      <x:c r="O1622" s="30" t="n">
        <x:f>IF(COUNT($I$1622:$I$1626)&lt;&gt;5,"n.a.",IF(I1622=0,6,IF('Inputs'!$D$5=1,COUNTIFS($I$1622:$I$1626,"&gt;0",$I$1622:$I$1626,"&lt;"&amp;I1622)+COUNTIFS($I$1622:I1622,I1622),COUNTIFS($I$1622:$I$1626,"&gt;0",$J$1622:$J$1626,"&gt;"&amp;J1622)+COUNTIFS($I$1622:I1622,"&gt;0",$J$1622:J1622,J1622))))</x:f>
        <x:v>6</x:v>
      </x:c>
      <x:c r="P1622" s="22" t="n">
        <x:f>IF(T1622="Ready",MIN(U1622,MAX(0,G1622-SUMIFS($U$1622:$U$1626,$O$1622:$O$1626,"&lt;"&amp;O1622))),"n.a.")</x:f>
        <x:v>0</x:v>
      </x:c>
      <x:c r="Q1622" s="22" t="n">
        <x:f>IF(T1622="Ready",ROUND(N1622+P1622,2),"n.a.")</x:f>
        <x:v>0</x:v>
      </x:c>
      <x:c r="R1622" s="22" t="n">
        <x:f>IF(T1622="Ready",ROUND(Q1622-M1622,2),"n.a.")</x:f>
        <x:v>0</x:v>
      </x:c>
      <x:c r="S1622" s="22" t="n">
        <x:f>IF(T1622="Ready",MAX(0,ROUND(I1622+M1622-Q1622,2)),"n.a.")</x:f>
        <x:v>0</x:v>
      </x:c>
      <x:c r="T1622" s="22" t="str">
        <x:f>IF(AND(COUNT($I$1622:$I$1626)=5,COUNT(E1622:F1622)=2),IF(E1622&gt;=F1622,"Ready","Budget below minima"),"Check inputs")</x:f>
        <x:v>Ready</x:v>
      </x:c>
      <x:c r="U1622" s="22" t="n">
        <x:f>IF(COUNT(I1622,M1622,N1622)=3,MAX(0,ROUND(I1622+M1622-N1622,2)),"n.a.")</x:f>
        <x:v>0</x:v>
      </x:c>
    </x:row>
    <x:row r="1623" ht="22" customHeight="1">
      <x:c r="A1623" s="2"/>
      <x:c r="B1623" s="2"/>
      <x:c r="C1623" s="27" t="n">
        <x:f>324</x:f>
        <x:v>324</x:v>
      </x:c>
      <x:c r="D1623" s="28" t="n">
        <x:f>IF(ISNUMBER('Inputs'!$D$7),EDATE('Inputs'!$D$7,323),"n.a.")</x:f>
        <x:v>56158</x:v>
      </x:c>
      <x:c r="E1623" s="26" t="n">
        <x:f>IF('Inputs'!$D$9&lt;&gt;"Ready","n.a.",IF(ISNUMBER('Inputs'!E342),IF('Inputs'!E342&gt;=0,'Inputs'!E342,"n.a."),IF('Inputs'!E342="",'Inputs'!$D$6,"n.a.")))</x:f>
        <x:v>500</x:v>
      </x:c>
      <x:c r="F1623" s="22" t="n">
        <x:f>IF(COUNT($N$1622:$N$1626)=5,SUM($N$1622:$N$1626),"n.a.")</x:f>
        <x:v>0</x:v>
      </x:c>
      <x:c r="G1623" s="22" t="n">
        <x:f>IF(COUNT(E1623:F1623)=2,MAX(0,E1623-F1623),"n.a.")</x:f>
        <x:v>500</x:v>
      </x:c>
      <x:c r="H1623" s="26" t="str">
        <x:f>'Inputs'!C12</x:f>
        <x:v>Card B</x:v>
      </x:c>
      <x:c r="I1623" s="26" t="n">
        <x:f>S1618</x:f>
        <x:v>0</x:v>
      </x:c>
      <x:c r="J1623" s="29" t="n">
        <x:f>IF('Inputs'!$D$9="Ready",'Inputs'!E12,"n.a.")</x:f>
        <x:v>0.18</x:v>
      </x:c>
      <x:c r="K1623" s="26" t="n">
        <x:f>IF('Inputs'!$D$9="Ready",'Inputs'!F12,"n.a.")</x:f>
        <x:v>60</x:v>
      </x:c>
      <x:c r="L1623" s="29" t="n">
        <x:f>IF('Inputs'!$D$9="Ready",'Inputs'!G12,"n.a.")</x:f>
        <x:v>0.02</x:v>
      </x:c>
      <x:c r="M1623" s="22" t="n">
        <x:f>IF(COUNT(I1623:L1623)=4,ROUND(I1623*J1623/12,2),"n.a.")</x:f>
        <x:v>0</x:v>
      </x:c>
      <x:c r="N1623" s="22" t="n">
        <x:f>IF(COUNT(I1623:M1623)=5,MIN(I1623+M1623,ROUND(MAX(K1623,I1623*L1623+M1623),2)),"n.a.")</x:f>
        <x:v>0</x:v>
      </x:c>
      <x:c r="O1623" s="30" t="n">
        <x:f>IF(COUNT($I$1622:$I$1626)&lt;&gt;5,"n.a.",IF(I1623=0,6,IF('Inputs'!$D$5=1,COUNTIFS($I$1622:$I$1626,"&gt;0",$I$1622:$I$1626,"&lt;"&amp;I1623)+COUNTIFS($I$1622:I1623,I1623),COUNTIFS($I$1622:$I$1626,"&gt;0",$J$1622:$J$1626,"&gt;"&amp;J1623)+COUNTIFS($I$1622:I1623,"&gt;0",$J$1622:J1623,J1623))))</x:f>
        <x:v>6</x:v>
      </x:c>
      <x:c r="P1623" s="22" t="n">
        <x:f>IF(T1623="Ready",MIN(U1623,MAX(0,G1623-SUMIFS($U$1622:$U$1626,$O$1622:$O$1626,"&lt;"&amp;O1623))),"n.a.")</x:f>
        <x:v>0</x:v>
      </x:c>
      <x:c r="Q1623" s="22" t="n">
        <x:f>IF(T1623="Ready",ROUND(N1623+P1623,2),"n.a.")</x:f>
        <x:v>0</x:v>
      </x:c>
      <x:c r="R1623" s="22" t="n">
        <x:f>IF(T1623="Ready",ROUND(Q1623-M1623,2),"n.a.")</x:f>
        <x:v>0</x:v>
      </x:c>
      <x:c r="S1623" s="22" t="n">
        <x:f>IF(T1623="Ready",MAX(0,ROUND(I1623+M1623-Q1623,2)),"n.a.")</x:f>
        <x:v>0</x:v>
      </x:c>
      <x:c r="T1623" s="22" t="str">
        <x:f>IF(AND(COUNT($I$1622:$I$1626)=5,COUNT(E1623:F1623)=2),IF(E1623&gt;=F1623,"Ready","Budget below minima"),"Check inputs")</x:f>
        <x:v>Ready</x:v>
      </x:c>
      <x:c r="U1623" s="22" t="n">
        <x:f>IF(COUNT(I1623,M1623,N1623)=3,MAX(0,ROUND(I1623+M1623-N1623,2)),"n.a.")</x:f>
        <x:v>0</x:v>
      </x:c>
    </x:row>
    <x:row r="1624" ht="22" customHeight="1">
      <x:c r="A1624" s="2"/>
      <x:c r="B1624" s="2"/>
      <x:c r="C1624" s="27" t="n">
        <x:f>324</x:f>
        <x:v>324</x:v>
      </x:c>
      <x:c r="D1624" s="28" t="n">
        <x:f>IF(ISNUMBER('Inputs'!$D$7),EDATE('Inputs'!$D$7,323),"n.a.")</x:f>
        <x:v>56158</x:v>
      </x:c>
      <x:c r="E1624" s="26" t="n">
        <x:f>IF('Inputs'!$D$9&lt;&gt;"Ready","n.a.",IF(ISNUMBER('Inputs'!E342),IF('Inputs'!E342&gt;=0,'Inputs'!E342,"n.a."),IF('Inputs'!E342="",'Inputs'!$D$6,"n.a.")))</x:f>
        <x:v>500</x:v>
      </x:c>
      <x:c r="F1624" s="22" t="n">
        <x:f>IF(COUNT($N$1622:$N$1626)=5,SUM($N$1622:$N$1626),"n.a.")</x:f>
        <x:v>0</x:v>
      </x:c>
      <x:c r="G1624" s="22" t="n">
        <x:f>IF(COUNT(E1624:F1624)=2,MAX(0,E1624-F1624),"n.a.")</x:f>
        <x:v>500</x:v>
      </x:c>
      <x:c r="H1624" s="26" t="str">
        <x:f>'Inputs'!C13</x:f>
        <x:v>Loan C</x:v>
      </x:c>
      <x:c r="I1624" s="26" t="n">
        <x:f>S1619</x:f>
        <x:v>0</x:v>
      </x:c>
      <x:c r="J1624" s="29" t="n">
        <x:f>IF('Inputs'!$D$9="Ready",'Inputs'!E13,"n.a.")</x:f>
        <x:v>0.08</x:v>
      </x:c>
      <x:c r="K1624" s="26" t="n">
        <x:f>IF('Inputs'!$D$9="Ready",'Inputs'!F13,"n.a.")</x:f>
        <x:v>150</x:v>
      </x:c>
      <x:c r="L1624" s="29" t="n">
        <x:f>IF('Inputs'!$D$9="Ready",'Inputs'!G13,"n.a.")</x:f>
        <x:v>0</x:v>
      </x:c>
      <x:c r="M1624" s="22" t="n">
        <x:f>IF(COUNT(I1624:L1624)=4,ROUND(I1624*J1624/12,2),"n.a.")</x:f>
        <x:v>0</x:v>
      </x:c>
      <x:c r="N1624" s="22" t="n">
        <x:f>IF(COUNT(I1624:M1624)=5,MIN(I1624+M1624,ROUND(MAX(K1624,I1624*L1624+M1624),2)),"n.a.")</x:f>
        <x:v>0</x:v>
      </x:c>
      <x:c r="O1624" s="30" t="n">
        <x:f>IF(COUNT($I$1622:$I$1626)&lt;&gt;5,"n.a.",IF(I1624=0,6,IF('Inputs'!$D$5=1,COUNTIFS($I$1622:$I$1626,"&gt;0",$I$1622:$I$1626,"&lt;"&amp;I1624)+COUNTIFS($I$1622:I1624,I1624),COUNTIFS($I$1622:$I$1626,"&gt;0",$J$1622:$J$1626,"&gt;"&amp;J1624)+COUNTIFS($I$1622:I1624,"&gt;0",$J$1622:J1624,J1624))))</x:f>
        <x:v>6</x:v>
      </x:c>
      <x:c r="P1624" s="22" t="n">
        <x:f>IF(T1624="Ready",MIN(U1624,MAX(0,G1624-SUMIFS($U$1622:$U$1626,$O$1622:$O$1626,"&lt;"&amp;O1624))),"n.a.")</x:f>
        <x:v>0</x:v>
      </x:c>
      <x:c r="Q1624" s="22" t="n">
        <x:f>IF(T1624="Ready",ROUND(N1624+P1624,2),"n.a.")</x:f>
        <x:v>0</x:v>
      </x:c>
      <x:c r="R1624" s="22" t="n">
        <x:f>IF(T1624="Ready",ROUND(Q1624-M1624,2),"n.a.")</x:f>
        <x:v>0</x:v>
      </x:c>
      <x:c r="S1624" s="22" t="n">
        <x:f>IF(T1624="Ready",MAX(0,ROUND(I1624+M1624-Q1624,2)),"n.a.")</x:f>
        <x:v>0</x:v>
      </x:c>
      <x:c r="T1624" s="22" t="str">
        <x:f>IF(AND(COUNT($I$1622:$I$1626)=5,COUNT(E1624:F1624)=2),IF(E1624&gt;=F1624,"Ready","Budget below minima"),"Check inputs")</x:f>
        <x:v>Ready</x:v>
      </x:c>
      <x:c r="U1624" s="22" t="n">
        <x:f>IF(COUNT(I1624,M1624,N1624)=3,MAX(0,ROUND(I1624+M1624-N1624,2)),"n.a.")</x:f>
        <x:v>0</x:v>
      </x:c>
    </x:row>
    <x:row r="1625" ht="22" customHeight="1">
      <x:c r="A1625" s="2"/>
      <x:c r="B1625" s="2"/>
      <x:c r="C1625" s="27" t="n">
        <x:f>324</x:f>
        <x:v>324</x:v>
      </x:c>
      <x:c r="D1625" s="28" t="n">
        <x:f>IF(ISNUMBER('Inputs'!$D$7),EDATE('Inputs'!$D$7,323),"n.a.")</x:f>
        <x:v>56158</x:v>
      </x:c>
      <x:c r="E1625" s="26" t="n">
        <x:f>IF('Inputs'!$D$9&lt;&gt;"Ready","n.a.",IF(ISNUMBER('Inputs'!E342),IF('Inputs'!E342&gt;=0,'Inputs'!E342,"n.a."),IF('Inputs'!E342="",'Inputs'!$D$6,"n.a.")))</x:f>
        <x:v>500</x:v>
      </x:c>
      <x:c r="F1625" s="22" t="n">
        <x:f>IF(COUNT($N$1622:$N$1626)=5,SUM($N$1622:$N$1626),"n.a.")</x:f>
        <x:v>0</x:v>
      </x:c>
      <x:c r="G1625" s="22" t="n">
        <x:f>IF(COUNT(E1625:F1625)=2,MAX(0,E1625-F1625),"n.a.")</x:f>
        <x:v>500</x:v>
      </x:c>
      <x:c r="H1625" s="26" t="str">
        <x:f>'Inputs'!C14</x:f>
        <x:v>Unused 4</x:v>
      </x:c>
      <x:c r="I1625" s="26" t="n">
        <x:f>S1620</x:f>
        <x:v>0</x:v>
      </x:c>
      <x:c r="J1625" s="29" t="n">
        <x:f>IF('Inputs'!$D$9="Ready",'Inputs'!E14,"n.a.")</x:f>
        <x:v>0</x:v>
      </x:c>
      <x:c r="K1625" s="26" t="n">
        <x:f>IF('Inputs'!$D$9="Ready",'Inputs'!F14,"n.a.")</x:f>
        <x:v>0</x:v>
      </x:c>
      <x:c r="L1625" s="29" t="n">
        <x:f>IF('Inputs'!$D$9="Ready",'Inputs'!G14,"n.a.")</x:f>
        <x:v>0</x:v>
      </x:c>
      <x:c r="M1625" s="22" t="n">
        <x:f>IF(COUNT(I1625:L1625)=4,ROUND(I1625*J1625/12,2),"n.a.")</x:f>
        <x:v>0</x:v>
      </x:c>
      <x:c r="N1625" s="22" t="n">
        <x:f>IF(COUNT(I1625:M1625)=5,MIN(I1625+M1625,ROUND(MAX(K1625,I1625*L1625+M1625),2)),"n.a.")</x:f>
        <x:v>0</x:v>
      </x:c>
      <x:c r="O1625" s="30" t="n">
        <x:f>IF(COUNT($I$1622:$I$1626)&lt;&gt;5,"n.a.",IF(I1625=0,6,IF('Inputs'!$D$5=1,COUNTIFS($I$1622:$I$1626,"&gt;0",$I$1622:$I$1626,"&lt;"&amp;I1625)+COUNTIFS($I$1622:I1625,I1625),COUNTIFS($I$1622:$I$1626,"&gt;0",$J$1622:$J$1626,"&gt;"&amp;J1625)+COUNTIFS($I$1622:I1625,"&gt;0",$J$1622:J1625,J1625))))</x:f>
        <x:v>6</x:v>
      </x:c>
      <x:c r="P1625" s="22" t="n">
        <x:f>IF(T1625="Ready",MIN(U1625,MAX(0,G1625-SUMIFS($U$1622:$U$1626,$O$1622:$O$1626,"&lt;"&amp;O1625))),"n.a.")</x:f>
        <x:v>0</x:v>
      </x:c>
      <x:c r="Q1625" s="22" t="n">
        <x:f>IF(T1625="Ready",ROUND(N1625+P1625,2),"n.a.")</x:f>
        <x:v>0</x:v>
      </x:c>
      <x:c r="R1625" s="22" t="n">
        <x:f>IF(T1625="Ready",ROUND(Q1625-M1625,2),"n.a.")</x:f>
        <x:v>0</x:v>
      </x:c>
      <x:c r="S1625" s="22" t="n">
        <x:f>IF(T1625="Ready",MAX(0,ROUND(I1625+M1625-Q1625,2)),"n.a.")</x:f>
        <x:v>0</x:v>
      </x:c>
      <x:c r="T1625" s="22" t="str">
        <x:f>IF(AND(COUNT($I$1622:$I$1626)=5,COUNT(E1625:F1625)=2),IF(E1625&gt;=F1625,"Ready","Budget below minima"),"Check inputs")</x:f>
        <x:v>Ready</x:v>
      </x:c>
      <x:c r="U1625" s="22" t="n">
        <x:f>IF(COUNT(I1625,M1625,N1625)=3,MAX(0,ROUND(I1625+M1625-N1625,2)),"n.a.")</x:f>
        <x:v>0</x:v>
      </x:c>
    </x:row>
    <x:row r="1626" ht="22" customHeight="1">
      <x:c r="A1626" s="2"/>
      <x:c r="B1626" s="2"/>
      <x:c r="C1626" s="27" t="n">
        <x:f>324</x:f>
        <x:v>324</x:v>
      </x:c>
      <x:c r="D1626" s="28" t="n">
        <x:f>IF(ISNUMBER('Inputs'!$D$7),EDATE('Inputs'!$D$7,323),"n.a.")</x:f>
        <x:v>56158</x:v>
      </x:c>
      <x:c r="E1626" s="26" t="n">
        <x:f>IF('Inputs'!$D$9&lt;&gt;"Ready","n.a.",IF(ISNUMBER('Inputs'!E342),IF('Inputs'!E342&gt;=0,'Inputs'!E342,"n.a."),IF('Inputs'!E342="",'Inputs'!$D$6,"n.a.")))</x:f>
        <x:v>500</x:v>
      </x:c>
      <x:c r="F1626" s="22" t="n">
        <x:f>IF(COUNT($N$1622:$N$1626)=5,SUM($N$1622:$N$1626),"n.a.")</x:f>
        <x:v>0</x:v>
      </x:c>
      <x:c r="G1626" s="22" t="n">
        <x:f>IF(COUNT(E1626:F1626)=2,MAX(0,E1626-F1626),"n.a.")</x:f>
        <x:v>500</x:v>
      </x:c>
      <x:c r="H1626" s="26" t="str">
        <x:f>'Inputs'!C15</x:f>
        <x:v>Unused 5</x:v>
      </x:c>
      <x:c r="I1626" s="26" t="n">
        <x:f>S1621</x:f>
        <x:v>0</x:v>
      </x:c>
      <x:c r="J1626" s="29" t="n">
        <x:f>IF('Inputs'!$D$9="Ready",'Inputs'!E15,"n.a.")</x:f>
        <x:v>0</x:v>
      </x:c>
      <x:c r="K1626" s="26" t="n">
        <x:f>IF('Inputs'!$D$9="Ready",'Inputs'!F15,"n.a.")</x:f>
        <x:v>0</x:v>
      </x:c>
      <x:c r="L1626" s="29" t="n">
        <x:f>IF('Inputs'!$D$9="Ready",'Inputs'!G15,"n.a.")</x:f>
        <x:v>0</x:v>
      </x:c>
      <x:c r="M1626" s="22" t="n">
        <x:f>IF(COUNT(I1626:L1626)=4,ROUND(I1626*J1626/12,2),"n.a.")</x:f>
        <x:v>0</x:v>
      </x:c>
      <x:c r="N1626" s="22" t="n">
        <x:f>IF(COUNT(I1626:M1626)=5,MIN(I1626+M1626,ROUND(MAX(K1626,I1626*L1626+M1626),2)),"n.a.")</x:f>
        <x:v>0</x:v>
      </x:c>
      <x:c r="O1626" s="30" t="n">
        <x:f>IF(COUNT($I$1622:$I$1626)&lt;&gt;5,"n.a.",IF(I1626=0,6,IF('Inputs'!$D$5=1,COUNTIFS($I$1622:$I$1626,"&gt;0",$I$1622:$I$1626,"&lt;"&amp;I1626)+COUNTIFS($I$1622:I1626,I1626),COUNTIFS($I$1622:$I$1626,"&gt;0",$J$1622:$J$1626,"&gt;"&amp;J1626)+COUNTIFS($I$1622:I1626,"&gt;0",$J$1622:J1626,J1626))))</x:f>
        <x:v>6</x:v>
      </x:c>
      <x:c r="P1626" s="22" t="n">
        <x:f>IF(T1626="Ready",MIN(U1626,MAX(0,G1626-SUMIFS($U$1622:$U$1626,$O$1622:$O$1626,"&lt;"&amp;O1626))),"n.a.")</x:f>
        <x:v>0</x:v>
      </x:c>
      <x:c r="Q1626" s="22" t="n">
        <x:f>IF(T1626="Ready",ROUND(N1626+P1626,2),"n.a.")</x:f>
        <x:v>0</x:v>
      </x:c>
      <x:c r="R1626" s="22" t="n">
        <x:f>IF(T1626="Ready",ROUND(Q1626-M1626,2),"n.a.")</x:f>
        <x:v>0</x:v>
      </x:c>
      <x:c r="S1626" s="22" t="n">
        <x:f>IF(T1626="Ready",MAX(0,ROUND(I1626+M1626-Q1626,2)),"n.a.")</x:f>
        <x:v>0</x:v>
      </x:c>
      <x:c r="T1626" s="22" t="str">
        <x:f>IF(AND(COUNT($I$1622:$I$1626)=5,COUNT(E1626:F1626)=2),IF(E1626&gt;=F1626,"Ready","Budget below minima"),"Check inputs")</x:f>
        <x:v>Ready</x:v>
      </x:c>
      <x:c r="U1626" s="22" t="n">
        <x:f>IF(COUNT(I1626,M1626,N1626)=3,MAX(0,ROUND(I1626+M1626-N1626,2)),"n.a.")</x:f>
        <x:v>0</x:v>
      </x:c>
    </x:row>
    <x:row r="1627" ht="22" customHeight="1">
      <x:c r="A1627" s="2"/>
      <x:c r="B1627" s="2"/>
      <x:c r="C1627" s="27" t="n">
        <x:f>325</x:f>
        <x:v>325</x:v>
      </x:c>
      <x:c r="D1627" s="28" t="n">
        <x:f>IF(ISNUMBER('Inputs'!$D$7),EDATE('Inputs'!$D$7,324),"n.a.")</x:f>
        <x:v>56189</x:v>
      </x:c>
      <x:c r="E1627" s="26" t="n">
        <x:f>IF('Inputs'!$D$9&lt;&gt;"Ready","n.a.",IF(ISNUMBER('Inputs'!E343),IF('Inputs'!E343&gt;=0,'Inputs'!E343,"n.a."),IF('Inputs'!E343="",'Inputs'!$D$6,"n.a.")))</x:f>
        <x:v>500</x:v>
      </x:c>
      <x:c r="F1627" s="22" t="n">
        <x:f>IF(COUNT($N$1627:$N$1631)=5,SUM($N$1627:$N$1631),"n.a.")</x:f>
        <x:v>0</x:v>
      </x:c>
      <x:c r="G1627" s="22" t="n">
        <x:f>IF(COUNT(E1627:F1627)=2,MAX(0,E1627-F1627),"n.a.")</x:f>
        <x:v>500</x:v>
      </x:c>
      <x:c r="H1627" s="26" t="str">
        <x:f>'Inputs'!C11</x:f>
        <x:v>Card A</x:v>
      </x:c>
      <x:c r="I1627" s="26" t="n">
        <x:f>S1622</x:f>
        <x:v>0</x:v>
      </x:c>
      <x:c r="J1627" s="29" t="n">
        <x:f>IF('Inputs'!$D$9="Ready",'Inputs'!E11,"n.a.")</x:f>
        <x:v>0.24</x:v>
      </x:c>
      <x:c r="K1627" s="26" t="n">
        <x:f>IF('Inputs'!$D$9="Ready",'Inputs'!F11,"n.a.")</x:f>
        <x:v>35</x:v>
      </x:c>
      <x:c r="L1627" s="29" t="n">
        <x:f>IF('Inputs'!$D$9="Ready",'Inputs'!G11,"n.a.")</x:f>
        <x:v>0.02</x:v>
      </x:c>
      <x:c r="M1627" s="22" t="n">
        <x:f>IF(COUNT(I1627:L1627)=4,ROUND(I1627*J1627/12,2),"n.a.")</x:f>
        <x:v>0</x:v>
      </x:c>
      <x:c r="N1627" s="22" t="n">
        <x:f>IF(COUNT(I1627:M1627)=5,MIN(I1627+M1627,ROUND(MAX(K1627,I1627*L1627+M1627),2)),"n.a.")</x:f>
        <x:v>0</x:v>
      </x:c>
      <x:c r="O1627" s="30" t="n">
        <x:f>IF(COUNT($I$1627:$I$1631)&lt;&gt;5,"n.a.",IF(I1627=0,6,IF('Inputs'!$D$5=1,COUNTIFS($I$1627:$I$1631,"&gt;0",$I$1627:$I$1631,"&lt;"&amp;I1627)+COUNTIFS($I$1627:I1627,I1627),COUNTIFS($I$1627:$I$1631,"&gt;0",$J$1627:$J$1631,"&gt;"&amp;J1627)+COUNTIFS($I$1627:I1627,"&gt;0",$J$1627:J1627,J1627))))</x:f>
        <x:v>6</x:v>
      </x:c>
      <x:c r="P1627" s="22" t="n">
        <x:f>IF(T1627="Ready",MIN(U1627,MAX(0,G1627-SUMIFS($U$1627:$U$1631,$O$1627:$O$1631,"&lt;"&amp;O1627))),"n.a.")</x:f>
        <x:v>0</x:v>
      </x:c>
      <x:c r="Q1627" s="22" t="n">
        <x:f>IF(T1627="Ready",ROUND(N1627+P1627,2),"n.a.")</x:f>
        <x:v>0</x:v>
      </x:c>
      <x:c r="R1627" s="22" t="n">
        <x:f>IF(T1627="Ready",ROUND(Q1627-M1627,2),"n.a.")</x:f>
        <x:v>0</x:v>
      </x:c>
      <x:c r="S1627" s="22" t="n">
        <x:f>IF(T1627="Ready",MAX(0,ROUND(I1627+M1627-Q1627,2)),"n.a.")</x:f>
        <x:v>0</x:v>
      </x:c>
      <x:c r="T1627" s="22" t="str">
        <x:f>IF(AND(COUNT($I$1627:$I$1631)=5,COUNT(E1627:F1627)=2),IF(E1627&gt;=F1627,"Ready","Budget below minima"),"Check inputs")</x:f>
        <x:v>Ready</x:v>
      </x:c>
      <x:c r="U1627" s="22" t="n">
        <x:f>IF(COUNT(I1627,M1627,N1627)=3,MAX(0,ROUND(I1627+M1627-N1627,2)),"n.a.")</x:f>
        <x:v>0</x:v>
      </x:c>
    </x:row>
    <x:row r="1628" ht="22" customHeight="1">
      <x:c r="A1628" s="2"/>
      <x:c r="B1628" s="2"/>
      <x:c r="C1628" s="27" t="n">
        <x:f>325</x:f>
        <x:v>325</x:v>
      </x:c>
      <x:c r="D1628" s="28" t="n">
        <x:f>IF(ISNUMBER('Inputs'!$D$7),EDATE('Inputs'!$D$7,324),"n.a.")</x:f>
        <x:v>56189</x:v>
      </x:c>
      <x:c r="E1628" s="26" t="n">
        <x:f>IF('Inputs'!$D$9&lt;&gt;"Ready","n.a.",IF(ISNUMBER('Inputs'!E343),IF('Inputs'!E343&gt;=0,'Inputs'!E343,"n.a."),IF('Inputs'!E343="",'Inputs'!$D$6,"n.a.")))</x:f>
        <x:v>500</x:v>
      </x:c>
      <x:c r="F1628" s="22" t="n">
        <x:f>IF(COUNT($N$1627:$N$1631)=5,SUM($N$1627:$N$1631),"n.a.")</x:f>
        <x:v>0</x:v>
      </x:c>
      <x:c r="G1628" s="22" t="n">
        <x:f>IF(COUNT(E1628:F1628)=2,MAX(0,E1628-F1628),"n.a.")</x:f>
        <x:v>500</x:v>
      </x:c>
      <x:c r="H1628" s="26" t="str">
        <x:f>'Inputs'!C12</x:f>
        <x:v>Card B</x:v>
      </x:c>
      <x:c r="I1628" s="26" t="n">
        <x:f>S1623</x:f>
        <x:v>0</x:v>
      </x:c>
      <x:c r="J1628" s="29" t="n">
        <x:f>IF('Inputs'!$D$9="Ready",'Inputs'!E12,"n.a.")</x:f>
        <x:v>0.18</x:v>
      </x:c>
      <x:c r="K1628" s="26" t="n">
        <x:f>IF('Inputs'!$D$9="Ready",'Inputs'!F12,"n.a.")</x:f>
        <x:v>60</x:v>
      </x:c>
      <x:c r="L1628" s="29" t="n">
        <x:f>IF('Inputs'!$D$9="Ready",'Inputs'!G12,"n.a.")</x:f>
        <x:v>0.02</x:v>
      </x:c>
      <x:c r="M1628" s="22" t="n">
        <x:f>IF(COUNT(I1628:L1628)=4,ROUND(I1628*J1628/12,2),"n.a.")</x:f>
        <x:v>0</x:v>
      </x:c>
      <x:c r="N1628" s="22" t="n">
        <x:f>IF(COUNT(I1628:M1628)=5,MIN(I1628+M1628,ROUND(MAX(K1628,I1628*L1628+M1628),2)),"n.a.")</x:f>
        <x:v>0</x:v>
      </x:c>
      <x:c r="O1628" s="30" t="n">
        <x:f>IF(COUNT($I$1627:$I$1631)&lt;&gt;5,"n.a.",IF(I1628=0,6,IF('Inputs'!$D$5=1,COUNTIFS($I$1627:$I$1631,"&gt;0",$I$1627:$I$1631,"&lt;"&amp;I1628)+COUNTIFS($I$1627:I1628,I1628),COUNTIFS($I$1627:$I$1631,"&gt;0",$J$1627:$J$1631,"&gt;"&amp;J1628)+COUNTIFS($I$1627:I1628,"&gt;0",$J$1627:J1628,J1628))))</x:f>
        <x:v>6</x:v>
      </x:c>
      <x:c r="P1628" s="22" t="n">
        <x:f>IF(T1628="Ready",MIN(U1628,MAX(0,G1628-SUMIFS($U$1627:$U$1631,$O$1627:$O$1631,"&lt;"&amp;O1628))),"n.a.")</x:f>
        <x:v>0</x:v>
      </x:c>
      <x:c r="Q1628" s="22" t="n">
        <x:f>IF(T1628="Ready",ROUND(N1628+P1628,2),"n.a.")</x:f>
        <x:v>0</x:v>
      </x:c>
      <x:c r="R1628" s="22" t="n">
        <x:f>IF(T1628="Ready",ROUND(Q1628-M1628,2),"n.a.")</x:f>
        <x:v>0</x:v>
      </x:c>
      <x:c r="S1628" s="22" t="n">
        <x:f>IF(T1628="Ready",MAX(0,ROUND(I1628+M1628-Q1628,2)),"n.a.")</x:f>
        <x:v>0</x:v>
      </x:c>
      <x:c r="T1628" s="22" t="str">
        <x:f>IF(AND(COUNT($I$1627:$I$1631)=5,COUNT(E1628:F1628)=2),IF(E1628&gt;=F1628,"Ready","Budget below minima"),"Check inputs")</x:f>
        <x:v>Ready</x:v>
      </x:c>
      <x:c r="U1628" s="22" t="n">
        <x:f>IF(COUNT(I1628,M1628,N1628)=3,MAX(0,ROUND(I1628+M1628-N1628,2)),"n.a.")</x:f>
        <x:v>0</x:v>
      </x:c>
    </x:row>
    <x:row r="1629" ht="22" customHeight="1">
      <x:c r="A1629" s="2"/>
      <x:c r="B1629" s="2"/>
      <x:c r="C1629" s="27" t="n">
        <x:f>325</x:f>
        <x:v>325</x:v>
      </x:c>
      <x:c r="D1629" s="28" t="n">
        <x:f>IF(ISNUMBER('Inputs'!$D$7),EDATE('Inputs'!$D$7,324),"n.a.")</x:f>
        <x:v>56189</x:v>
      </x:c>
      <x:c r="E1629" s="26" t="n">
        <x:f>IF('Inputs'!$D$9&lt;&gt;"Ready","n.a.",IF(ISNUMBER('Inputs'!E343),IF('Inputs'!E343&gt;=0,'Inputs'!E343,"n.a."),IF('Inputs'!E343="",'Inputs'!$D$6,"n.a.")))</x:f>
        <x:v>500</x:v>
      </x:c>
      <x:c r="F1629" s="22" t="n">
        <x:f>IF(COUNT($N$1627:$N$1631)=5,SUM($N$1627:$N$1631),"n.a.")</x:f>
        <x:v>0</x:v>
      </x:c>
      <x:c r="G1629" s="22" t="n">
        <x:f>IF(COUNT(E1629:F1629)=2,MAX(0,E1629-F1629),"n.a.")</x:f>
        <x:v>500</x:v>
      </x:c>
      <x:c r="H1629" s="26" t="str">
        <x:f>'Inputs'!C13</x:f>
        <x:v>Loan C</x:v>
      </x:c>
      <x:c r="I1629" s="26" t="n">
        <x:f>S1624</x:f>
        <x:v>0</x:v>
      </x:c>
      <x:c r="J1629" s="29" t="n">
        <x:f>IF('Inputs'!$D$9="Ready",'Inputs'!E13,"n.a.")</x:f>
        <x:v>0.08</x:v>
      </x:c>
      <x:c r="K1629" s="26" t="n">
        <x:f>IF('Inputs'!$D$9="Ready",'Inputs'!F13,"n.a.")</x:f>
        <x:v>150</x:v>
      </x:c>
      <x:c r="L1629" s="29" t="n">
        <x:f>IF('Inputs'!$D$9="Ready",'Inputs'!G13,"n.a.")</x:f>
        <x:v>0</x:v>
      </x:c>
      <x:c r="M1629" s="22" t="n">
        <x:f>IF(COUNT(I1629:L1629)=4,ROUND(I1629*J1629/12,2),"n.a.")</x:f>
        <x:v>0</x:v>
      </x:c>
      <x:c r="N1629" s="22" t="n">
        <x:f>IF(COUNT(I1629:M1629)=5,MIN(I1629+M1629,ROUND(MAX(K1629,I1629*L1629+M1629),2)),"n.a.")</x:f>
        <x:v>0</x:v>
      </x:c>
      <x:c r="O1629" s="30" t="n">
        <x:f>IF(COUNT($I$1627:$I$1631)&lt;&gt;5,"n.a.",IF(I1629=0,6,IF('Inputs'!$D$5=1,COUNTIFS($I$1627:$I$1631,"&gt;0",$I$1627:$I$1631,"&lt;"&amp;I1629)+COUNTIFS($I$1627:I1629,I1629),COUNTIFS($I$1627:$I$1631,"&gt;0",$J$1627:$J$1631,"&gt;"&amp;J1629)+COUNTIFS($I$1627:I1629,"&gt;0",$J$1627:J1629,J1629))))</x:f>
        <x:v>6</x:v>
      </x:c>
      <x:c r="P1629" s="22" t="n">
        <x:f>IF(T1629="Ready",MIN(U1629,MAX(0,G1629-SUMIFS($U$1627:$U$1631,$O$1627:$O$1631,"&lt;"&amp;O1629))),"n.a.")</x:f>
        <x:v>0</x:v>
      </x:c>
      <x:c r="Q1629" s="22" t="n">
        <x:f>IF(T1629="Ready",ROUND(N1629+P1629,2),"n.a.")</x:f>
        <x:v>0</x:v>
      </x:c>
      <x:c r="R1629" s="22" t="n">
        <x:f>IF(T1629="Ready",ROUND(Q1629-M1629,2),"n.a.")</x:f>
        <x:v>0</x:v>
      </x:c>
      <x:c r="S1629" s="22" t="n">
        <x:f>IF(T1629="Ready",MAX(0,ROUND(I1629+M1629-Q1629,2)),"n.a.")</x:f>
        <x:v>0</x:v>
      </x:c>
      <x:c r="T1629" s="22" t="str">
        <x:f>IF(AND(COUNT($I$1627:$I$1631)=5,COUNT(E1629:F1629)=2),IF(E1629&gt;=F1629,"Ready","Budget below minima"),"Check inputs")</x:f>
        <x:v>Ready</x:v>
      </x:c>
      <x:c r="U1629" s="22" t="n">
        <x:f>IF(COUNT(I1629,M1629,N1629)=3,MAX(0,ROUND(I1629+M1629-N1629,2)),"n.a.")</x:f>
        <x:v>0</x:v>
      </x:c>
    </x:row>
    <x:row r="1630" ht="22" customHeight="1">
      <x:c r="A1630" s="2"/>
      <x:c r="B1630" s="2"/>
      <x:c r="C1630" s="27" t="n">
        <x:f>325</x:f>
        <x:v>325</x:v>
      </x:c>
      <x:c r="D1630" s="28" t="n">
        <x:f>IF(ISNUMBER('Inputs'!$D$7),EDATE('Inputs'!$D$7,324),"n.a.")</x:f>
        <x:v>56189</x:v>
      </x:c>
      <x:c r="E1630" s="26" t="n">
        <x:f>IF('Inputs'!$D$9&lt;&gt;"Ready","n.a.",IF(ISNUMBER('Inputs'!E343),IF('Inputs'!E343&gt;=0,'Inputs'!E343,"n.a."),IF('Inputs'!E343="",'Inputs'!$D$6,"n.a.")))</x:f>
        <x:v>500</x:v>
      </x:c>
      <x:c r="F1630" s="22" t="n">
        <x:f>IF(COUNT($N$1627:$N$1631)=5,SUM($N$1627:$N$1631),"n.a.")</x:f>
        <x:v>0</x:v>
      </x:c>
      <x:c r="G1630" s="22" t="n">
        <x:f>IF(COUNT(E1630:F1630)=2,MAX(0,E1630-F1630),"n.a.")</x:f>
        <x:v>500</x:v>
      </x:c>
      <x:c r="H1630" s="26" t="str">
        <x:f>'Inputs'!C14</x:f>
        <x:v>Unused 4</x:v>
      </x:c>
      <x:c r="I1630" s="26" t="n">
        <x:f>S1625</x:f>
        <x:v>0</x:v>
      </x:c>
      <x:c r="J1630" s="29" t="n">
        <x:f>IF('Inputs'!$D$9="Ready",'Inputs'!E14,"n.a.")</x:f>
        <x:v>0</x:v>
      </x:c>
      <x:c r="K1630" s="26" t="n">
        <x:f>IF('Inputs'!$D$9="Ready",'Inputs'!F14,"n.a.")</x:f>
        <x:v>0</x:v>
      </x:c>
      <x:c r="L1630" s="29" t="n">
        <x:f>IF('Inputs'!$D$9="Ready",'Inputs'!G14,"n.a.")</x:f>
        <x:v>0</x:v>
      </x:c>
      <x:c r="M1630" s="22" t="n">
        <x:f>IF(COUNT(I1630:L1630)=4,ROUND(I1630*J1630/12,2),"n.a.")</x:f>
        <x:v>0</x:v>
      </x:c>
      <x:c r="N1630" s="22" t="n">
        <x:f>IF(COUNT(I1630:M1630)=5,MIN(I1630+M1630,ROUND(MAX(K1630,I1630*L1630+M1630),2)),"n.a.")</x:f>
        <x:v>0</x:v>
      </x:c>
      <x:c r="O1630" s="30" t="n">
        <x:f>IF(COUNT($I$1627:$I$1631)&lt;&gt;5,"n.a.",IF(I1630=0,6,IF('Inputs'!$D$5=1,COUNTIFS($I$1627:$I$1631,"&gt;0",$I$1627:$I$1631,"&lt;"&amp;I1630)+COUNTIFS($I$1627:I1630,I1630),COUNTIFS($I$1627:$I$1631,"&gt;0",$J$1627:$J$1631,"&gt;"&amp;J1630)+COUNTIFS($I$1627:I1630,"&gt;0",$J$1627:J1630,J1630))))</x:f>
        <x:v>6</x:v>
      </x:c>
      <x:c r="P1630" s="22" t="n">
        <x:f>IF(T1630="Ready",MIN(U1630,MAX(0,G1630-SUMIFS($U$1627:$U$1631,$O$1627:$O$1631,"&lt;"&amp;O1630))),"n.a.")</x:f>
        <x:v>0</x:v>
      </x:c>
      <x:c r="Q1630" s="22" t="n">
        <x:f>IF(T1630="Ready",ROUND(N1630+P1630,2),"n.a.")</x:f>
        <x:v>0</x:v>
      </x:c>
      <x:c r="R1630" s="22" t="n">
        <x:f>IF(T1630="Ready",ROUND(Q1630-M1630,2),"n.a.")</x:f>
        <x:v>0</x:v>
      </x:c>
      <x:c r="S1630" s="22" t="n">
        <x:f>IF(T1630="Ready",MAX(0,ROUND(I1630+M1630-Q1630,2)),"n.a.")</x:f>
        <x:v>0</x:v>
      </x:c>
      <x:c r="T1630" s="22" t="str">
        <x:f>IF(AND(COUNT($I$1627:$I$1631)=5,COUNT(E1630:F1630)=2),IF(E1630&gt;=F1630,"Ready","Budget below minima"),"Check inputs")</x:f>
        <x:v>Ready</x:v>
      </x:c>
      <x:c r="U1630" s="22" t="n">
        <x:f>IF(COUNT(I1630,M1630,N1630)=3,MAX(0,ROUND(I1630+M1630-N1630,2)),"n.a.")</x:f>
        <x:v>0</x:v>
      </x:c>
    </x:row>
    <x:row r="1631" ht="22" customHeight="1">
      <x:c r="A1631" s="2"/>
      <x:c r="B1631" s="2"/>
      <x:c r="C1631" s="27" t="n">
        <x:f>325</x:f>
        <x:v>325</x:v>
      </x:c>
      <x:c r="D1631" s="28" t="n">
        <x:f>IF(ISNUMBER('Inputs'!$D$7),EDATE('Inputs'!$D$7,324),"n.a.")</x:f>
        <x:v>56189</x:v>
      </x:c>
      <x:c r="E1631" s="26" t="n">
        <x:f>IF('Inputs'!$D$9&lt;&gt;"Ready","n.a.",IF(ISNUMBER('Inputs'!E343),IF('Inputs'!E343&gt;=0,'Inputs'!E343,"n.a."),IF('Inputs'!E343="",'Inputs'!$D$6,"n.a.")))</x:f>
        <x:v>500</x:v>
      </x:c>
      <x:c r="F1631" s="22" t="n">
        <x:f>IF(COUNT($N$1627:$N$1631)=5,SUM($N$1627:$N$1631),"n.a.")</x:f>
        <x:v>0</x:v>
      </x:c>
      <x:c r="G1631" s="22" t="n">
        <x:f>IF(COUNT(E1631:F1631)=2,MAX(0,E1631-F1631),"n.a.")</x:f>
        <x:v>500</x:v>
      </x:c>
      <x:c r="H1631" s="26" t="str">
        <x:f>'Inputs'!C15</x:f>
        <x:v>Unused 5</x:v>
      </x:c>
      <x:c r="I1631" s="26" t="n">
        <x:f>S1626</x:f>
        <x:v>0</x:v>
      </x:c>
      <x:c r="J1631" s="29" t="n">
        <x:f>IF('Inputs'!$D$9="Ready",'Inputs'!E15,"n.a.")</x:f>
        <x:v>0</x:v>
      </x:c>
      <x:c r="K1631" s="26" t="n">
        <x:f>IF('Inputs'!$D$9="Ready",'Inputs'!F15,"n.a.")</x:f>
        <x:v>0</x:v>
      </x:c>
      <x:c r="L1631" s="29" t="n">
        <x:f>IF('Inputs'!$D$9="Ready",'Inputs'!G15,"n.a.")</x:f>
        <x:v>0</x:v>
      </x:c>
      <x:c r="M1631" s="22" t="n">
        <x:f>IF(COUNT(I1631:L1631)=4,ROUND(I1631*J1631/12,2),"n.a.")</x:f>
        <x:v>0</x:v>
      </x:c>
      <x:c r="N1631" s="22" t="n">
        <x:f>IF(COUNT(I1631:M1631)=5,MIN(I1631+M1631,ROUND(MAX(K1631,I1631*L1631+M1631),2)),"n.a.")</x:f>
        <x:v>0</x:v>
      </x:c>
      <x:c r="O1631" s="30" t="n">
        <x:f>IF(COUNT($I$1627:$I$1631)&lt;&gt;5,"n.a.",IF(I1631=0,6,IF('Inputs'!$D$5=1,COUNTIFS($I$1627:$I$1631,"&gt;0",$I$1627:$I$1631,"&lt;"&amp;I1631)+COUNTIFS($I$1627:I1631,I1631),COUNTIFS($I$1627:$I$1631,"&gt;0",$J$1627:$J$1631,"&gt;"&amp;J1631)+COUNTIFS($I$1627:I1631,"&gt;0",$J$1627:J1631,J1631))))</x:f>
        <x:v>6</x:v>
      </x:c>
      <x:c r="P1631" s="22" t="n">
        <x:f>IF(T1631="Ready",MIN(U1631,MAX(0,G1631-SUMIFS($U$1627:$U$1631,$O$1627:$O$1631,"&lt;"&amp;O1631))),"n.a.")</x:f>
        <x:v>0</x:v>
      </x:c>
      <x:c r="Q1631" s="22" t="n">
        <x:f>IF(T1631="Ready",ROUND(N1631+P1631,2),"n.a.")</x:f>
        <x:v>0</x:v>
      </x:c>
      <x:c r="R1631" s="22" t="n">
        <x:f>IF(T1631="Ready",ROUND(Q1631-M1631,2),"n.a.")</x:f>
        <x:v>0</x:v>
      </x:c>
      <x:c r="S1631" s="22" t="n">
        <x:f>IF(T1631="Ready",MAX(0,ROUND(I1631+M1631-Q1631,2)),"n.a.")</x:f>
        <x:v>0</x:v>
      </x:c>
      <x:c r="T1631" s="22" t="str">
        <x:f>IF(AND(COUNT($I$1627:$I$1631)=5,COUNT(E1631:F1631)=2),IF(E1631&gt;=F1631,"Ready","Budget below minima"),"Check inputs")</x:f>
        <x:v>Ready</x:v>
      </x:c>
      <x:c r="U1631" s="22" t="n">
        <x:f>IF(COUNT(I1631,M1631,N1631)=3,MAX(0,ROUND(I1631+M1631-N1631,2)),"n.a.")</x:f>
        <x:v>0</x:v>
      </x:c>
    </x:row>
    <x:row r="1632" ht="22" customHeight="1">
      <x:c r="A1632" s="2"/>
      <x:c r="B1632" s="2"/>
      <x:c r="C1632" s="27" t="n">
        <x:f>326</x:f>
        <x:v>326</x:v>
      </x:c>
      <x:c r="D1632" s="28" t="n">
        <x:f>IF(ISNUMBER('Inputs'!$D$7),EDATE('Inputs'!$D$7,325),"n.a.")</x:f>
        <x:v>56219</x:v>
      </x:c>
      <x:c r="E1632" s="26" t="n">
        <x:f>IF('Inputs'!$D$9&lt;&gt;"Ready","n.a.",IF(ISNUMBER('Inputs'!E344),IF('Inputs'!E344&gt;=0,'Inputs'!E344,"n.a."),IF('Inputs'!E344="",'Inputs'!$D$6,"n.a.")))</x:f>
        <x:v>500</x:v>
      </x:c>
      <x:c r="F1632" s="22" t="n">
        <x:f>IF(COUNT($N$1632:$N$1636)=5,SUM($N$1632:$N$1636),"n.a.")</x:f>
        <x:v>0</x:v>
      </x:c>
      <x:c r="G1632" s="22" t="n">
        <x:f>IF(COUNT(E1632:F1632)=2,MAX(0,E1632-F1632),"n.a.")</x:f>
        <x:v>500</x:v>
      </x:c>
      <x:c r="H1632" s="26" t="str">
        <x:f>'Inputs'!C11</x:f>
        <x:v>Card A</x:v>
      </x:c>
      <x:c r="I1632" s="26" t="n">
        <x:f>S1627</x:f>
        <x:v>0</x:v>
      </x:c>
      <x:c r="J1632" s="29" t="n">
        <x:f>IF('Inputs'!$D$9="Ready",'Inputs'!E11,"n.a.")</x:f>
        <x:v>0.24</x:v>
      </x:c>
      <x:c r="K1632" s="26" t="n">
        <x:f>IF('Inputs'!$D$9="Ready",'Inputs'!F11,"n.a.")</x:f>
        <x:v>35</x:v>
      </x:c>
      <x:c r="L1632" s="29" t="n">
        <x:f>IF('Inputs'!$D$9="Ready",'Inputs'!G11,"n.a.")</x:f>
        <x:v>0.02</x:v>
      </x:c>
      <x:c r="M1632" s="22" t="n">
        <x:f>IF(COUNT(I1632:L1632)=4,ROUND(I1632*J1632/12,2),"n.a.")</x:f>
        <x:v>0</x:v>
      </x:c>
      <x:c r="N1632" s="22" t="n">
        <x:f>IF(COUNT(I1632:M1632)=5,MIN(I1632+M1632,ROUND(MAX(K1632,I1632*L1632+M1632),2)),"n.a.")</x:f>
        <x:v>0</x:v>
      </x:c>
      <x:c r="O1632" s="30" t="n">
        <x:f>IF(COUNT($I$1632:$I$1636)&lt;&gt;5,"n.a.",IF(I1632=0,6,IF('Inputs'!$D$5=1,COUNTIFS($I$1632:$I$1636,"&gt;0",$I$1632:$I$1636,"&lt;"&amp;I1632)+COUNTIFS($I$1632:I1632,I1632),COUNTIFS($I$1632:$I$1636,"&gt;0",$J$1632:$J$1636,"&gt;"&amp;J1632)+COUNTIFS($I$1632:I1632,"&gt;0",$J$1632:J1632,J1632))))</x:f>
        <x:v>6</x:v>
      </x:c>
      <x:c r="P1632" s="22" t="n">
        <x:f>IF(T1632="Ready",MIN(U1632,MAX(0,G1632-SUMIFS($U$1632:$U$1636,$O$1632:$O$1636,"&lt;"&amp;O1632))),"n.a.")</x:f>
        <x:v>0</x:v>
      </x:c>
      <x:c r="Q1632" s="22" t="n">
        <x:f>IF(T1632="Ready",ROUND(N1632+P1632,2),"n.a.")</x:f>
        <x:v>0</x:v>
      </x:c>
      <x:c r="R1632" s="22" t="n">
        <x:f>IF(T1632="Ready",ROUND(Q1632-M1632,2),"n.a.")</x:f>
        <x:v>0</x:v>
      </x:c>
      <x:c r="S1632" s="22" t="n">
        <x:f>IF(T1632="Ready",MAX(0,ROUND(I1632+M1632-Q1632,2)),"n.a.")</x:f>
        <x:v>0</x:v>
      </x:c>
      <x:c r="T1632" s="22" t="str">
        <x:f>IF(AND(COUNT($I$1632:$I$1636)=5,COUNT(E1632:F1632)=2),IF(E1632&gt;=F1632,"Ready","Budget below minima"),"Check inputs")</x:f>
        <x:v>Ready</x:v>
      </x:c>
      <x:c r="U1632" s="22" t="n">
        <x:f>IF(COUNT(I1632,M1632,N1632)=3,MAX(0,ROUND(I1632+M1632-N1632,2)),"n.a.")</x:f>
        <x:v>0</x:v>
      </x:c>
    </x:row>
    <x:row r="1633" ht="22" customHeight="1">
      <x:c r="A1633" s="2"/>
      <x:c r="B1633" s="2"/>
      <x:c r="C1633" s="27" t="n">
        <x:f>326</x:f>
        <x:v>326</x:v>
      </x:c>
      <x:c r="D1633" s="28" t="n">
        <x:f>IF(ISNUMBER('Inputs'!$D$7),EDATE('Inputs'!$D$7,325),"n.a.")</x:f>
        <x:v>56219</x:v>
      </x:c>
      <x:c r="E1633" s="26" t="n">
        <x:f>IF('Inputs'!$D$9&lt;&gt;"Ready","n.a.",IF(ISNUMBER('Inputs'!E344),IF('Inputs'!E344&gt;=0,'Inputs'!E344,"n.a."),IF('Inputs'!E344="",'Inputs'!$D$6,"n.a.")))</x:f>
        <x:v>500</x:v>
      </x:c>
      <x:c r="F1633" s="22" t="n">
        <x:f>IF(COUNT($N$1632:$N$1636)=5,SUM($N$1632:$N$1636),"n.a.")</x:f>
        <x:v>0</x:v>
      </x:c>
      <x:c r="G1633" s="22" t="n">
        <x:f>IF(COUNT(E1633:F1633)=2,MAX(0,E1633-F1633),"n.a.")</x:f>
        <x:v>500</x:v>
      </x:c>
      <x:c r="H1633" s="26" t="str">
        <x:f>'Inputs'!C12</x:f>
        <x:v>Card B</x:v>
      </x:c>
      <x:c r="I1633" s="26" t="n">
        <x:f>S1628</x:f>
        <x:v>0</x:v>
      </x:c>
      <x:c r="J1633" s="29" t="n">
        <x:f>IF('Inputs'!$D$9="Ready",'Inputs'!E12,"n.a.")</x:f>
        <x:v>0.18</x:v>
      </x:c>
      <x:c r="K1633" s="26" t="n">
        <x:f>IF('Inputs'!$D$9="Ready",'Inputs'!F12,"n.a.")</x:f>
        <x:v>60</x:v>
      </x:c>
      <x:c r="L1633" s="29" t="n">
        <x:f>IF('Inputs'!$D$9="Ready",'Inputs'!G12,"n.a.")</x:f>
        <x:v>0.02</x:v>
      </x:c>
      <x:c r="M1633" s="22" t="n">
        <x:f>IF(COUNT(I1633:L1633)=4,ROUND(I1633*J1633/12,2),"n.a.")</x:f>
        <x:v>0</x:v>
      </x:c>
      <x:c r="N1633" s="22" t="n">
        <x:f>IF(COUNT(I1633:M1633)=5,MIN(I1633+M1633,ROUND(MAX(K1633,I1633*L1633+M1633),2)),"n.a.")</x:f>
        <x:v>0</x:v>
      </x:c>
      <x:c r="O1633" s="30" t="n">
        <x:f>IF(COUNT($I$1632:$I$1636)&lt;&gt;5,"n.a.",IF(I1633=0,6,IF('Inputs'!$D$5=1,COUNTIFS($I$1632:$I$1636,"&gt;0",$I$1632:$I$1636,"&lt;"&amp;I1633)+COUNTIFS($I$1632:I1633,I1633),COUNTIFS($I$1632:$I$1636,"&gt;0",$J$1632:$J$1636,"&gt;"&amp;J1633)+COUNTIFS($I$1632:I1633,"&gt;0",$J$1632:J1633,J1633))))</x:f>
        <x:v>6</x:v>
      </x:c>
      <x:c r="P1633" s="22" t="n">
        <x:f>IF(T1633="Ready",MIN(U1633,MAX(0,G1633-SUMIFS($U$1632:$U$1636,$O$1632:$O$1636,"&lt;"&amp;O1633))),"n.a.")</x:f>
        <x:v>0</x:v>
      </x:c>
      <x:c r="Q1633" s="22" t="n">
        <x:f>IF(T1633="Ready",ROUND(N1633+P1633,2),"n.a.")</x:f>
        <x:v>0</x:v>
      </x:c>
      <x:c r="R1633" s="22" t="n">
        <x:f>IF(T1633="Ready",ROUND(Q1633-M1633,2),"n.a.")</x:f>
        <x:v>0</x:v>
      </x:c>
      <x:c r="S1633" s="22" t="n">
        <x:f>IF(T1633="Ready",MAX(0,ROUND(I1633+M1633-Q1633,2)),"n.a.")</x:f>
        <x:v>0</x:v>
      </x:c>
      <x:c r="T1633" s="22" t="str">
        <x:f>IF(AND(COUNT($I$1632:$I$1636)=5,COUNT(E1633:F1633)=2),IF(E1633&gt;=F1633,"Ready","Budget below minima"),"Check inputs")</x:f>
        <x:v>Ready</x:v>
      </x:c>
      <x:c r="U1633" s="22" t="n">
        <x:f>IF(COUNT(I1633,M1633,N1633)=3,MAX(0,ROUND(I1633+M1633-N1633,2)),"n.a.")</x:f>
        <x:v>0</x:v>
      </x:c>
    </x:row>
    <x:row r="1634" ht="22" customHeight="1">
      <x:c r="A1634" s="2"/>
      <x:c r="B1634" s="2"/>
      <x:c r="C1634" s="27" t="n">
        <x:f>326</x:f>
        <x:v>326</x:v>
      </x:c>
      <x:c r="D1634" s="28" t="n">
        <x:f>IF(ISNUMBER('Inputs'!$D$7),EDATE('Inputs'!$D$7,325),"n.a.")</x:f>
        <x:v>56219</x:v>
      </x:c>
      <x:c r="E1634" s="26" t="n">
        <x:f>IF('Inputs'!$D$9&lt;&gt;"Ready","n.a.",IF(ISNUMBER('Inputs'!E344),IF('Inputs'!E344&gt;=0,'Inputs'!E344,"n.a."),IF('Inputs'!E344="",'Inputs'!$D$6,"n.a.")))</x:f>
        <x:v>500</x:v>
      </x:c>
      <x:c r="F1634" s="22" t="n">
        <x:f>IF(COUNT($N$1632:$N$1636)=5,SUM($N$1632:$N$1636),"n.a.")</x:f>
        <x:v>0</x:v>
      </x:c>
      <x:c r="G1634" s="22" t="n">
        <x:f>IF(COUNT(E1634:F1634)=2,MAX(0,E1634-F1634),"n.a.")</x:f>
        <x:v>500</x:v>
      </x:c>
      <x:c r="H1634" s="26" t="str">
        <x:f>'Inputs'!C13</x:f>
        <x:v>Loan C</x:v>
      </x:c>
      <x:c r="I1634" s="26" t="n">
        <x:f>S1629</x:f>
        <x:v>0</x:v>
      </x:c>
      <x:c r="J1634" s="29" t="n">
        <x:f>IF('Inputs'!$D$9="Ready",'Inputs'!E13,"n.a.")</x:f>
        <x:v>0.08</x:v>
      </x:c>
      <x:c r="K1634" s="26" t="n">
        <x:f>IF('Inputs'!$D$9="Ready",'Inputs'!F13,"n.a.")</x:f>
        <x:v>150</x:v>
      </x:c>
      <x:c r="L1634" s="29" t="n">
        <x:f>IF('Inputs'!$D$9="Ready",'Inputs'!G13,"n.a.")</x:f>
        <x:v>0</x:v>
      </x:c>
      <x:c r="M1634" s="22" t="n">
        <x:f>IF(COUNT(I1634:L1634)=4,ROUND(I1634*J1634/12,2),"n.a.")</x:f>
        <x:v>0</x:v>
      </x:c>
      <x:c r="N1634" s="22" t="n">
        <x:f>IF(COUNT(I1634:M1634)=5,MIN(I1634+M1634,ROUND(MAX(K1634,I1634*L1634+M1634),2)),"n.a.")</x:f>
        <x:v>0</x:v>
      </x:c>
      <x:c r="O1634" s="30" t="n">
        <x:f>IF(COUNT($I$1632:$I$1636)&lt;&gt;5,"n.a.",IF(I1634=0,6,IF('Inputs'!$D$5=1,COUNTIFS($I$1632:$I$1636,"&gt;0",$I$1632:$I$1636,"&lt;"&amp;I1634)+COUNTIFS($I$1632:I1634,I1634),COUNTIFS($I$1632:$I$1636,"&gt;0",$J$1632:$J$1636,"&gt;"&amp;J1634)+COUNTIFS($I$1632:I1634,"&gt;0",$J$1632:J1634,J1634))))</x:f>
        <x:v>6</x:v>
      </x:c>
      <x:c r="P1634" s="22" t="n">
        <x:f>IF(T1634="Ready",MIN(U1634,MAX(0,G1634-SUMIFS($U$1632:$U$1636,$O$1632:$O$1636,"&lt;"&amp;O1634))),"n.a.")</x:f>
        <x:v>0</x:v>
      </x:c>
      <x:c r="Q1634" s="22" t="n">
        <x:f>IF(T1634="Ready",ROUND(N1634+P1634,2),"n.a.")</x:f>
        <x:v>0</x:v>
      </x:c>
      <x:c r="R1634" s="22" t="n">
        <x:f>IF(T1634="Ready",ROUND(Q1634-M1634,2),"n.a.")</x:f>
        <x:v>0</x:v>
      </x:c>
      <x:c r="S1634" s="22" t="n">
        <x:f>IF(T1634="Ready",MAX(0,ROUND(I1634+M1634-Q1634,2)),"n.a.")</x:f>
        <x:v>0</x:v>
      </x:c>
      <x:c r="T1634" s="22" t="str">
        <x:f>IF(AND(COUNT($I$1632:$I$1636)=5,COUNT(E1634:F1634)=2),IF(E1634&gt;=F1634,"Ready","Budget below minima"),"Check inputs")</x:f>
        <x:v>Ready</x:v>
      </x:c>
      <x:c r="U1634" s="22" t="n">
        <x:f>IF(COUNT(I1634,M1634,N1634)=3,MAX(0,ROUND(I1634+M1634-N1634,2)),"n.a.")</x:f>
        <x:v>0</x:v>
      </x:c>
    </x:row>
    <x:row r="1635" ht="22" customHeight="1">
      <x:c r="A1635" s="2"/>
      <x:c r="B1635" s="2"/>
      <x:c r="C1635" s="27" t="n">
        <x:f>326</x:f>
        <x:v>326</x:v>
      </x:c>
      <x:c r="D1635" s="28" t="n">
        <x:f>IF(ISNUMBER('Inputs'!$D$7),EDATE('Inputs'!$D$7,325),"n.a.")</x:f>
        <x:v>56219</x:v>
      </x:c>
      <x:c r="E1635" s="26" t="n">
        <x:f>IF('Inputs'!$D$9&lt;&gt;"Ready","n.a.",IF(ISNUMBER('Inputs'!E344),IF('Inputs'!E344&gt;=0,'Inputs'!E344,"n.a."),IF('Inputs'!E344="",'Inputs'!$D$6,"n.a.")))</x:f>
        <x:v>500</x:v>
      </x:c>
      <x:c r="F1635" s="22" t="n">
        <x:f>IF(COUNT($N$1632:$N$1636)=5,SUM($N$1632:$N$1636),"n.a.")</x:f>
        <x:v>0</x:v>
      </x:c>
      <x:c r="G1635" s="22" t="n">
        <x:f>IF(COUNT(E1635:F1635)=2,MAX(0,E1635-F1635),"n.a.")</x:f>
        <x:v>500</x:v>
      </x:c>
      <x:c r="H1635" s="26" t="str">
        <x:f>'Inputs'!C14</x:f>
        <x:v>Unused 4</x:v>
      </x:c>
      <x:c r="I1635" s="26" t="n">
        <x:f>S1630</x:f>
        <x:v>0</x:v>
      </x:c>
      <x:c r="J1635" s="29" t="n">
        <x:f>IF('Inputs'!$D$9="Ready",'Inputs'!E14,"n.a.")</x:f>
        <x:v>0</x:v>
      </x:c>
      <x:c r="K1635" s="26" t="n">
        <x:f>IF('Inputs'!$D$9="Ready",'Inputs'!F14,"n.a.")</x:f>
        <x:v>0</x:v>
      </x:c>
      <x:c r="L1635" s="29" t="n">
        <x:f>IF('Inputs'!$D$9="Ready",'Inputs'!G14,"n.a.")</x:f>
        <x:v>0</x:v>
      </x:c>
      <x:c r="M1635" s="22" t="n">
        <x:f>IF(COUNT(I1635:L1635)=4,ROUND(I1635*J1635/12,2),"n.a.")</x:f>
        <x:v>0</x:v>
      </x:c>
      <x:c r="N1635" s="22" t="n">
        <x:f>IF(COUNT(I1635:M1635)=5,MIN(I1635+M1635,ROUND(MAX(K1635,I1635*L1635+M1635),2)),"n.a.")</x:f>
        <x:v>0</x:v>
      </x:c>
      <x:c r="O1635" s="30" t="n">
        <x:f>IF(COUNT($I$1632:$I$1636)&lt;&gt;5,"n.a.",IF(I1635=0,6,IF('Inputs'!$D$5=1,COUNTIFS($I$1632:$I$1636,"&gt;0",$I$1632:$I$1636,"&lt;"&amp;I1635)+COUNTIFS($I$1632:I1635,I1635),COUNTIFS($I$1632:$I$1636,"&gt;0",$J$1632:$J$1636,"&gt;"&amp;J1635)+COUNTIFS($I$1632:I1635,"&gt;0",$J$1632:J1635,J1635))))</x:f>
        <x:v>6</x:v>
      </x:c>
      <x:c r="P1635" s="22" t="n">
        <x:f>IF(T1635="Ready",MIN(U1635,MAX(0,G1635-SUMIFS($U$1632:$U$1636,$O$1632:$O$1636,"&lt;"&amp;O1635))),"n.a.")</x:f>
        <x:v>0</x:v>
      </x:c>
      <x:c r="Q1635" s="22" t="n">
        <x:f>IF(T1635="Ready",ROUND(N1635+P1635,2),"n.a.")</x:f>
        <x:v>0</x:v>
      </x:c>
      <x:c r="R1635" s="22" t="n">
        <x:f>IF(T1635="Ready",ROUND(Q1635-M1635,2),"n.a.")</x:f>
        <x:v>0</x:v>
      </x:c>
      <x:c r="S1635" s="22" t="n">
        <x:f>IF(T1635="Ready",MAX(0,ROUND(I1635+M1635-Q1635,2)),"n.a.")</x:f>
        <x:v>0</x:v>
      </x:c>
      <x:c r="T1635" s="22" t="str">
        <x:f>IF(AND(COUNT($I$1632:$I$1636)=5,COUNT(E1635:F1635)=2),IF(E1635&gt;=F1635,"Ready","Budget below minima"),"Check inputs")</x:f>
        <x:v>Ready</x:v>
      </x:c>
      <x:c r="U1635" s="22" t="n">
        <x:f>IF(COUNT(I1635,M1635,N1635)=3,MAX(0,ROUND(I1635+M1635-N1635,2)),"n.a.")</x:f>
        <x:v>0</x:v>
      </x:c>
    </x:row>
    <x:row r="1636" ht="22" customHeight="1">
      <x:c r="A1636" s="2"/>
      <x:c r="B1636" s="2"/>
      <x:c r="C1636" s="27" t="n">
        <x:f>326</x:f>
        <x:v>326</x:v>
      </x:c>
      <x:c r="D1636" s="28" t="n">
        <x:f>IF(ISNUMBER('Inputs'!$D$7),EDATE('Inputs'!$D$7,325),"n.a.")</x:f>
        <x:v>56219</x:v>
      </x:c>
      <x:c r="E1636" s="26" t="n">
        <x:f>IF('Inputs'!$D$9&lt;&gt;"Ready","n.a.",IF(ISNUMBER('Inputs'!E344),IF('Inputs'!E344&gt;=0,'Inputs'!E344,"n.a."),IF('Inputs'!E344="",'Inputs'!$D$6,"n.a.")))</x:f>
        <x:v>500</x:v>
      </x:c>
      <x:c r="F1636" s="22" t="n">
        <x:f>IF(COUNT($N$1632:$N$1636)=5,SUM($N$1632:$N$1636),"n.a.")</x:f>
        <x:v>0</x:v>
      </x:c>
      <x:c r="G1636" s="22" t="n">
        <x:f>IF(COUNT(E1636:F1636)=2,MAX(0,E1636-F1636),"n.a.")</x:f>
        <x:v>500</x:v>
      </x:c>
      <x:c r="H1636" s="26" t="str">
        <x:f>'Inputs'!C15</x:f>
        <x:v>Unused 5</x:v>
      </x:c>
      <x:c r="I1636" s="26" t="n">
        <x:f>S1631</x:f>
        <x:v>0</x:v>
      </x:c>
      <x:c r="J1636" s="29" t="n">
        <x:f>IF('Inputs'!$D$9="Ready",'Inputs'!E15,"n.a.")</x:f>
        <x:v>0</x:v>
      </x:c>
      <x:c r="K1636" s="26" t="n">
        <x:f>IF('Inputs'!$D$9="Ready",'Inputs'!F15,"n.a.")</x:f>
        <x:v>0</x:v>
      </x:c>
      <x:c r="L1636" s="29" t="n">
        <x:f>IF('Inputs'!$D$9="Ready",'Inputs'!G15,"n.a.")</x:f>
        <x:v>0</x:v>
      </x:c>
      <x:c r="M1636" s="22" t="n">
        <x:f>IF(COUNT(I1636:L1636)=4,ROUND(I1636*J1636/12,2),"n.a.")</x:f>
        <x:v>0</x:v>
      </x:c>
      <x:c r="N1636" s="22" t="n">
        <x:f>IF(COUNT(I1636:M1636)=5,MIN(I1636+M1636,ROUND(MAX(K1636,I1636*L1636+M1636),2)),"n.a.")</x:f>
        <x:v>0</x:v>
      </x:c>
      <x:c r="O1636" s="30" t="n">
        <x:f>IF(COUNT($I$1632:$I$1636)&lt;&gt;5,"n.a.",IF(I1636=0,6,IF('Inputs'!$D$5=1,COUNTIFS($I$1632:$I$1636,"&gt;0",$I$1632:$I$1636,"&lt;"&amp;I1636)+COUNTIFS($I$1632:I1636,I1636),COUNTIFS($I$1632:$I$1636,"&gt;0",$J$1632:$J$1636,"&gt;"&amp;J1636)+COUNTIFS($I$1632:I1636,"&gt;0",$J$1632:J1636,J1636))))</x:f>
        <x:v>6</x:v>
      </x:c>
      <x:c r="P1636" s="22" t="n">
        <x:f>IF(T1636="Ready",MIN(U1636,MAX(0,G1636-SUMIFS($U$1632:$U$1636,$O$1632:$O$1636,"&lt;"&amp;O1636))),"n.a.")</x:f>
        <x:v>0</x:v>
      </x:c>
      <x:c r="Q1636" s="22" t="n">
        <x:f>IF(T1636="Ready",ROUND(N1636+P1636,2),"n.a.")</x:f>
        <x:v>0</x:v>
      </x:c>
      <x:c r="R1636" s="22" t="n">
        <x:f>IF(T1636="Ready",ROUND(Q1636-M1636,2),"n.a.")</x:f>
        <x:v>0</x:v>
      </x:c>
      <x:c r="S1636" s="22" t="n">
        <x:f>IF(T1636="Ready",MAX(0,ROUND(I1636+M1636-Q1636,2)),"n.a.")</x:f>
        <x:v>0</x:v>
      </x:c>
      <x:c r="T1636" s="22" t="str">
        <x:f>IF(AND(COUNT($I$1632:$I$1636)=5,COUNT(E1636:F1636)=2),IF(E1636&gt;=F1636,"Ready","Budget below minima"),"Check inputs")</x:f>
        <x:v>Ready</x:v>
      </x:c>
      <x:c r="U1636" s="22" t="n">
        <x:f>IF(COUNT(I1636,M1636,N1636)=3,MAX(0,ROUND(I1636+M1636-N1636,2)),"n.a.")</x:f>
        <x:v>0</x:v>
      </x:c>
    </x:row>
    <x:row r="1637" ht="22" customHeight="1">
      <x:c r="A1637" s="2"/>
      <x:c r="B1637" s="2"/>
      <x:c r="C1637" s="27" t="n">
        <x:f>327</x:f>
        <x:v>327</x:v>
      </x:c>
      <x:c r="D1637" s="28" t="n">
        <x:f>IF(ISNUMBER('Inputs'!$D$7),EDATE('Inputs'!$D$7,326),"n.a.")</x:f>
        <x:v>56250</x:v>
      </x:c>
      <x:c r="E1637" s="26" t="n">
        <x:f>IF('Inputs'!$D$9&lt;&gt;"Ready","n.a.",IF(ISNUMBER('Inputs'!E345),IF('Inputs'!E345&gt;=0,'Inputs'!E345,"n.a."),IF('Inputs'!E345="",'Inputs'!$D$6,"n.a.")))</x:f>
        <x:v>500</x:v>
      </x:c>
      <x:c r="F1637" s="22" t="n">
        <x:f>IF(COUNT($N$1637:$N$1641)=5,SUM($N$1637:$N$1641),"n.a.")</x:f>
        <x:v>0</x:v>
      </x:c>
      <x:c r="G1637" s="22" t="n">
        <x:f>IF(COUNT(E1637:F1637)=2,MAX(0,E1637-F1637),"n.a.")</x:f>
        <x:v>500</x:v>
      </x:c>
      <x:c r="H1637" s="26" t="str">
        <x:f>'Inputs'!C11</x:f>
        <x:v>Card A</x:v>
      </x:c>
      <x:c r="I1637" s="26" t="n">
        <x:f>S1632</x:f>
        <x:v>0</x:v>
      </x:c>
      <x:c r="J1637" s="29" t="n">
        <x:f>IF('Inputs'!$D$9="Ready",'Inputs'!E11,"n.a.")</x:f>
        <x:v>0.24</x:v>
      </x:c>
      <x:c r="K1637" s="26" t="n">
        <x:f>IF('Inputs'!$D$9="Ready",'Inputs'!F11,"n.a.")</x:f>
        <x:v>35</x:v>
      </x:c>
      <x:c r="L1637" s="29" t="n">
        <x:f>IF('Inputs'!$D$9="Ready",'Inputs'!G11,"n.a.")</x:f>
        <x:v>0.02</x:v>
      </x:c>
      <x:c r="M1637" s="22" t="n">
        <x:f>IF(COUNT(I1637:L1637)=4,ROUND(I1637*J1637/12,2),"n.a.")</x:f>
        <x:v>0</x:v>
      </x:c>
      <x:c r="N1637" s="22" t="n">
        <x:f>IF(COUNT(I1637:M1637)=5,MIN(I1637+M1637,ROUND(MAX(K1637,I1637*L1637+M1637),2)),"n.a.")</x:f>
        <x:v>0</x:v>
      </x:c>
      <x:c r="O1637" s="30" t="n">
        <x:f>IF(COUNT($I$1637:$I$1641)&lt;&gt;5,"n.a.",IF(I1637=0,6,IF('Inputs'!$D$5=1,COUNTIFS($I$1637:$I$1641,"&gt;0",$I$1637:$I$1641,"&lt;"&amp;I1637)+COUNTIFS($I$1637:I1637,I1637),COUNTIFS($I$1637:$I$1641,"&gt;0",$J$1637:$J$1641,"&gt;"&amp;J1637)+COUNTIFS($I$1637:I1637,"&gt;0",$J$1637:J1637,J1637))))</x:f>
        <x:v>6</x:v>
      </x:c>
      <x:c r="P1637" s="22" t="n">
        <x:f>IF(T1637="Ready",MIN(U1637,MAX(0,G1637-SUMIFS($U$1637:$U$1641,$O$1637:$O$1641,"&lt;"&amp;O1637))),"n.a.")</x:f>
        <x:v>0</x:v>
      </x:c>
      <x:c r="Q1637" s="22" t="n">
        <x:f>IF(T1637="Ready",ROUND(N1637+P1637,2),"n.a.")</x:f>
        <x:v>0</x:v>
      </x:c>
      <x:c r="R1637" s="22" t="n">
        <x:f>IF(T1637="Ready",ROUND(Q1637-M1637,2),"n.a.")</x:f>
        <x:v>0</x:v>
      </x:c>
      <x:c r="S1637" s="22" t="n">
        <x:f>IF(T1637="Ready",MAX(0,ROUND(I1637+M1637-Q1637,2)),"n.a.")</x:f>
        <x:v>0</x:v>
      </x:c>
      <x:c r="T1637" s="22" t="str">
        <x:f>IF(AND(COUNT($I$1637:$I$1641)=5,COUNT(E1637:F1637)=2),IF(E1637&gt;=F1637,"Ready","Budget below minima"),"Check inputs")</x:f>
        <x:v>Ready</x:v>
      </x:c>
      <x:c r="U1637" s="22" t="n">
        <x:f>IF(COUNT(I1637,M1637,N1637)=3,MAX(0,ROUND(I1637+M1637-N1637,2)),"n.a.")</x:f>
        <x:v>0</x:v>
      </x:c>
    </x:row>
    <x:row r="1638" ht="22" customHeight="1">
      <x:c r="A1638" s="2"/>
      <x:c r="B1638" s="2"/>
      <x:c r="C1638" s="27" t="n">
        <x:f>327</x:f>
        <x:v>327</x:v>
      </x:c>
      <x:c r="D1638" s="28" t="n">
        <x:f>IF(ISNUMBER('Inputs'!$D$7),EDATE('Inputs'!$D$7,326),"n.a.")</x:f>
        <x:v>56250</x:v>
      </x:c>
      <x:c r="E1638" s="26" t="n">
        <x:f>IF('Inputs'!$D$9&lt;&gt;"Ready","n.a.",IF(ISNUMBER('Inputs'!E345),IF('Inputs'!E345&gt;=0,'Inputs'!E345,"n.a."),IF('Inputs'!E345="",'Inputs'!$D$6,"n.a.")))</x:f>
        <x:v>500</x:v>
      </x:c>
      <x:c r="F1638" s="22" t="n">
        <x:f>IF(COUNT($N$1637:$N$1641)=5,SUM($N$1637:$N$1641),"n.a.")</x:f>
        <x:v>0</x:v>
      </x:c>
      <x:c r="G1638" s="22" t="n">
        <x:f>IF(COUNT(E1638:F1638)=2,MAX(0,E1638-F1638),"n.a.")</x:f>
        <x:v>500</x:v>
      </x:c>
      <x:c r="H1638" s="26" t="str">
        <x:f>'Inputs'!C12</x:f>
        <x:v>Card B</x:v>
      </x:c>
      <x:c r="I1638" s="26" t="n">
        <x:f>S1633</x:f>
        <x:v>0</x:v>
      </x:c>
      <x:c r="J1638" s="29" t="n">
        <x:f>IF('Inputs'!$D$9="Ready",'Inputs'!E12,"n.a.")</x:f>
        <x:v>0.18</x:v>
      </x:c>
      <x:c r="K1638" s="26" t="n">
        <x:f>IF('Inputs'!$D$9="Ready",'Inputs'!F12,"n.a.")</x:f>
        <x:v>60</x:v>
      </x:c>
      <x:c r="L1638" s="29" t="n">
        <x:f>IF('Inputs'!$D$9="Ready",'Inputs'!G12,"n.a.")</x:f>
        <x:v>0.02</x:v>
      </x:c>
      <x:c r="M1638" s="22" t="n">
        <x:f>IF(COUNT(I1638:L1638)=4,ROUND(I1638*J1638/12,2),"n.a.")</x:f>
        <x:v>0</x:v>
      </x:c>
      <x:c r="N1638" s="22" t="n">
        <x:f>IF(COUNT(I1638:M1638)=5,MIN(I1638+M1638,ROUND(MAX(K1638,I1638*L1638+M1638),2)),"n.a.")</x:f>
        <x:v>0</x:v>
      </x:c>
      <x:c r="O1638" s="30" t="n">
        <x:f>IF(COUNT($I$1637:$I$1641)&lt;&gt;5,"n.a.",IF(I1638=0,6,IF('Inputs'!$D$5=1,COUNTIFS($I$1637:$I$1641,"&gt;0",$I$1637:$I$1641,"&lt;"&amp;I1638)+COUNTIFS($I$1637:I1638,I1638),COUNTIFS($I$1637:$I$1641,"&gt;0",$J$1637:$J$1641,"&gt;"&amp;J1638)+COUNTIFS($I$1637:I1638,"&gt;0",$J$1637:J1638,J1638))))</x:f>
        <x:v>6</x:v>
      </x:c>
      <x:c r="P1638" s="22" t="n">
        <x:f>IF(T1638="Ready",MIN(U1638,MAX(0,G1638-SUMIFS($U$1637:$U$1641,$O$1637:$O$1641,"&lt;"&amp;O1638))),"n.a.")</x:f>
        <x:v>0</x:v>
      </x:c>
      <x:c r="Q1638" s="22" t="n">
        <x:f>IF(T1638="Ready",ROUND(N1638+P1638,2),"n.a.")</x:f>
        <x:v>0</x:v>
      </x:c>
      <x:c r="R1638" s="22" t="n">
        <x:f>IF(T1638="Ready",ROUND(Q1638-M1638,2),"n.a.")</x:f>
        <x:v>0</x:v>
      </x:c>
      <x:c r="S1638" s="22" t="n">
        <x:f>IF(T1638="Ready",MAX(0,ROUND(I1638+M1638-Q1638,2)),"n.a.")</x:f>
        <x:v>0</x:v>
      </x:c>
      <x:c r="T1638" s="22" t="str">
        <x:f>IF(AND(COUNT($I$1637:$I$1641)=5,COUNT(E1638:F1638)=2),IF(E1638&gt;=F1638,"Ready","Budget below minima"),"Check inputs")</x:f>
        <x:v>Ready</x:v>
      </x:c>
      <x:c r="U1638" s="22" t="n">
        <x:f>IF(COUNT(I1638,M1638,N1638)=3,MAX(0,ROUND(I1638+M1638-N1638,2)),"n.a.")</x:f>
        <x:v>0</x:v>
      </x:c>
    </x:row>
    <x:row r="1639" ht="22" customHeight="1">
      <x:c r="A1639" s="2"/>
      <x:c r="B1639" s="2"/>
      <x:c r="C1639" s="27" t="n">
        <x:f>327</x:f>
        <x:v>327</x:v>
      </x:c>
      <x:c r="D1639" s="28" t="n">
        <x:f>IF(ISNUMBER('Inputs'!$D$7),EDATE('Inputs'!$D$7,326),"n.a.")</x:f>
        <x:v>56250</x:v>
      </x:c>
      <x:c r="E1639" s="26" t="n">
        <x:f>IF('Inputs'!$D$9&lt;&gt;"Ready","n.a.",IF(ISNUMBER('Inputs'!E345),IF('Inputs'!E345&gt;=0,'Inputs'!E345,"n.a."),IF('Inputs'!E345="",'Inputs'!$D$6,"n.a.")))</x:f>
        <x:v>500</x:v>
      </x:c>
      <x:c r="F1639" s="22" t="n">
        <x:f>IF(COUNT($N$1637:$N$1641)=5,SUM($N$1637:$N$1641),"n.a.")</x:f>
        <x:v>0</x:v>
      </x:c>
      <x:c r="G1639" s="22" t="n">
        <x:f>IF(COUNT(E1639:F1639)=2,MAX(0,E1639-F1639),"n.a.")</x:f>
        <x:v>500</x:v>
      </x:c>
      <x:c r="H1639" s="26" t="str">
        <x:f>'Inputs'!C13</x:f>
        <x:v>Loan C</x:v>
      </x:c>
      <x:c r="I1639" s="26" t="n">
        <x:f>S1634</x:f>
        <x:v>0</x:v>
      </x:c>
      <x:c r="J1639" s="29" t="n">
        <x:f>IF('Inputs'!$D$9="Ready",'Inputs'!E13,"n.a.")</x:f>
        <x:v>0.08</x:v>
      </x:c>
      <x:c r="K1639" s="26" t="n">
        <x:f>IF('Inputs'!$D$9="Ready",'Inputs'!F13,"n.a.")</x:f>
        <x:v>150</x:v>
      </x:c>
      <x:c r="L1639" s="29" t="n">
        <x:f>IF('Inputs'!$D$9="Ready",'Inputs'!G13,"n.a.")</x:f>
        <x:v>0</x:v>
      </x:c>
      <x:c r="M1639" s="22" t="n">
        <x:f>IF(COUNT(I1639:L1639)=4,ROUND(I1639*J1639/12,2),"n.a.")</x:f>
        <x:v>0</x:v>
      </x:c>
      <x:c r="N1639" s="22" t="n">
        <x:f>IF(COUNT(I1639:M1639)=5,MIN(I1639+M1639,ROUND(MAX(K1639,I1639*L1639+M1639),2)),"n.a.")</x:f>
        <x:v>0</x:v>
      </x:c>
      <x:c r="O1639" s="30" t="n">
        <x:f>IF(COUNT($I$1637:$I$1641)&lt;&gt;5,"n.a.",IF(I1639=0,6,IF('Inputs'!$D$5=1,COUNTIFS($I$1637:$I$1641,"&gt;0",$I$1637:$I$1641,"&lt;"&amp;I1639)+COUNTIFS($I$1637:I1639,I1639),COUNTIFS($I$1637:$I$1641,"&gt;0",$J$1637:$J$1641,"&gt;"&amp;J1639)+COUNTIFS($I$1637:I1639,"&gt;0",$J$1637:J1639,J1639))))</x:f>
        <x:v>6</x:v>
      </x:c>
      <x:c r="P1639" s="22" t="n">
        <x:f>IF(T1639="Ready",MIN(U1639,MAX(0,G1639-SUMIFS($U$1637:$U$1641,$O$1637:$O$1641,"&lt;"&amp;O1639))),"n.a.")</x:f>
        <x:v>0</x:v>
      </x:c>
      <x:c r="Q1639" s="22" t="n">
        <x:f>IF(T1639="Ready",ROUND(N1639+P1639,2),"n.a.")</x:f>
        <x:v>0</x:v>
      </x:c>
      <x:c r="R1639" s="22" t="n">
        <x:f>IF(T1639="Ready",ROUND(Q1639-M1639,2),"n.a.")</x:f>
        <x:v>0</x:v>
      </x:c>
      <x:c r="S1639" s="22" t="n">
        <x:f>IF(T1639="Ready",MAX(0,ROUND(I1639+M1639-Q1639,2)),"n.a.")</x:f>
        <x:v>0</x:v>
      </x:c>
      <x:c r="T1639" s="22" t="str">
        <x:f>IF(AND(COUNT($I$1637:$I$1641)=5,COUNT(E1639:F1639)=2),IF(E1639&gt;=F1639,"Ready","Budget below minima"),"Check inputs")</x:f>
        <x:v>Ready</x:v>
      </x:c>
      <x:c r="U1639" s="22" t="n">
        <x:f>IF(COUNT(I1639,M1639,N1639)=3,MAX(0,ROUND(I1639+M1639-N1639,2)),"n.a.")</x:f>
        <x:v>0</x:v>
      </x:c>
    </x:row>
    <x:row r="1640" ht="22" customHeight="1">
      <x:c r="A1640" s="2"/>
      <x:c r="B1640" s="2"/>
      <x:c r="C1640" s="27" t="n">
        <x:f>327</x:f>
        <x:v>327</x:v>
      </x:c>
      <x:c r="D1640" s="28" t="n">
        <x:f>IF(ISNUMBER('Inputs'!$D$7),EDATE('Inputs'!$D$7,326),"n.a.")</x:f>
        <x:v>56250</x:v>
      </x:c>
      <x:c r="E1640" s="26" t="n">
        <x:f>IF('Inputs'!$D$9&lt;&gt;"Ready","n.a.",IF(ISNUMBER('Inputs'!E345),IF('Inputs'!E345&gt;=0,'Inputs'!E345,"n.a."),IF('Inputs'!E345="",'Inputs'!$D$6,"n.a.")))</x:f>
        <x:v>500</x:v>
      </x:c>
      <x:c r="F1640" s="22" t="n">
        <x:f>IF(COUNT($N$1637:$N$1641)=5,SUM($N$1637:$N$1641),"n.a.")</x:f>
        <x:v>0</x:v>
      </x:c>
      <x:c r="G1640" s="22" t="n">
        <x:f>IF(COUNT(E1640:F1640)=2,MAX(0,E1640-F1640),"n.a.")</x:f>
        <x:v>500</x:v>
      </x:c>
      <x:c r="H1640" s="26" t="str">
        <x:f>'Inputs'!C14</x:f>
        <x:v>Unused 4</x:v>
      </x:c>
      <x:c r="I1640" s="26" t="n">
        <x:f>S1635</x:f>
        <x:v>0</x:v>
      </x:c>
      <x:c r="J1640" s="29" t="n">
        <x:f>IF('Inputs'!$D$9="Ready",'Inputs'!E14,"n.a.")</x:f>
        <x:v>0</x:v>
      </x:c>
      <x:c r="K1640" s="26" t="n">
        <x:f>IF('Inputs'!$D$9="Ready",'Inputs'!F14,"n.a.")</x:f>
        <x:v>0</x:v>
      </x:c>
      <x:c r="L1640" s="29" t="n">
        <x:f>IF('Inputs'!$D$9="Ready",'Inputs'!G14,"n.a.")</x:f>
        <x:v>0</x:v>
      </x:c>
      <x:c r="M1640" s="22" t="n">
        <x:f>IF(COUNT(I1640:L1640)=4,ROUND(I1640*J1640/12,2),"n.a.")</x:f>
        <x:v>0</x:v>
      </x:c>
      <x:c r="N1640" s="22" t="n">
        <x:f>IF(COUNT(I1640:M1640)=5,MIN(I1640+M1640,ROUND(MAX(K1640,I1640*L1640+M1640),2)),"n.a.")</x:f>
        <x:v>0</x:v>
      </x:c>
      <x:c r="O1640" s="30" t="n">
        <x:f>IF(COUNT($I$1637:$I$1641)&lt;&gt;5,"n.a.",IF(I1640=0,6,IF('Inputs'!$D$5=1,COUNTIFS($I$1637:$I$1641,"&gt;0",$I$1637:$I$1641,"&lt;"&amp;I1640)+COUNTIFS($I$1637:I1640,I1640),COUNTIFS($I$1637:$I$1641,"&gt;0",$J$1637:$J$1641,"&gt;"&amp;J1640)+COUNTIFS($I$1637:I1640,"&gt;0",$J$1637:J1640,J1640))))</x:f>
        <x:v>6</x:v>
      </x:c>
      <x:c r="P1640" s="22" t="n">
        <x:f>IF(T1640="Ready",MIN(U1640,MAX(0,G1640-SUMIFS($U$1637:$U$1641,$O$1637:$O$1641,"&lt;"&amp;O1640))),"n.a.")</x:f>
        <x:v>0</x:v>
      </x:c>
      <x:c r="Q1640" s="22" t="n">
        <x:f>IF(T1640="Ready",ROUND(N1640+P1640,2),"n.a.")</x:f>
        <x:v>0</x:v>
      </x:c>
      <x:c r="R1640" s="22" t="n">
        <x:f>IF(T1640="Ready",ROUND(Q1640-M1640,2),"n.a.")</x:f>
        <x:v>0</x:v>
      </x:c>
      <x:c r="S1640" s="22" t="n">
        <x:f>IF(T1640="Ready",MAX(0,ROUND(I1640+M1640-Q1640,2)),"n.a.")</x:f>
        <x:v>0</x:v>
      </x:c>
      <x:c r="T1640" s="22" t="str">
        <x:f>IF(AND(COUNT($I$1637:$I$1641)=5,COUNT(E1640:F1640)=2),IF(E1640&gt;=F1640,"Ready","Budget below minima"),"Check inputs")</x:f>
        <x:v>Ready</x:v>
      </x:c>
      <x:c r="U1640" s="22" t="n">
        <x:f>IF(COUNT(I1640,M1640,N1640)=3,MAX(0,ROUND(I1640+M1640-N1640,2)),"n.a.")</x:f>
        <x:v>0</x:v>
      </x:c>
    </x:row>
    <x:row r="1641" ht="22" customHeight="1">
      <x:c r="A1641" s="2"/>
      <x:c r="B1641" s="2"/>
      <x:c r="C1641" s="27" t="n">
        <x:f>327</x:f>
        <x:v>327</x:v>
      </x:c>
      <x:c r="D1641" s="28" t="n">
        <x:f>IF(ISNUMBER('Inputs'!$D$7),EDATE('Inputs'!$D$7,326),"n.a.")</x:f>
        <x:v>56250</x:v>
      </x:c>
      <x:c r="E1641" s="26" t="n">
        <x:f>IF('Inputs'!$D$9&lt;&gt;"Ready","n.a.",IF(ISNUMBER('Inputs'!E345),IF('Inputs'!E345&gt;=0,'Inputs'!E345,"n.a."),IF('Inputs'!E345="",'Inputs'!$D$6,"n.a.")))</x:f>
        <x:v>500</x:v>
      </x:c>
      <x:c r="F1641" s="22" t="n">
        <x:f>IF(COUNT($N$1637:$N$1641)=5,SUM($N$1637:$N$1641),"n.a.")</x:f>
        <x:v>0</x:v>
      </x:c>
      <x:c r="G1641" s="22" t="n">
        <x:f>IF(COUNT(E1641:F1641)=2,MAX(0,E1641-F1641),"n.a.")</x:f>
        <x:v>500</x:v>
      </x:c>
      <x:c r="H1641" s="26" t="str">
        <x:f>'Inputs'!C15</x:f>
        <x:v>Unused 5</x:v>
      </x:c>
      <x:c r="I1641" s="26" t="n">
        <x:f>S1636</x:f>
        <x:v>0</x:v>
      </x:c>
      <x:c r="J1641" s="29" t="n">
        <x:f>IF('Inputs'!$D$9="Ready",'Inputs'!E15,"n.a.")</x:f>
        <x:v>0</x:v>
      </x:c>
      <x:c r="K1641" s="26" t="n">
        <x:f>IF('Inputs'!$D$9="Ready",'Inputs'!F15,"n.a.")</x:f>
        <x:v>0</x:v>
      </x:c>
      <x:c r="L1641" s="29" t="n">
        <x:f>IF('Inputs'!$D$9="Ready",'Inputs'!G15,"n.a.")</x:f>
        <x:v>0</x:v>
      </x:c>
      <x:c r="M1641" s="22" t="n">
        <x:f>IF(COUNT(I1641:L1641)=4,ROUND(I1641*J1641/12,2),"n.a.")</x:f>
        <x:v>0</x:v>
      </x:c>
      <x:c r="N1641" s="22" t="n">
        <x:f>IF(COUNT(I1641:M1641)=5,MIN(I1641+M1641,ROUND(MAX(K1641,I1641*L1641+M1641),2)),"n.a.")</x:f>
        <x:v>0</x:v>
      </x:c>
      <x:c r="O1641" s="30" t="n">
        <x:f>IF(COUNT($I$1637:$I$1641)&lt;&gt;5,"n.a.",IF(I1641=0,6,IF('Inputs'!$D$5=1,COUNTIFS($I$1637:$I$1641,"&gt;0",$I$1637:$I$1641,"&lt;"&amp;I1641)+COUNTIFS($I$1637:I1641,I1641),COUNTIFS($I$1637:$I$1641,"&gt;0",$J$1637:$J$1641,"&gt;"&amp;J1641)+COUNTIFS($I$1637:I1641,"&gt;0",$J$1637:J1641,J1641))))</x:f>
        <x:v>6</x:v>
      </x:c>
      <x:c r="P1641" s="22" t="n">
        <x:f>IF(T1641="Ready",MIN(U1641,MAX(0,G1641-SUMIFS($U$1637:$U$1641,$O$1637:$O$1641,"&lt;"&amp;O1641))),"n.a.")</x:f>
        <x:v>0</x:v>
      </x:c>
      <x:c r="Q1641" s="22" t="n">
        <x:f>IF(T1641="Ready",ROUND(N1641+P1641,2),"n.a.")</x:f>
        <x:v>0</x:v>
      </x:c>
      <x:c r="R1641" s="22" t="n">
        <x:f>IF(T1641="Ready",ROUND(Q1641-M1641,2),"n.a.")</x:f>
        <x:v>0</x:v>
      </x:c>
      <x:c r="S1641" s="22" t="n">
        <x:f>IF(T1641="Ready",MAX(0,ROUND(I1641+M1641-Q1641,2)),"n.a.")</x:f>
        <x:v>0</x:v>
      </x:c>
      <x:c r="T1641" s="22" t="str">
        <x:f>IF(AND(COUNT($I$1637:$I$1641)=5,COUNT(E1641:F1641)=2),IF(E1641&gt;=F1641,"Ready","Budget below minima"),"Check inputs")</x:f>
        <x:v>Ready</x:v>
      </x:c>
      <x:c r="U1641" s="22" t="n">
        <x:f>IF(COUNT(I1641,M1641,N1641)=3,MAX(0,ROUND(I1641+M1641-N1641,2)),"n.a.")</x:f>
        <x:v>0</x:v>
      </x:c>
    </x:row>
    <x:row r="1642" ht="22" customHeight="1">
      <x:c r="A1642" s="2"/>
      <x:c r="B1642" s="2"/>
      <x:c r="C1642" s="27" t="n">
        <x:f>328</x:f>
        <x:v>328</x:v>
      </x:c>
      <x:c r="D1642" s="28" t="n">
        <x:f>IF(ISNUMBER('Inputs'!$D$7),EDATE('Inputs'!$D$7,327),"n.a.")</x:f>
        <x:v>56281</x:v>
      </x:c>
      <x:c r="E1642" s="26" t="n">
        <x:f>IF('Inputs'!$D$9&lt;&gt;"Ready","n.a.",IF(ISNUMBER('Inputs'!E346),IF('Inputs'!E346&gt;=0,'Inputs'!E346,"n.a."),IF('Inputs'!E346="",'Inputs'!$D$6,"n.a.")))</x:f>
        <x:v>500</x:v>
      </x:c>
      <x:c r="F1642" s="22" t="n">
        <x:f>IF(COUNT($N$1642:$N$1646)=5,SUM($N$1642:$N$1646),"n.a.")</x:f>
        <x:v>0</x:v>
      </x:c>
      <x:c r="G1642" s="22" t="n">
        <x:f>IF(COUNT(E1642:F1642)=2,MAX(0,E1642-F1642),"n.a.")</x:f>
        <x:v>500</x:v>
      </x:c>
      <x:c r="H1642" s="26" t="str">
        <x:f>'Inputs'!C11</x:f>
        <x:v>Card A</x:v>
      </x:c>
      <x:c r="I1642" s="26" t="n">
        <x:f>S1637</x:f>
        <x:v>0</x:v>
      </x:c>
      <x:c r="J1642" s="29" t="n">
        <x:f>IF('Inputs'!$D$9="Ready",'Inputs'!E11,"n.a.")</x:f>
        <x:v>0.24</x:v>
      </x:c>
      <x:c r="K1642" s="26" t="n">
        <x:f>IF('Inputs'!$D$9="Ready",'Inputs'!F11,"n.a.")</x:f>
        <x:v>35</x:v>
      </x:c>
      <x:c r="L1642" s="29" t="n">
        <x:f>IF('Inputs'!$D$9="Ready",'Inputs'!G11,"n.a.")</x:f>
        <x:v>0.02</x:v>
      </x:c>
      <x:c r="M1642" s="22" t="n">
        <x:f>IF(COUNT(I1642:L1642)=4,ROUND(I1642*J1642/12,2),"n.a.")</x:f>
        <x:v>0</x:v>
      </x:c>
      <x:c r="N1642" s="22" t="n">
        <x:f>IF(COUNT(I1642:M1642)=5,MIN(I1642+M1642,ROUND(MAX(K1642,I1642*L1642+M1642),2)),"n.a.")</x:f>
        <x:v>0</x:v>
      </x:c>
      <x:c r="O1642" s="30" t="n">
        <x:f>IF(COUNT($I$1642:$I$1646)&lt;&gt;5,"n.a.",IF(I1642=0,6,IF('Inputs'!$D$5=1,COUNTIFS($I$1642:$I$1646,"&gt;0",$I$1642:$I$1646,"&lt;"&amp;I1642)+COUNTIFS($I$1642:I1642,I1642),COUNTIFS($I$1642:$I$1646,"&gt;0",$J$1642:$J$1646,"&gt;"&amp;J1642)+COUNTIFS($I$1642:I1642,"&gt;0",$J$1642:J1642,J1642))))</x:f>
        <x:v>6</x:v>
      </x:c>
      <x:c r="P1642" s="22" t="n">
        <x:f>IF(T1642="Ready",MIN(U1642,MAX(0,G1642-SUMIFS($U$1642:$U$1646,$O$1642:$O$1646,"&lt;"&amp;O1642))),"n.a.")</x:f>
        <x:v>0</x:v>
      </x:c>
      <x:c r="Q1642" s="22" t="n">
        <x:f>IF(T1642="Ready",ROUND(N1642+P1642,2),"n.a.")</x:f>
        <x:v>0</x:v>
      </x:c>
      <x:c r="R1642" s="22" t="n">
        <x:f>IF(T1642="Ready",ROUND(Q1642-M1642,2),"n.a.")</x:f>
        <x:v>0</x:v>
      </x:c>
      <x:c r="S1642" s="22" t="n">
        <x:f>IF(T1642="Ready",MAX(0,ROUND(I1642+M1642-Q1642,2)),"n.a.")</x:f>
        <x:v>0</x:v>
      </x:c>
      <x:c r="T1642" s="22" t="str">
        <x:f>IF(AND(COUNT($I$1642:$I$1646)=5,COUNT(E1642:F1642)=2),IF(E1642&gt;=F1642,"Ready","Budget below minima"),"Check inputs")</x:f>
        <x:v>Ready</x:v>
      </x:c>
      <x:c r="U1642" s="22" t="n">
        <x:f>IF(COUNT(I1642,M1642,N1642)=3,MAX(0,ROUND(I1642+M1642-N1642,2)),"n.a.")</x:f>
        <x:v>0</x:v>
      </x:c>
    </x:row>
    <x:row r="1643" ht="22" customHeight="1">
      <x:c r="A1643" s="2"/>
      <x:c r="B1643" s="2"/>
      <x:c r="C1643" s="27" t="n">
        <x:f>328</x:f>
        <x:v>328</x:v>
      </x:c>
      <x:c r="D1643" s="28" t="n">
        <x:f>IF(ISNUMBER('Inputs'!$D$7),EDATE('Inputs'!$D$7,327),"n.a.")</x:f>
        <x:v>56281</x:v>
      </x:c>
      <x:c r="E1643" s="26" t="n">
        <x:f>IF('Inputs'!$D$9&lt;&gt;"Ready","n.a.",IF(ISNUMBER('Inputs'!E346),IF('Inputs'!E346&gt;=0,'Inputs'!E346,"n.a."),IF('Inputs'!E346="",'Inputs'!$D$6,"n.a.")))</x:f>
        <x:v>500</x:v>
      </x:c>
      <x:c r="F1643" s="22" t="n">
        <x:f>IF(COUNT($N$1642:$N$1646)=5,SUM($N$1642:$N$1646),"n.a.")</x:f>
        <x:v>0</x:v>
      </x:c>
      <x:c r="G1643" s="22" t="n">
        <x:f>IF(COUNT(E1643:F1643)=2,MAX(0,E1643-F1643),"n.a.")</x:f>
        <x:v>500</x:v>
      </x:c>
      <x:c r="H1643" s="26" t="str">
        <x:f>'Inputs'!C12</x:f>
        <x:v>Card B</x:v>
      </x:c>
      <x:c r="I1643" s="26" t="n">
        <x:f>S1638</x:f>
        <x:v>0</x:v>
      </x:c>
      <x:c r="J1643" s="29" t="n">
        <x:f>IF('Inputs'!$D$9="Ready",'Inputs'!E12,"n.a.")</x:f>
        <x:v>0.18</x:v>
      </x:c>
      <x:c r="K1643" s="26" t="n">
        <x:f>IF('Inputs'!$D$9="Ready",'Inputs'!F12,"n.a.")</x:f>
        <x:v>60</x:v>
      </x:c>
      <x:c r="L1643" s="29" t="n">
        <x:f>IF('Inputs'!$D$9="Ready",'Inputs'!G12,"n.a.")</x:f>
        <x:v>0.02</x:v>
      </x:c>
      <x:c r="M1643" s="22" t="n">
        <x:f>IF(COUNT(I1643:L1643)=4,ROUND(I1643*J1643/12,2),"n.a.")</x:f>
        <x:v>0</x:v>
      </x:c>
      <x:c r="N1643" s="22" t="n">
        <x:f>IF(COUNT(I1643:M1643)=5,MIN(I1643+M1643,ROUND(MAX(K1643,I1643*L1643+M1643),2)),"n.a.")</x:f>
        <x:v>0</x:v>
      </x:c>
      <x:c r="O1643" s="30" t="n">
        <x:f>IF(COUNT($I$1642:$I$1646)&lt;&gt;5,"n.a.",IF(I1643=0,6,IF('Inputs'!$D$5=1,COUNTIFS($I$1642:$I$1646,"&gt;0",$I$1642:$I$1646,"&lt;"&amp;I1643)+COUNTIFS($I$1642:I1643,I1643),COUNTIFS($I$1642:$I$1646,"&gt;0",$J$1642:$J$1646,"&gt;"&amp;J1643)+COUNTIFS($I$1642:I1643,"&gt;0",$J$1642:J1643,J1643))))</x:f>
        <x:v>6</x:v>
      </x:c>
      <x:c r="P1643" s="22" t="n">
        <x:f>IF(T1643="Ready",MIN(U1643,MAX(0,G1643-SUMIFS($U$1642:$U$1646,$O$1642:$O$1646,"&lt;"&amp;O1643))),"n.a.")</x:f>
        <x:v>0</x:v>
      </x:c>
      <x:c r="Q1643" s="22" t="n">
        <x:f>IF(T1643="Ready",ROUND(N1643+P1643,2),"n.a.")</x:f>
        <x:v>0</x:v>
      </x:c>
      <x:c r="R1643" s="22" t="n">
        <x:f>IF(T1643="Ready",ROUND(Q1643-M1643,2),"n.a.")</x:f>
        <x:v>0</x:v>
      </x:c>
      <x:c r="S1643" s="22" t="n">
        <x:f>IF(T1643="Ready",MAX(0,ROUND(I1643+M1643-Q1643,2)),"n.a.")</x:f>
        <x:v>0</x:v>
      </x:c>
      <x:c r="T1643" s="22" t="str">
        <x:f>IF(AND(COUNT($I$1642:$I$1646)=5,COUNT(E1643:F1643)=2),IF(E1643&gt;=F1643,"Ready","Budget below minima"),"Check inputs")</x:f>
        <x:v>Ready</x:v>
      </x:c>
      <x:c r="U1643" s="22" t="n">
        <x:f>IF(COUNT(I1643,M1643,N1643)=3,MAX(0,ROUND(I1643+M1643-N1643,2)),"n.a.")</x:f>
        <x:v>0</x:v>
      </x:c>
    </x:row>
    <x:row r="1644" ht="22" customHeight="1">
      <x:c r="A1644" s="2"/>
      <x:c r="B1644" s="2"/>
      <x:c r="C1644" s="27" t="n">
        <x:f>328</x:f>
        <x:v>328</x:v>
      </x:c>
      <x:c r="D1644" s="28" t="n">
        <x:f>IF(ISNUMBER('Inputs'!$D$7),EDATE('Inputs'!$D$7,327),"n.a.")</x:f>
        <x:v>56281</x:v>
      </x:c>
      <x:c r="E1644" s="26" t="n">
        <x:f>IF('Inputs'!$D$9&lt;&gt;"Ready","n.a.",IF(ISNUMBER('Inputs'!E346),IF('Inputs'!E346&gt;=0,'Inputs'!E346,"n.a."),IF('Inputs'!E346="",'Inputs'!$D$6,"n.a.")))</x:f>
        <x:v>500</x:v>
      </x:c>
      <x:c r="F1644" s="22" t="n">
        <x:f>IF(COUNT($N$1642:$N$1646)=5,SUM($N$1642:$N$1646),"n.a.")</x:f>
        <x:v>0</x:v>
      </x:c>
      <x:c r="G1644" s="22" t="n">
        <x:f>IF(COUNT(E1644:F1644)=2,MAX(0,E1644-F1644),"n.a.")</x:f>
        <x:v>500</x:v>
      </x:c>
      <x:c r="H1644" s="26" t="str">
        <x:f>'Inputs'!C13</x:f>
        <x:v>Loan C</x:v>
      </x:c>
      <x:c r="I1644" s="26" t="n">
        <x:f>S1639</x:f>
        <x:v>0</x:v>
      </x:c>
      <x:c r="J1644" s="29" t="n">
        <x:f>IF('Inputs'!$D$9="Ready",'Inputs'!E13,"n.a.")</x:f>
        <x:v>0.08</x:v>
      </x:c>
      <x:c r="K1644" s="26" t="n">
        <x:f>IF('Inputs'!$D$9="Ready",'Inputs'!F13,"n.a.")</x:f>
        <x:v>150</x:v>
      </x:c>
      <x:c r="L1644" s="29" t="n">
        <x:f>IF('Inputs'!$D$9="Ready",'Inputs'!G13,"n.a.")</x:f>
        <x:v>0</x:v>
      </x:c>
      <x:c r="M1644" s="22" t="n">
        <x:f>IF(COUNT(I1644:L1644)=4,ROUND(I1644*J1644/12,2),"n.a.")</x:f>
        <x:v>0</x:v>
      </x:c>
      <x:c r="N1644" s="22" t="n">
        <x:f>IF(COUNT(I1644:M1644)=5,MIN(I1644+M1644,ROUND(MAX(K1644,I1644*L1644+M1644),2)),"n.a.")</x:f>
        <x:v>0</x:v>
      </x:c>
      <x:c r="O1644" s="30" t="n">
        <x:f>IF(COUNT($I$1642:$I$1646)&lt;&gt;5,"n.a.",IF(I1644=0,6,IF('Inputs'!$D$5=1,COUNTIFS($I$1642:$I$1646,"&gt;0",$I$1642:$I$1646,"&lt;"&amp;I1644)+COUNTIFS($I$1642:I1644,I1644),COUNTIFS($I$1642:$I$1646,"&gt;0",$J$1642:$J$1646,"&gt;"&amp;J1644)+COUNTIFS($I$1642:I1644,"&gt;0",$J$1642:J1644,J1644))))</x:f>
        <x:v>6</x:v>
      </x:c>
      <x:c r="P1644" s="22" t="n">
        <x:f>IF(T1644="Ready",MIN(U1644,MAX(0,G1644-SUMIFS($U$1642:$U$1646,$O$1642:$O$1646,"&lt;"&amp;O1644))),"n.a.")</x:f>
        <x:v>0</x:v>
      </x:c>
      <x:c r="Q1644" s="22" t="n">
        <x:f>IF(T1644="Ready",ROUND(N1644+P1644,2),"n.a.")</x:f>
        <x:v>0</x:v>
      </x:c>
      <x:c r="R1644" s="22" t="n">
        <x:f>IF(T1644="Ready",ROUND(Q1644-M1644,2),"n.a.")</x:f>
        <x:v>0</x:v>
      </x:c>
      <x:c r="S1644" s="22" t="n">
        <x:f>IF(T1644="Ready",MAX(0,ROUND(I1644+M1644-Q1644,2)),"n.a.")</x:f>
        <x:v>0</x:v>
      </x:c>
      <x:c r="T1644" s="22" t="str">
        <x:f>IF(AND(COUNT($I$1642:$I$1646)=5,COUNT(E1644:F1644)=2),IF(E1644&gt;=F1644,"Ready","Budget below minima"),"Check inputs")</x:f>
        <x:v>Ready</x:v>
      </x:c>
      <x:c r="U1644" s="22" t="n">
        <x:f>IF(COUNT(I1644,M1644,N1644)=3,MAX(0,ROUND(I1644+M1644-N1644,2)),"n.a.")</x:f>
        <x:v>0</x:v>
      </x:c>
    </x:row>
    <x:row r="1645" ht="22" customHeight="1">
      <x:c r="A1645" s="2"/>
      <x:c r="B1645" s="2"/>
      <x:c r="C1645" s="27" t="n">
        <x:f>328</x:f>
        <x:v>328</x:v>
      </x:c>
      <x:c r="D1645" s="28" t="n">
        <x:f>IF(ISNUMBER('Inputs'!$D$7),EDATE('Inputs'!$D$7,327),"n.a.")</x:f>
        <x:v>56281</x:v>
      </x:c>
      <x:c r="E1645" s="26" t="n">
        <x:f>IF('Inputs'!$D$9&lt;&gt;"Ready","n.a.",IF(ISNUMBER('Inputs'!E346),IF('Inputs'!E346&gt;=0,'Inputs'!E346,"n.a."),IF('Inputs'!E346="",'Inputs'!$D$6,"n.a.")))</x:f>
        <x:v>500</x:v>
      </x:c>
      <x:c r="F1645" s="22" t="n">
        <x:f>IF(COUNT($N$1642:$N$1646)=5,SUM($N$1642:$N$1646),"n.a.")</x:f>
        <x:v>0</x:v>
      </x:c>
      <x:c r="G1645" s="22" t="n">
        <x:f>IF(COUNT(E1645:F1645)=2,MAX(0,E1645-F1645),"n.a.")</x:f>
        <x:v>500</x:v>
      </x:c>
      <x:c r="H1645" s="26" t="str">
        <x:f>'Inputs'!C14</x:f>
        <x:v>Unused 4</x:v>
      </x:c>
      <x:c r="I1645" s="26" t="n">
        <x:f>S1640</x:f>
        <x:v>0</x:v>
      </x:c>
      <x:c r="J1645" s="29" t="n">
        <x:f>IF('Inputs'!$D$9="Ready",'Inputs'!E14,"n.a.")</x:f>
        <x:v>0</x:v>
      </x:c>
      <x:c r="K1645" s="26" t="n">
        <x:f>IF('Inputs'!$D$9="Ready",'Inputs'!F14,"n.a.")</x:f>
        <x:v>0</x:v>
      </x:c>
      <x:c r="L1645" s="29" t="n">
        <x:f>IF('Inputs'!$D$9="Ready",'Inputs'!G14,"n.a.")</x:f>
        <x:v>0</x:v>
      </x:c>
      <x:c r="M1645" s="22" t="n">
        <x:f>IF(COUNT(I1645:L1645)=4,ROUND(I1645*J1645/12,2),"n.a.")</x:f>
        <x:v>0</x:v>
      </x:c>
      <x:c r="N1645" s="22" t="n">
        <x:f>IF(COUNT(I1645:M1645)=5,MIN(I1645+M1645,ROUND(MAX(K1645,I1645*L1645+M1645),2)),"n.a.")</x:f>
        <x:v>0</x:v>
      </x:c>
      <x:c r="O1645" s="30" t="n">
        <x:f>IF(COUNT($I$1642:$I$1646)&lt;&gt;5,"n.a.",IF(I1645=0,6,IF('Inputs'!$D$5=1,COUNTIFS($I$1642:$I$1646,"&gt;0",$I$1642:$I$1646,"&lt;"&amp;I1645)+COUNTIFS($I$1642:I1645,I1645),COUNTIFS($I$1642:$I$1646,"&gt;0",$J$1642:$J$1646,"&gt;"&amp;J1645)+COUNTIFS($I$1642:I1645,"&gt;0",$J$1642:J1645,J1645))))</x:f>
        <x:v>6</x:v>
      </x:c>
      <x:c r="P1645" s="22" t="n">
        <x:f>IF(T1645="Ready",MIN(U1645,MAX(0,G1645-SUMIFS($U$1642:$U$1646,$O$1642:$O$1646,"&lt;"&amp;O1645))),"n.a.")</x:f>
        <x:v>0</x:v>
      </x:c>
      <x:c r="Q1645" s="22" t="n">
        <x:f>IF(T1645="Ready",ROUND(N1645+P1645,2),"n.a.")</x:f>
        <x:v>0</x:v>
      </x:c>
      <x:c r="R1645" s="22" t="n">
        <x:f>IF(T1645="Ready",ROUND(Q1645-M1645,2),"n.a.")</x:f>
        <x:v>0</x:v>
      </x:c>
      <x:c r="S1645" s="22" t="n">
        <x:f>IF(T1645="Ready",MAX(0,ROUND(I1645+M1645-Q1645,2)),"n.a.")</x:f>
        <x:v>0</x:v>
      </x:c>
      <x:c r="T1645" s="22" t="str">
        <x:f>IF(AND(COUNT($I$1642:$I$1646)=5,COUNT(E1645:F1645)=2),IF(E1645&gt;=F1645,"Ready","Budget below minima"),"Check inputs")</x:f>
        <x:v>Ready</x:v>
      </x:c>
      <x:c r="U1645" s="22" t="n">
        <x:f>IF(COUNT(I1645,M1645,N1645)=3,MAX(0,ROUND(I1645+M1645-N1645,2)),"n.a.")</x:f>
        <x:v>0</x:v>
      </x:c>
    </x:row>
    <x:row r="1646" ht="22" customHeight="1">
      <x:c r="A1646" s="2"/>
      <x:c r="B1646" s="2"/>
      <x:c r="C1646" s="27" t="n">
        <x:f>328</x:f>
        <x:v>328</x:v>
      </x:c>
      <x:c r="D1646" s="28" t="n">
        <x:f>IF(ISNUMBER('Inputs'!$D$7),EDATE('Inputs'!$D$7,327),"n.a.")</x:f>
        <x:v>56281</x:v>
      </x:c>
      <x:c r="E1646" s="26" t="n">
        <x:f>IF('Inputs'!$D$9&lt;&gt;"Ready","n.a.",IF(ISNUMBER('Inputs'!E346),IF('Inputs'!E346&gt;=0,'Inputs'!E346,"n.a."),IF('Inputs'!E346="",'Inputs'!$D$6,"n.a.")))</x:f>
        <x:v>500</x:v>
      </x:c>
      <x:c r="F1646" s="22" t="n">
        <x:f>IF(COUNT($N$1642:$N$1646)=5,SUM($N$1642:$N$1646),"n.a.")</x:f>
        <x:v>0</x:v>
      </x:c>
      <x:c r="G1646" s="22" t="n">
        <x:f>IF(COUNT(E1646:F1646)=2,MAX(0,E1646-F1646),"n.a.")</x:f>
        <x:v>500</x:v>
      </x:c>
      <x:c r="H1646" s="26" t="str">
        <x:f>'Inputs'!C15</x:f>
        <x:v>Unused 5</x:v>
      </x:c>
      <x:c r="I1646" s="26" t="n">
        <x:f>S1641</x:f>
        <x:v>0</x:v>
      </x:c>
      <x:c r="J1646" s="29" t="n">
        <x:f>IF('Inputs'!$D$9="Ready",'Inputs'!E15,"n.a.")</x:f>
        <x:v>0</x:v>
      </x:c>
      <x:c r="K1646" s="26" t="n">
        <x:f>IF('Inputs'!$D$9="Ready",'Inputs'!F15,"n.a.")</x:f>
        <x:v>0</x:v>
      </x:c>
      <x:c r="L1646" s="29" t="n">
        <x:f>IF('Inputs'!$D$9="Ready",'Inputs'!G15,"n.a.")</x:f>
        <x:v>0</x:v>
      </x:c>
      <x:c r="M1646" s="22" t="n">
        <x:f>IF(COUNT(I1646:L1646)=4,ROUND(I1646*J1646/12,2),"n.a.")</x:f>
        <x:v>0</x:v>
      </x:c>
      <x:c r="N1646" s="22" t="n">
        <x:f>IF(COUNT(I1646:M1646)=5,MIN(I1646+M1646,ROUND(MAX(K1646,I1646*L1646+M1646),2)),"n.a.")</x:f>
        <x:v>0</x:v>
      </x:c>
      <x:c r="O1646" s="30" t="n">
        <x:f>IF(COUNT($I$1642:$I$1646)&lt;&gt;5,"n.a.",IF(I1646=0,6,IF('Inputs'!$D$5=1,COUNTIFS($I$1642:$I$1646,"&gt;0",$I$1642:$I$1646,"&lt;"&amp;I1646)+COUNTIFS($I$1642:I1646,I1646),COUNTIFS($I$1642:$I$1646,"&gt;0",$J$1642:$J$1646,"&gt;"&amp;J1646)+COUNTIFS($I$1642:I1646,"&gt;0",$J$1642:J1646,J1646))))</x:f>
        <x:v>6</x:v>
      </x:c>
      <x:c r="P1646" s="22" t="n">
        <x:f>IF(T1646="Ready",MIN(U1646,MAX(0,G1646-SUMIFS($U$1642:$U$1646,$O$1642:$O$1646,"&lt;"&amp;O1646))),"n.a.")</x:f>
        <x:v>0</x:v>
      </x:c>
      <x:c r="Q1646" s="22" t="n">
        <x:f>IF(T1646="Ready",ROUND(N1646+P1646,2),"n.a.")</x:f>
        <x:v>0</x:v>
      </x:c>
      <x:c r="R1646" s="22" t="n">
        <x:f>IF(T1646="Ready",ROUND(Q1646-M1646,2),"n.a.")</x:f>
        <x:v>0</x:v>
      </x:c>
      <x:c r="S1646" s="22" t="n">
        <x:f>IF(T1646="Ready",MAX(0,ROUND(I1646+M1646-Q1646,2)),"n.a.")</x:f>
        <x:v>0</x:v>
      </x:c>
      <x:c r="T1646" s="22" t="str">
        <x:f>IF(AND(COUNT($I$1642:$I$1646)=5,COUNT(E1646:F1646)=2),IF(E1646&gt;=F1646,"Ready","Budget below minima"),"Check inputs")</x:f>
        <x:v>Ready</x:v>
      </x:c>
      <x:c r="U1646" s="22" t="n">
        <x:f>IF(COUNT(I1646,M1646,N1646)=3,MAX(0,ROUND(I1646+M1646-N1646,2)),"n.a.")</x:f>
        <x:v>0</x:v>
      </x:c>
    </x:row>
    <x:row r="1647" ht="22" customHeight="1">
      <x:c r="A1647" s="2"/>
      <x:c r="B1647" s="2"/>
      <x:c r="C1647" s="27" t="n">
        <x:f>329</x:f>
        <x:v>329</x:v>
      </x:c>
      <x:c r="D1647" s="28" t="n">
        <x:f>IF(ISNUMBER('Inputs'!$D$7),EDATE('Inputs'!$D$7,328),"n.a.")</x:f>
        <x:v>56309</x:v>
      </x:c>
      <x:c r="E1647" s="26" t="n">
        <x:f>IF('Inputs'!$D$9&lt;&gt;"Ready","n.a.",IF(ISNUMBER('Inputs'!E347),IF('Inputs'!E347&gt;=0,'Inputs'!E347,"n.a."),IF('Inputs'!E347="",'Inputs'!$D$6,"n.a.")))</x:f>
        <x:v>500</x:v>
      </x:c>
      <x:c r="F1647" s="22" t="n">
        <x:f>IF(COUNT($N$1647:$N$1651)=5,SUM($N$1647:$N$1651),"n.a.")</x:f>
        <x:v>0</x:v>
      </x:c>
      <x:c r="G1647" s="22" t="n">
        <x:f>IF(COUNT(E1647:F1647)=2,MAX(0,E1647-F1647),"n.a.")</x:f>
        <x:v>500</x:v>
      </x:c>
      <x:c r="H1647" s="26" t="str">
        <x:f>'Inputs'!C11</x:f>
        <x:v>Card A</x:v>
      </x:c>
      <x:c r="I1647" s="26" t="n">
        <x:f>S1642</x:f>
        <x:v>0</x:v>
      </x:c>
      <x:c r="J1647" s="29" t="n">
        <x:f>IF('Inputs'!$D$9="Ready",'Inputs'!E11,"n.a.")</x:f>
        <x:v>0.24</x:v>
      </x:c>
      <x:c r="K1647" s="26" t="n">
        <x:f>IF('Inputs'!$D$9="Ready",'Inputs'!F11,"n.a.")</x:f>
        <x:v>35</x:v>
      </x:c>
      <x:c r="L1647" s="29" t="n">
        <x:f>IF('Inputs'!$D$9="Ready",'Inputs'!G11,"n.a.")</x:f>
        <x:v>0.02</x:v>
      </x:c>
      <x:c r="M1647" s="22" t="n">
        <x:f>IF(COUNT(I1647:L1647)=4,ROUND(I1647*J1647/12,2),"n.a.")</x:f>
        <x:v>0</x:v>
      </x:c>
      <x:c r="N1647" s="22" t="n">
        <x:f>IF(COUNT(I1647:M1647)=5,MIN(I1647+M1647,ROUND(MAX(K1647,I1647*L1647+M1647),2)),"n.a.")</x:f>
        <x:v>0</x:v>
      </x:c>
      <x:c r="O1647" s="30" t="n">
        <x:f>IF(COUNT($I$1647:$I$1651)&lt;&gt;5,"n.a.",IF(I1647=0,6,IF('Inputs'!$D$5=1,COUNTIFS($I$1647:$I$1651,"&gt;0",$I$1647:$I$1651,"&lt;"&amp;I1647)+COUNTIFS($I$1647:I1647,I1647),COUNTIFS($I$1647:$I$1651,"&gt;0",$J$1647:$J$1651,"&gt;"&amp;J1647)+COUNTIFS($I$1647:I1647,"&gt;0",$J$1647:J1647,J1647))))</x:f>
        <x:v>6</x:v>
      </x:c>
      <x:c r="P1647" s="22" t="n">
        <x:f>IF(T1647="Ready",MIN(U1647,MAX(0,G1647-SUMIFS($U$1647:$U$1651,$O$1647:$O$1651,"&lt;"&amp;O1647))),"n.a.")</x:f>
        <x:v>0</x:v>
      </x:c>
      <x:c r="Q1647" s="22" t="n">
        <x:f>IF(T1647="Ready",ROUND(N1647+P1647,2),"n.a.")</x:f>
        <x:v>0</x:v>
      </x:c>
      <x:c r="R1647" s="22" t="n">
        <x:f>IF(T1647="Ready",ROUND(Q1647-M1647,2),"n.a.")</x:f>
        <x:v>0</x:v>
      </x:c>
      <x:c r="S1647" s="22" t="n">
        <x:f>IF(T1647="Ready",MAX(0,ROUND(I1647+M1647-Q1647,2)),"n.a.")</x:f>
        <x:v>0</x:v>
      </x:c>
      <x:c r="T1647" s="22" t="str">
        <x:f>IF(AND(COUNT($I$1647:$I$1651)=5,COUNT(E1647:F1647)=2),IF(E1647&gt;=F1647,"Ready","Budget below minima"),"Check inputs")</x:f>
        <x:v>Ready</x:v>
      </x:c>
      <x:c r="U1647" s="22" t="n">
        <x:f>IF(COUNT(I1647,M1647,N1647)=3,MAX(0,ROUND(I1647+M1647-N1647,2)),"n.a.")</x:f>
        <x:v>0</x:v>
      </x:c>
    </x:row>
    <x:row r="1648" ht="22" customHeight="1">
      <x:c r="A1648" s="2"/>
      <x:c r="B1648" s="2"/>
      <x:c r="C1648" s="27" t="n">
        <x:f>329</x:f>
        <x:v>329</x:v>
      </x:c>
      <x:c r="D1648" s="28" t="n">
        <x:f>IF(ISNUMBER('Inputs'!$D$7),EDATE('Inputs'!$D$7,328),"n.a.")</x:f>
        <x:v>56309</x:v>
      </x:c>
      <x:c r="E1648" s="26" t="n">
        <x:f>IF('Inputs'!$D$9&lt;&gt;"Ready","n.a.",IF(ISNUMBER('Inputs'!E347),IF('Inputs'!E347&gt;=0,'Inputs'!E347,"n.a."),IF('Inputs'!E347="",'Inputs'!$D$6,"n.a.")))</x:f>
        <x:v>500</x:v>
      </x:c>
      <x:c r="F1648" s="22" t="n">
        <x:f>IF(COUNT($N$1647:$N$1651)=5,SUM($N$1647:$N$1651),"n.a.")</x:f>
        <x:v>0</x:v>
      </x:c>
      <x:c r="G1648" s="22" t="n">
        <x:f>IF(COUNT(E1648:F1648)=2,MAX(0,E1648-F1648),"n.a.")</x:f>
        <x:v>500</x:v>
      </x:c>
      <x:c r="H1648" s="26" t="str">
        <x:f>'Inputs'!C12</x:f>
        <x:v>Card B</x:v>
      </x:c>
      <x:c r="I1648" s="26" t="n">
        <x:f>S1643</x:f>
        <x:v>0</x:v>
      </x:c>
      <x:c r="J1648" s="29" t="n">
        <x:f>IF('Inputs'!$D$9="Ready",'Inputs'!E12,"n.a.")</x:f>
        <x:v>0.18</x:v>
      </x:c>
      <x:c r="K1648" s="26" t="n">
        <x:f>IF('Inputs'!$D$9="Ready",'Inputs'!F12,"n.a.")</x:f>
        <x:v>60</x:v>
      </x:c>
      <x:c r="L1648" s="29" t="n">
        <x:f>IF('Inputs'!$D$9="Ready",'Inputs'!G12,"n.a.")</x:f>
        <x:v>0.02</x:v>
      </x:c>
      <x:c r="M1648" s="22" t="n">
        <x:f>IF(COUNT(I1648:L1648)=4,ROUND(I1648*J1648/12,2),"n.a.")</x:f>
        <x:v>0</x:v>
      </x:c>
      <x:c r="N1648" s="22" t="n">
        <x:f>IF(COUNT(I1648:M1648)=5,MIN(I1648+M1648,ROUND(MAX(K1648,I1648*L1648+M1648),2)),"n.a.")</x:f>
        <x:v>0</x:v>
      </x:c>
      <x:c r="O1648" s="30" t="n">
        <x:f>IF(COUNT($I$1647:$I$1651)&lt;&gt;5,"n.a.",IF(I1648=0,6,IF('Inputs'!$D$5=1,COUNTIFS($I$1647:$I$1651,"&gt;0",$I$1647:$I$1651,"&lt;"&amp;I1648)+COUNTIFS($I$1647:I1648,I1648),COUNTIFS($I$1647:$I$1651,"&gt;0",$J$1647:$J$1651,"&gt;"&amp;J1648)+COUNTIFS($I$1647:I1648,"&gt;0",$J$1647:J1648,J1648))))</x:f>
        <x:v>6</x:v>
      </x:c>
      <x:c r="P1648" s="22" t="n">
        <x:f>IF(T1648="Ready",MIN(U1648,MAX(0,G1648-SUMIFS($U$1647:$U$1651,$O$1647:$O$1651,"&lt;"&amp;O1648))),"n.a.")</x:f>
        <x:v>0</x:v>
      </x:c>
      <x:c r="Q1648" s="22" t="n">
        <x:f>IF(T1648="Ready",ROUND(N1648+P1648,2),"n.a.")</x:f>
        <x:v>0</x:v>
      </x:c>
      <x:c r="R1648" s="22" t="n">
        <x:f>IF(T1648="Ready",ROUND(Q1648-M1648,2),"n.a.")</x:f>
        <x:v>0</x:v>
      </x:c>
      <x:c r="S1648" s="22" t="n">
        <x:f>IF(T1648="Ready",MAX(0,ROUND(I1648+M1648-Q1648,2)),"n.a.")</x:f>
        <x:v>0</x:v>
      </x:c>
      <x:c r="T1648" s="22" t="str">
        <x:f>IF(AND(COUNT($I$1647:$I$1651)=5,COUNT(E1648:F1648)=2),IF(E1648&gt;=F1648,"Ready","Budget below minima"),"Check inputs")</x:f>
        <x:v>Ready</x:v>
      </x:c>
      <x:c r="U1648" s="22" t="n">
        <x:f>IF(COUNT(I1648,M1648,N1648)=3,MAX(0,ROUND(I1648+M1648-N1648,2)),"n.a.")</x:f>
        <x:v>0</x:v>
      </x:c>
    </x:row>
    <x:row r="1649" ht="22" customHeight="1">
      <x:c r="A1649" s="2"/>
      <x:c r="B1649" s="2"/>
      <x:c r="C1649" s="27" t="n">
        <x:f>329</x:f>
        <x:v>329</x:v>
      </x:c>
      <x:c r="D1649" s="28" t="n">
        <x:f>IF(ISNUMBER('Inputs'!$D$7),EDATE('Inputs'!$D$7,328),"n.a.")</x:f>
        <x:v>56309</x:v>
      </x:c>
      <x:c r="E1649" s="26" t="n">
        <x:f>IF('Inputs'!$D$9&lt;&gt;"Ready","n.a.",IF(ISNUMBER('Inputs'!E347),IF('Inputs'!E347&gt;=0,'Inputs'!E347,"n.a."),IF('Inputs'!E347="",'Inputs'!$D$6,"n.a.")))</x:f>
        <x:v>500</x:v>
      </x:c>
      <x:c r="F1649" s="22" t="n">
        <x:f>IF(COUNT($N$1647:$N$1651)=5,SUM($N$1647:$N$1651),"n.a.")</x:f>
        <x:v>0</x:v>
      </x:c>
      <x:c r="G1649" s="22" t="n">
        <x:f>IF(COUNT(E1649:F1649)=2,MAX(0,E1649-F1649),"n.a.")</x:f>
        <x:v>500</x:v>
      </x:c>
      <x:c r="H1649" s="26" t="str">
        <x:f>'Inputs'!C13</x:f>
        <x:v>Loan C</x:v>
      </x:c>
      <x:c r="I1649" s="26" t="n">
        <x:f>S1644</x:f>
        <x:v>0</x:v>
      </x:c>
      <x:c r="J1649" s="29" t="n">
        <x:f>IF('Inputs'!$D$9="Ready",'Inputs'!E13,"n.a.")</x:f>
        <x:v>0.08</x:v>
      </x:c>
      <x:c r="K1649" s="26" t="n">
        <x:f>IF('Inputs'!$D$9="Ready",'Inputs'!F13,"n.a.")</x:f>
        <x:v>150</x:v>
      </x:c>
      <x:c r="L1649" s="29" t="n">
        <x:f>IF('Inputs'!$D$9="Ready",'Inputs'!G13,"n.a.")</x:f>
        <x:v>0</x:v>
      </x:c>
      <x:c r="M1649" s="22" t="n">
        <x:f>IF(COUNT(I1649:L1649)=4,ROUND(I1649*J1649/12,2),"n.a.")</x:f>
        <x:v>0</x:v>
      </x:c>
      <x:c r="N1649" s="22" t="n">
        <x:f>IF(COUNT(I1649:M1649)=5,MIN(I1649+M1649,ROUND(MAX(K1649,I1649*L1649+M1649),2)),"n.a.")</x:f>
        <x:v>0</x:v>
      </x:c>
      <x:c r="O1649" s="30" t="n">
        <x:f>IF(COUNT($I$1647:$I$1651)&lt;&gt;5,"n.a.",IF(I1649=0,6,IF('Inputs'!$D$5=1,COUNTIFS($I$1647:$I$1651,"&gt;0",$I$1647:$I$1651,"&lt;"&amp;I1649)+COUNTIFS($I$1647:I1649,I1649),COUNTIFS($I$1647:$I$1651,"&gt;0",$J$1647:$J$1651,"&gt;"&amp;J1649)+COUNTIFS($I$1647:I1649,"&gt;0",$J$1647:J1649,J1649))))</x:f>
        <x:v>6</x:v>
      </x:c>
      <x:c r="P1649" s="22" t="n">
        <x:f>IF(T1649="Ready",MIN(U1649,MAX(0,G1649-SUMIFS($U$1647:$U$1651,$O$1647:$O$1651,"&lt;"&amp;O1649))),"n.a.")</x:f>
        <x:v>0</x:v>
      </x:c>
      <x:c r="Q1649" s="22" t="n">
        <x:f>IF(T1649="Ready",ROUND(N1649+P1649,2),"n.a.")</x:f>
        <x:v>0</x:v>
      </x:c>
      <x:c r="R1649" s="22" t="n">
        <x:f>IF(T1649="Ready",ROUND(Q1649-M1649,2),"n.a.")</x:f>
        <x:v>0</x:v>
      </x:c>
      <x:c r="S1649" s="22" t="n">
        <x:f>IF(T1649="Ready",MAX(0,ROUND(I1649+M1649-Q1649,2)),"n.a.")</x:f>
        <x:v>0</x:v>
      </x:c>
      <x:c r="T1649" s="22" t="str">
        <x:f>IF(AND(COUNT($I$1647:$I$1651)=5,COUNT(E1649:F1649)=2),IF(E1649&gt;=F1649,"Ready","Budget below minima"),"Check inputs")</x:f>
        <x:v>Ready</x:v>
      </x:c>
      <x:c r="U1649" s="22" t="n">
        <x:f>IF(COUNT(I1649,M1649,N1649)=3,MAX(0,ROUND(I1649+M1649-N1649,2)),"n.a.")</x:f>
        <x:v>0</x:v>
      </x:c>
    </x:row>
    <x:row r="1650" ht="22" customHeight="1">
      <x:c r="A1650" s="2"/>
      <x:c r="B1650" s="2"/>
      <x:c r="C1650" s="27" t="n">
        <x:f>329</x:f>
        <x:v>329</x:v>
      </x:c>
      <x:c r="D1650" s="28" t="n">
        <x:f>IF(ISNUMBER('Inputs'!$D$7),EDATE('Inputs'!$D$7,328),"n.a.")</x:f>
        <x:v>56309</x:v>
      </x:c>
      <x:c r="E1650" s="26" t="n">
        <x:f>IF('Inputs'!$D$9&lt;&gt;"Ready","n.a.",IF(ISNUMBER('Inputs'!E347),IF('Inputs'!E347&gt;=0,'Inputs'!E347,"n.a."),IF('Inputs'!E347="",'Inputs'!$D$6,"n.a.")))</x:f>
        <x:v>500</x:v>
      </x:c>
      <x:c r="F1650" s="22" t="n">
        <x:f>IF(COUNT($N$1647:$N$1651)=5,SUM($N$1647:$N$1651),"n.a.")</x:f>
        <x:v>0</x:v>
      </x:c>
      <x:c r="G1650" s="22" t="n">
        <x:f>IF(COUNT(E1650:F1650)=2,MAX(0,E1650-F1650),"n.a.")</x:f>
        <x:v>500</x:v>
      </x:c>
      <x:c r="H1650" s="26" t="str">
        <x:f>'Inputs'!C14</x:f>
        <x:v>Unused 4</x:v>
      </x:c>
      <x:c r="I1650" s="26" t="n">
        <x:f>S1645</x:f>
        <x:v>0</x:v>
      </x:c>
      <x:c r="J1650" s="29" t="n">
        <x:f>IF('Inputs'!$D$9="Ready",'Inputs'!E14,"n.a.")</x:f>
        <x:v>0</x:v>
      </x:c>
      <x:c r="K1650" s="26" t="n">
        <x:f>IF('Inputs'!$D$9="Ready",'Inputs'!F14,"n.a.")</x:f>
        <x:v>0</x:v>
      </x:c>
      <x:c r="L1650" s="29" t="n">
        <x:f>IF('Inputs'!$D$9="Ready",'Inputs'!G14,"n.a.")</x:f>
        <x:v>0</x:v>
      </x:c>
      <x:c r="M1650" s="22" t="n">
        <x:f>IF(COUNT(I1650:L1650)=4,ROUND(I1650*J1650/12,2),"n.a.")</x:f>
        <x:v>0</x:v>
      </x:c>
      <x:c r="N1650" s="22" t="n">
        <x:f>IF(COUNT(I1650:M1650)=5,MIN(I1650+M1650,ROUND(MAX(K1650,I1650*L1650+M1650),2)),"n.a.")</x:f>
        <x:v>0</x:v>
      </x:c>
      <x:c r="O1650" s="30" t="n">
        <x:f>IF(COUNT($I$1647:$I$1651)&lt;&gt;5,"n.a.",IF(I1650=0,6,IF('Inputs'!$D$5=1,COUNTIFS($I$1647:$I$1651,"&gt;0",$I$1647:$I$1651,"&lt;"&amp;I1650)+COUNTIFS($I$1647:I1650,I1650),COUNTIFS($I$1647:$I$1651,"&gt;0",$J$1647:$J$1651,"&gt;"&amp;J1650)+COUNTIFS($I$1647:I1650,"&gt;0",$J$1647:J1650,J1650))))</x:f>
        <x:v>6</x:v>
      </x:c>
      <x:c r="P1650" s="22" t="n">
        <x:f>IF(T1650="Ready",MIN(U1650,MAX(0,G1650-SUMIFS($U$1647:$U$1651,$O$1647:$O$1651,"&lt;"&amp;O1650))),"n.a.")</x:f>
        <x:v>0</x:v>
      </x:c>
      <x:c r="Q1650" s="22" t="n">
        <x:f>IF(T1650="Ready",ROUND(N1650+P1650,2),"n.a.")</x:f>
        <x:v>0</x:v>
      </x:c>
      <x:c r="R1650" s="22" t="n">
        <x:f>IF(T1650="Ready",ROUND(Q1650-M1650,2),"n.a.")</x:f>
        <x:v>0</x:v>
      </x:c>
      <x:c r="S1650" s="22" t="n">
        <x:f>IF(T1650="Ready",MAX(0,ROUND(I1650+M1650-Q1650,2)),"n.a.")</x:f>
        <x:v>0</x:v>
      </x:c>
      <x:c r="T1650" s="22" t="str">
        <x:f>IF(AND(COUNT($I$1647:$I$1651)=5,COUNT(E1650:F1650)=2),IF(E1650&gt;=F1650,"Ready","Budget below minima"),"Check inputs")</x:f>
        <x:v>Ready</x:v>
      </x:c>
      <x:c r="U1650" s="22" t="n">
        <x:f>IF(COUNT(I1650,M1650,N1650)=3,MAX(0,ROUND(I1650+M1650-N1650,2)),"n.a.")</x:f>
        <x:v>0</x:v>
      </x:c>
    </x:row>
    <x:row r="1651" ht="22" customHeight="1">
      <x:c r="A1651" s="2"/>
      <x:c r="B1651" s="2"/>
      <x:c r="C1651" s="27" t="n">
        <x:f>329</x:f>
        <x:v>329</x:v>
      </x:c>
      <x:c r="D1651" s="28" t="n">
        <x:f>IF(ISNUMBER('Inputs'!$D$7),EDATE('Inputs'!$D$7,328),"n.a.")</x:f>
        <x:v>56309</x:v>
      </x:c>
      <x:c r="E1651" s="26" t="n">
        <x:f>IF('Inputs'!$D$9&lt;&gt;"Ready","n.a.",IF(ISNUMBER('Inputs'!E347),IF('Inputs'!E347&gt;=0,'Inputs'!E347,"n.a."),IF('Inputs'!E347="",'Inputs'!$D$6,"n.a.")))</x:f>
        <x:v>500</x:v>
      </x:c>
      <x:c r="F1651" s="22" t="n">
        <x:f>IF(COUNT($N$1647:$N$1651)=5,SUM($N$1647:$N$1651),"n.a.")</x:f>
        <x:v>0</x:v>
      </x:c>
      <x:c r="G1651" s="22" t="n">
        <x:f>IF(COUNT(E1651:F1651)=2,MAX(0,E1651-F1651),"n.a.")</x:f>
        <x:v>500</x:v>
      </x:c>
      <x:c r="H1651" s="26" t="str">
        <x:f>'Inputs'!C15</x:f>
        <x:v>Unused 5</x:v>
      </x:c>
      <x:c r="I1651" s="26" t="n">
        <x:f>S1646</x:f>
        <x:v>0</x:v>
      </x:c>
      <x:c r="J1651" s="29" t="n">
        <x:f>IF('Inputs'!$D$9="Ready",'Inputs'!E15,"n.a.")</x:f>
        <x:v>0</x:v>
      </x:c>
      <x:c r="K1651" s="26" t="n">
        <x:f>IF('Inputs'!$D$9="Ready",'Inputs'!F15,"n.a.")</x:f>
        <x:v>0</x:v>
      </x:c>
      <x:c r="L1651" s="29" t="n">
        <x:f>IF('Inputs'!$D$9="Ready",'Inputs'!G15,"n.a.")</x:f>
        <x:v>0</x:v>
      </x:c>
      <x:c r="M1651" s="22" t="n">
        <x:f>IF(COUNT(I1651:L1651)=4,ROUND(I1651*J1651/12,2),"n.a.")</x:f>
        <x:v>0</x:v>
      </x:c>
      <x:c r="N1651" s="22" t="n">
        <x:f>IF(COUNT(I1651:M1651)=5,MIN(I1651+M1651,ROUND(MAX(K1651,I1651*L1651+M1651),2)),"n.a.")</x:f>
        <x:v>0</x:v>
      </x:c>
      <x:c r="O1651" s="30" t="n">
        <x:f>IF(COUNT($I$1647:$I$1651)&lt;&gt;5,"n.a.",IF(I1651=0,6,IF('Inputs'!$D$5=1,COUNTIFS($I$1647:$I$1651,"&gt;0",$I$1647:$I$1651,"&lt;"&amp;I1651)+COUNTIFS($I$1647:I1651,I1651),COUNTIFS($I$1647:$I$1651,"&gt;0",$J$1647:$J$1651,"&gt;"&amp;J1651)+COUNTIFS($I$1647:I1651,"&gt;0",$J$1647:J1651,J1651))))</x:f>
        <x:v>6</x:v>
      </x:c>
      <x:c r="P1651" s="22" t="n">
        <x:f>IF(T1651="Ready",MIN(U1651,MAX(0,G1651-SUMIFS($U$1647:$U$1651,$O$1647:$O$1651,"&lt;"&amp;O1651))),"n.a.")</x:f>
        <x:v>0</x:v>
      </x:c>
      <x:c r="Q1651" s="22" t="n">
        <x:f>IF(T1651="Ready",ROUND(N1651+P1651,2),"n.a.")</x:f>
        <x:v>0</x:v>
      </x:c>
      <x:c r="R1651" s="22" t="n">
        <x:f>IF(T1651="Ready",ROUND(Q1651-M1651,2),"n.a.")</x:f>
        <x:v>0</x:v>
      </x:c>
      <x:c r="S1651" s="22" t="n">
        <x:f>IF(T1651="Ready",MAX(0,ROUND(I1651+M1651-Q1651,2)),"n.a.")</x:f>
        <x:v>0</x:v>
      </x:c>
      <x:c r="T1651" s="22" t="str">
        <x:f>IF(AND(COUNT($I$1647:$I$1651)=5,COUNT(E1651:F1651)=2),IF(E1651&gt;=F1651,"Ready","Budget below minima"),"Check inputs")</x:f>
        <x:v>Ready</x:v>
      </x:c>
      <x:c r="U1651" s="22" t="n">
        <x:f>IF(COUNT(I1651,M1651,N1651)=3,MAX(0,ROUND(I1651+M1651-N1651,2)),"n.a.")</x:f>
        <x:v>0</x:v>
      </x:c>
    </x:row>
    <x:row r="1652" ht="22" customHeight="1">
      <x:c r="A1652" s="2"/>
      <x:c r="B1652" s="2"/>
      <x:c r="C1652" s="27" t="n">
        <x:f>330</x:f>
        <x:v>330</x:v>
      </x:c>
      <x:c r="D1652" s="28" t="n">
        <x:f>IF(ISNUMBER('Inputs'!$D$7),EDATE('Inputs'!$D$7,329),"n.a.")</x:f>
        <x:v>56340</x:v>
      </x:c>
      <x:c r="E1652" s="26" t="n">
        <x:f>IF('Inputs'!$D$9&lt;&gt;"Ready","n.a.",IF(ISNUMBER('Inputs'!E348),IF('Inputs'!E348&gt;=0,'Inputs'!E348,"n.a."),IF('Inputs'!E348="",'Inputs'!$D$6,"n.a.")))</x:f>
        <x:v>500</x:v>
      </x:c>
      <x:c r="F1652" s="22" t="n">
        <x:f>IF(COUNT($N$1652:$N$1656)=5,SUM($N$1652:$N$1656),"n.a.")</x:f>
        <x:v>0</x:v>
      </x:c>
      <x:c r="G1652" s="22" t="n">
        <x:f>IF(COUNT(E1652:F1652)=2,MAX(0,E1652-F1652),"n.a.")</x:f>
        <x:v>500</x:v>
      </x:c>
      <x:c r="H1652" s="26" t="str">
        <x:f>'Inputs'!C11</x:f>
        <x:v>Card A</x:v>
      </x:c>
      <x:c r="I1652" s="26" t="n">
        <x:f>S1647</x:f>
        <x:v>0</x:v>
      </x:c>
      <x:c r="J1652" s="29" t="n">
        <x:f>IF('Inputs'!$D$9="Ready",'Inputs'!E11,"n.a.")</x:f>
        <x:v>0.24</x:v>
      </x:c>
      <x:c r="K1652" s="26" t="n">
        <x:f>IF('Inputs'!$D$9="Ready",'Inputs'!F11,"n.a.")</x:f>
        <x:v>35</x:v>
      </x:c>
      <x:c r="L1652" s="29" t="n">
        <x:f>IF('Inputs'!$D$9="Ready",'Inputs'!G11,"n.a.")</x:f>
        <x:v>0.02</x:v>
      </x:c>
      <x:c r="M1652" s="22" t="n">
        <x:f>IF(COUNT(I1652:L1652)=4,ROUND(I1652*J1652/12,2),"n.a.")</x:f>
        <x:v>0</x:v>
      </x:c>
      <x:c r="N1652" s="22" t="n">
        <x:f>IF(COUNT(I1652:M1652)=5,MIN(I1652+M1652,ROUND(MAX(K1652,I1652*L1652+M1652),2)),"n.a.")</x:f>
        <x:v>0</x:v>
      </x:c>
      <x:c r="O1652" s="30" t="n">
        <x:f>IF(COUNT($I$1652:$I$1656)&lt;&gt;5,"n.a.",IF(I1652=0,6,IF('Inputs'!$D$5=1,COUNTIFS($I$1652:$I$1656,"&gt;0",$I$1652:$I$1656,"&lt;"&amp;I1652)+COUNTIFS($I$1652:I1652,I1652),COUNTIFS($I$1652:$I$1656,"&gt;0",$J$1652:$J$1656,"&gt;"&amp;J1652)+COUNTIFS($I$1652:I1652,"&gt;0",$J$1652:J1652,J1652))))</x:f>
        <x:v>6</x:v>
      </x:c>
      <x:c r="P1652" s="22" t="n">
        <x:f>IF(T1652="Ready",MIN(U1652,MAX(0,G1652-SUMIFS($U$1652:$U$1656,$O$1652:$O$1656,"&lt;"&amp;O1652))),"n.a.")</x:f>
        <x:v>0</x:v>
      </x:c>
      <x:c r="Q1652" s="22" t="n">
        <x:f>IF(T1652="Ready",ROUND(N1652+P1652,2),"n.a.")</x:f>
        <x:v>0</x:v>
      </x:c>
      <x:c r="R1652" s="22" t="n">
        <x:f>IF(T1652="Ready",ROUND(Q1652-M1652,2),"n.a.")</x:f>
        <x:v>0</x:v>
      </x:c>
      <x:c r="S1652" s="22" t="n">
        <x:f>IF(T1652="Ready",MAX(0,ROUND(I1652+M1652-Q1652,2)),"n.a.")</x:f>
        <x:v>0</x:v>
      </x:c>
      <x:c r="T1652" s="22" t="str">
        <x:f>IF(AND(COUNT($I$1652:$I$1656)=5,COUNT(E1652:F1652)=2),IF(E1652&gt;=F1652,"Ready","Budget below minima"),"Check inputs")</x:f>
        <x:v>Ready</x:v>
      </x:c>
      <x:c r="U1652" s="22" t="n">
        <x:f>IF(COUNT(I1652,M1652,N1652)=3,MAX(0,ROUND(I1652+M1652-N1652,2)),"n.a.")</x:f>
        <x:v>0</x:v>
      </x:c>
    </x:row>
    <x:row r="1653" ht="22" customHeight="1">
      <x:c r="A1653" s="2"/>
      <x:c r="B1653" s="2"/>
      <x:c r="C1653" s="27" t="n">
        <x:f>330</x:f>
        <x:v>330</x:v>
      </x:c>
      <x:c r="D1653" s="28" t="n">
        <x:f>IF(ISNUMBER('Inputs'!$D$7),EDATE('Inputs'!$D$7,329),"n.a.")</x:f>
        <x:v>56340</x:v>
      </x:c>
      <x:c r="E1653" s="26" t="n">
        <x:f>IF('Inputs'!$D$9&lt;&gt;"Ready","n.a.",IF(ISNUMBER('Inputs'!E348),IF('Inputs'!E348&gt;=0,'Inputs'!E348,"n.a."),IF('Inputs'!E348="",'Inputs'!$D$6,"n.a.")))</x:f>
        <x:v>500</x:v>
      </x:c>
      <x:c r="F1653" s="22" t="n">
        <x:f>IF(COUNT($N$1652:$N$1656)=5,SUM($N$1652:$N$1656),"n.a.")</x:f>
        <x:v>0</x:v>
      </x:c>
      <x:c r="G1653" s="22" t="n">
        <x:f>IF(COUNT(E1653:F1653)=2,MAX(0,E1653-F1653),"n.a.")</x:f>
        <x:v>500</x:v>
      </x:c>
      <x:c r="H1653" s="26" t="str">
        <x:f>'Inputs'!C12</x:f>
        <x:v>Card B</x:v>
      </x:c>
      <x:c r="I1653" s="26" t="n">
        <x:f>S1648</x:f>
        <x:v>0</x:v>
      </x:c>
      <x:c r="J1653" s="29" t="n">
        <x:f>IF('Inputs'!$D$9="Ready",'Inputs'!E12,"n.a.")</x:f>
        <x:v>0.18</x:v>
      </x:c>
      <x:c r="K1653" s="26" t="n">
        <x:f>IF('Inputs'!$D$9="Ready",'Inputs'!F12,"n.a.")</x:f>
        <x:v>60</x:v>
      </x:c>
      <x:c r="L1653" s="29" t="n">
        <x:f>IF('Inputs'!$D$9="Ready",'Inputs'!G12,"n.a.")</x:f>
        <x:v>0.02</x:v>
      </x:c>
      <x:c r="M1653" s="22" t="n">
        <x:f>IF(COUNT(I1653:L1653)=4,ROUND(I1653*J1653/12,2),"n.a.")</x:f>
        <x:v>0</x:v>
      </x:c>
      <x:c r="N1653" s="22" t="n">
        <x:f>IF(COUNT(I1653:M1653)=5,MIN(I1653+M1653,ROUND(MAX(K1653,I1653*L1653+M1653),2)),"n.a.")</x:f>
        <x:v>0</x:v>
      </x:c>
      <x:c r="O1653" s="30" t="n">
        <x:f>IF(COUNT($I$1652:$I$1656)&lt;&gt;5,"n.a.",IF(I1653=0,6,IF('Inputs'!$D$5=1,COUNTIFS($I$1652:$I$1656,"&gt;0",$I$1652:$I$1656,"&lt;"&amp;I1653)+COUNTIFS($I$1652:I1653,I1653),COUNTIFS($I$1652:$I$1656,"&gt;0",$J$1652:$J$1656,"&gt;"&amp;J1653)+COUNTIFS($I$1652:I1653,"&gt;0",$J$1652:J1653,J1653))))</x:f>
        <x:v>6</x:v>
      </x:c>
      <x:c r="P1653" s="22" t="n">
        <x:f>IF(T1653="Ready",MIN(U1653,MAX(0,G1653-SUMIFS($U$1652:$U$1656,$O$1652:$O$1656,"&lt;"&amp;O1653))),"n.a.")</x:f>
        <x:v>0</x:v>
      </x:c>
      <x:c r="Q1653" s="22" t="n">
        <x:f>IF(T1653="Ready",ROUND(N1653+P1653,2),"n.a.")</x:f>
        <x:v>0</x:v>
      </x:c>
      <x:c r="R1653" s="22" t="n">
        <x:f>IF(T1653="Ready",ROUND(Q1653-M1653,2),"n.a.")</x:f>
        <x:v>0</x:v>
      </x:c>
      <x:c r="S1653" s="22" t="n">
        <x:f>IF(T1653="Ready",MAX(0,ROUND(I1653+M1653-Q1653,2)),"n.a.")</x:f>
        <x:v>0</x:v>
      </x:c>
      <x:c r="T1653" s="22" t="str">
        <x:f>IF(AND(COUNT($I$1652:$I$1656)=5,COUNT(E1653:F1653)=2),IF(E1653&gt;=F1653,"Ready","Budget below minima"),"Check inputs")</x:f>
        <x:v>Ready</x:v>
      </x:c>
      <x:c r="U1653" s="22" t="n">
        <x:f>IF(COUNT(I1653,M1653,N1653)=3,MAX(0,ROUND(I1653+M1653-N1653,2)),"n.a.")</x:f>
        <x:v>0</x:v>
      </x:c>
    </x:row>
    <x:row r="1654" ht="22" customHeight="1">
      <x:c r="A1654" s="2"/>
      <x:c r="B1654" s="2"/>
      <x:c r="C1654" s="27" t="n">
        <x:f>330</x:f>
        <x:v>330</x:v>
      </x:c>
      <x:c r="D1654" s="28" t="n">
        <x:f>IF(ISNUMBER('Inputs'!$D$7),EDATE('Inputs'!$D$7,329),"n.a.")</x:f>
        <x:v>56340</x:v>
      </x:c>
      <x:c r="E1654" s="26" t="n">
        <x:f>IF('Inputs'!$D$9&lt;&gt;"Ready","n.a.",IF(ISNUMBER('Inputs'!E348),IF('Inputs'!E348&gt;=0,'Inputs'!E348,"n.a."),IF('Inputs'!E348="",'Inputs'!$D$6,"n.a.")))</x:f>
        <x:v>500</x:v>
      </x:c>
      <x:c r="F1654" s="22" t="n">
        <x:f>IF(COUNT($N$1652:$N$1656)=5,SUM($N$1652:$N$1656),"n.a.")</x:f>
        <x:v>0</x:v>
      </x:c>
      <x:c r="G1654" s="22" t="n">
        <x:f>IF(COUNT(E1654:F1654)=2,MAX(0,E1654-F1654),"n.a.")</x:f>
        <x:v>500</x:v>
      </x:c>
      <x:c r="H1654" s="26" t="str">
        <x:f>'Inputs'!C13</x:f>
        <x:v>Loan C</x:v>
      </x:c>
      <x:c r="I1654" s="26" t="n">
        <x:f>S1649</x:f>
        <x:v>0</x:v>
      </x:c>
      <x:c r="J1654" s="29" t="n">
        <x:f>IF('Inputs'!$D$9="Ready",'Inputs'!E13,"n.a.")</x:f>
        <x:v>0.08</x:v>
      </x:c>
      <x:c r="K1654" s="26" t="n">
        <x:f>IF('Inputs'!$D$9="Ready",'Inputs'!F13,"n.a.")</x:f>
        <x:v>150</x:v>
      </x:c>
      <x:c r="L1654" s="29" t="n">
        <x:f>IF('Inputs'!$D$9="Ready",'Inputs'!G13,"n.a.")</x:f>
        <x:v>0</x:v>
      </x:c>
      <x:c r="M1654" s="22" t="n">
        <x:f>IF(COUNT(I1654:L1654)=4,ROUND(I1654*J1654/12,2),"n.a.")</x:f>
        <x:v>0</x:v>
      </x:c>
      <x:c r="N1654" s="22" t="n">
        <x:f>IF(COUNT(I1654:M1654)=5,MIN(I1654+M1654,ROUND(MAX(K1654,I1654*L1654+M1654),2)),"n.a.")</x:f>
        <x:v>0</x:v>
      </x:c>
      <x:c r="O1654" s="30" t="n">
        <x:f>IF(COUNT($I$1652:$I$1656)&lt;&gt;5,"n.a.",IF(I1654=0,6,IF('Inputs'!$D$5=1,COUNTIFS($I$1652:$I$1656,"&gt;0",$I$1652:$I$1656,"&lt;"&amp;I1654)+COUNTIFS($I$1652:I1654,I1654),COUNTIFS($I$1652:$I$1656,"&gt;0",$J$1652:$J$1656,"&gt;"&amp;J1654)+COUNTIFS($I$1652:I1654,"&gt;0",$J$1652:J1654,J1654))))</x:f>
        <x:v>6</x:v>
      </x:c>
      <x:c r="P1654" s="22" t="n">
        <x:f>IF(T1654="Ready",MIN(U1654,MAX(0,G1654-SUMIFS($U$1652:$U$1656,$O$1652:$O$1656,"&lt;"&amp;O1654))),"n.a.")</x:f>
        <x:v>0</x:v>
      </x:c>
      <x:c r="Q1654" s="22" t="n">
        <x:f>IF(T1654="Ready",ROUND(N1654+P1654,2),"n.a.")</x:f>
        <x:v>0</x:v>
      </x:c>
      <x:c r="R1654" s="22" t="n">
        <x:f>IF(T1654="Ready",ROUND(Q1654-M1654,2),"n.a.")</x:f>
        <x:v>0</x:v>
      </x:c>
      <x:c r="S1654" s="22" t="n">
        <x:f>IF(T1654="Ready",MAX(0,ROUND(I1654+M1654-Q1654,2)),"n.a.")</x:f>
        <x:v>0</x:v>
      </x:c>
      <x:c r="T1654" s="22" t="str">
        <x:f>IF(AND(COUNT($I$1652:$I$1656)=5,COUNT(E1654:F1654)=2),IF(E1654&gt;=F1654,"Ready","Budget below minima"),"Check inputs")</x:f>
        <x:v>Ready</x:v>
      </x:c>
      <x:c r="U1654" s="22" t="n">
        <x:f>IF(COUNT(I1654,M1654,N1654)=3,MAX(0,ROUND(I1654+M1654-N1654,2)),"n.a.")</x:f>
        <x:v>0</x:v>
      </x:c>
    </x:row>
    <x:row r="1655" ht="22" customHeight="1">
      <x:c r="A1655" s="2"/>
      <x:c r="B1655" s="2"/>
      <x:c r="C1655" s="27" t="n">
        <x:f>330</x:f>
        <x:v>330</x:v>
      </x:c>
      <x:c r="D1655" s="28" t="n">
        <x:f>IF(ISNUMBER('Inputs'!$D$7),EDATE('Inputs'!$D$7,329),"n.a.")</x:f>
        <x:v>56340</x:v>
      </x:c>
      <x:c r="E1655" s="26" t="n">
        <x:f>IF('Inputs'!$D$9&lt;&gt;"Ready","n.a.",IF(ISNUMBER('Inputs'!E348),IF('Inputs'!E348&gt;=0,'Inputs'!E348,"n.a."),IF('Inputs'!E348="",'Inputs'!$D$6,"n.a.")))</x:f>
        <x:v>500</x:v>
      </x:c>
      <x:c r="F1655" s="22" t="n">
        <x:f>IF(COUNT($N$1652:$N$1656)=5,SUM($N$1652:$N$1656),"n.a.")</x:f>
        <x:v>0</x:v>
      </x:c>
      <x:c r="G1655" s="22" t="n">
        <x:f>IF(COUNT(E1655:F1655)=2,MAX(0,E1655-F1655),"n.a.")</x:f>
        <x:v>500</x:v>
      </x:c>
      <x:c r="H1655" s="26" t="str">
        <x:f>'Inputs'!C14</x:f>
        <x:v>Unused 4</x:v>
      </x:c>
      <x:c r="I1655" s="26" t="n">
        <x:f>S1650</x:f>
        <x:v>0</x:v>
      </x:c>
      <x:c r="J1655" s="29" t="n">
        <x:f>IF('Inputs'!$D$9="Ready",'Inputs'!E14,"n.a.")</x:f>
        <x:v>0</x:v>
      </x:c>
      <x:c r="K1655" s="26" t="n">
        <x:f>IF('Inputs'!$D$9="Ready",'Inputs'!F14,"n.a.")</x:f>
        <x:v>0</x:v>
      </x:c>
      <x:c r="L1655" s="29" t="n">
        <x:f>IF('Inputs'!$D$9="Ready",'Inputs'!G14,"n.a.")</x:f>
        <x:v>0</x:v>
      </x:c>
      <x:c r="M1655" s="22" t="n">
        <x:f>IF(COUNT(I1655:L1655)=4,ROUND(I1655*J1655/12,2),"n.a.")</x:f>
        <x:v>0</x:v>
      </x:c>
      <x:c r="N1655" s="22" t="n">
        <x:f>IF(COUNT(I1655:M1655)=5,MIN(I1655+M1655,ROUND(MAX(K1655,I1655*L1655+M1655),2)),"n.a.")</x:f>
        <x:v>0</x:v>
      </x:c>
      <x:c r="O1655" s="30" t="n">
        <x:f>IF(COUNT($I$1652:$I$1656)&lt;&gt;5,"n.a.",IF(I1655=0,6,IF('Inputs'!$D$5=1,COUNTIFS($I$1652:$I$1656,"&gt;0",$I$1652:$I$1656,"&lt;"&amp;I1655)+COUNTIFS($I$1652:I1655,I1655),COUNTIFS($I$1652:$I$1656,"&gt;0",$J$1652:$J$1656,"&gt;"&amp;J1655)+COUNTIFS($I$1652:I1655,"&gt;0",$J$1652:J1655,J1655))))</x:f>
        <x:v>6</x:v>
      </x:c>
      <x:c r="P1655" s="22" t="n">
        <x:f>IF(T1655="Ready",MIN(U1655,MAX(0,G1655-SUMIFS($U$1652:$U$1656,$O$1652:$O$1656,"&lt;"&amp;O1655))),"n.a.")</x:f>
        <x:v>0</x:v>
      </x:c>
      <x:c r="Q1655" s="22" t="n">
        <x:f>IF(T1655="Ready",ROUND(N1655+P1655,2),"n.a.")</x:f>
        <x:v>0</x:v>
      </x:c>
      <x:c r="R1655" s="22" t="n">
        <x:f>IF(T1655="Ready",ROUND(Q1655-M1655,2),"n.a.")</x:f>
        <x:v>0</x:v>
      </x:c>
      <x:c r="S1655" s="22" t="n">
        <x:f>IF(T1655="Ready",MAX(0,ROUND(I1655+M1655-Q1655,2)),"n.a.")</x:f>
        <x:v>0</x:v>
      </x:c>
      <x:c r="T1655" s="22" t="str">
        <x:f>IF(AND(COUNT($I$1652:$I$1656)=5,COUNT(E1655:F1655)=2),IF(E1655&gt;=F1655,"Ready","Budget below minima"),"Check inputs")</x:f>
        <x:v>Ready</x:v>
      </x:c>
      <x:c r="U1655" s="22" t="n">
        <x:f>IF(COUNT(I1655,M1655,N1655)=3,MAX(0,ROUND(I1655+M1655-N1655,2)),"n.a.")</x:f>
        <x:v>0</x:v>
      </x:c>
    </x:row>
    <x:row r="1656" ht="22" customHeight="1">
      <x:c r="A1656" s="2"/>
      <x:c r="B1656" s="2"/>
      <x:c r="C1656" s="27" t="n">
        <x:f>330</x:f>
        <x:v>330</x:v>
      </x:c>
      <x:c r="D1656" s="28" t="n">
        <x:f>IF(ISNUMBER('Inputs'!$D$7),EDATE('Inputs'!$D$7,329),"n.a.")</x:f>
        <x:v>56340</x:v>
      </x:c>
      <x:c r="E1656" s="26" t="n">
        <x:f>IF('Inputs'!$D$9&lt;&gt;"Ready","n.a.",IF(ISNUMBER('Inputs'!E348),IF('Inputs'!E348&gt;=0,'Inputs'!E348,"n.a."),IF('Inputs'!E348="",'Inputs'!$D$6,"n.a.")))</x:f>
        <x:v>500</x:v>
      </x:c>
      <x:c r="F1656" s="22" t="n">
        <x:f>IF(COUNT($N$1652:$N$1656)=5,SUM($N$1652:$N$1656),"n.a.")</x:f>
        <x:v>0</x:v>
      </x:c>
      <x:c r="G1656" s="22" t="n">
        <x:f>IF(COUNT(E1656:F1656)=2,MAX(0,E1656-F1656),"n.a.")</x:f>
        <x:v>500</x:v>
      </x:c>
      <x:c r="H1656" s="26" t="str">
        <x:f>'Inputs'!C15</x:f>
        <x:v>Unused 5</x:v>
      </x:c>
      <x:c r="I1656" s="26" t="n">
        <x:f>S1651</x:f>
        <x:v>0</x:v>
      </x:c>
      <x:c r="J1656" s="29" t="n">
        <x:f>IF('Inputs'!$D$9="Ready",'Inputs'!E15,"n.a.")</x:f>
        <x:v>0</x:v>
      </x:c>
      <x:c r="K1656" s="26" t="n">
        <x:f>IF('Inputs'!$D$9="Ready",'Inputs'!F15,"n.a.")</x:f>
        <x:v>0</x:v>
      </x:c>
      <x:c r="L1656" s="29" t="n">
        <x:f>IF('Inputs'!$D$9="Ready",'Inputs'!G15,"n.a.")</x:f>
        <x:v>0</x:v>
      </x:c>
      <x:c r="M1656" s="22" t="n">
        <x:f>IF(COUNT(I1656:L1656)=4,ROUND(I1656*J1656/12,2),"n.a.")</x:f>
        <x:v>0</x:v>
      </x:c>
      <x:c r="N1656" s="22" t="n">
        <x:f>IF(COUNT(I1656:M1656)=5,MIN(I1656+M1656,ROUND(MAX(K1656,I1656*L1656+M1656),2)),"n.a.")</x:f>
        <x:v>0</x:v>
      </x:c>
      <x:c r="O1656" s="30" t="n">
        <x:f>IF(COUNT($I$1652:$I$1656)&lt;&gt;5,"n.a.",IF(I1656=0,6,IF('Inputs'!$D$5=1,COUNTIFS($I$1652:$I$1656,"&gt;0",$I$1652:$I$1656,"&lt;"&amp;I1656)+COUNTIFS($I$1652:I1656,I1656),COUNTIFS($I$1652:$I$1656,"&gt;0",$J$1652:$J$1656,"&gt;"&amp;J1656)+COUNTIFS($I$1652:I1656,"&gt;0",$J$1652:J1656,J1656))))</x:f>
        <x:v>6</x:v>
      </x:c>
      <x:c r="P1656" s="22" t="n">
        <x:f>IF(T1656="Ready",MIN(U1656,MAX(0,G1656-SUMIFS($U$1652:$U$1656,$O$1652:$O$1656,"&lt;"&amp;O1656))),"n.a.")</x:f>
        <x:v>0</x:v>
      </x:c>
      <x:c r="Q1656" s="22" t="n">
        <x:f>IF(T1656="Ready",ROUND(N1656+P1656,2),"n.a.")</x:f>
        <x:v>0</x:v>
      </x:c>
      <x:c r="R1656" s="22" t="n">
        <x:f>IF(T1656="Ready",ROUND(Q1656-M1656,2),"n.a.")</x:f>
        <x:v>0</x:v>
      </x:c>
      <x:c r="S1656" s="22" t="n">
        <x:f>IF(T1656="Ready",MAX(0,ROUND(I1656+M1656-Q1656,2)),"n.a.")</x:f>
        <x:v>0</x:v>
      </x:c>
      <x:c r="T1656" s="22" t="str">
        <x:f>IF(AND(COUNT($I$1652:$I$1656)=5,COUNT(E1656:F1656)=2),IF(E1656&gt;=F1656,"Ready","Budget below minima"),"Check inputs")</x:f>
        <x:v>Ready</x:v>
      </x:c>
      <x:c r="U1656" s="22" t="n">
        <x:f>IF(COUNT(I1656,M1656,N1656)=3,MAX(0,ROUND(I1656+M1656-N1656,2)),"n.a.")</x:f>
        <x:v>0</x:v>
      </x:c>
    </x:row>
    <x:row r="1657" ht="22" customHeight="1">
      <x:c r="A1657" s="2"/>
      <x:c r="B1657" s="2"/>
      <x:c r="C1657" s="27" t="n">
        <x:f>331</x:f>
        <x:v>331</x:v>
      </x:c>
      <x:c r="D1657" s="28" t="n">
        <x:f>IF(ISNUMBER('Inputs'!$D$7),EDATE('Inputs'!$D$7,330),"n.a.")</x:f>
        <x:v>56370</x:v>
      </x:c>
      <x:c r="E1657" s="26" t="n">
        <x:f>IF('Inputs'!$D$9&lt;&gt;"Ready","n.a.",IF(ISNUMBER('Inputs'!E349),IF('Inputs'!E349&gt;=0,'Inputs'!E349,"n.a."),IF('Inputs'!E349="",'Inputs'!$D$6,"n.a.")))</x:f>
        <x:v>500</x:v>
      </x:c>
      <x:c r="F1657" s="22" t="n">
        <x:f>IF(COUNT($N$1657:$N$1661)=5,SUM($N$1657:$N$1661),"n.a.")</x:f>
        <x:v>0</x:v>
      </x:c>
      <x:c r="G1657" s="22" t="n">
        <x:f>IF(COUNT(E1657:F1657)=2,MAX(0,E1657-F1657),"n.a.")</x:f>
        <x:v>500</x:v>
      </x:c>
      <x:c r="H1657" s="26" t="str">
        <x:f>'Inputs'!C11</x:f>
        <x:v>Card A</x:v>
      </x:c>
      <x:c r="I1657" s="26" t="n">
        <x:f>S1652</x:f>
        <x:v>0</x:v>
      </x:c>
      <x:c r="J1657" s="29" t="n">
        <x:f>IF('Inputs'!$D$9="Ready",'Inputs'!E11,"n.a.")</x:f>
        <x:v>0.24</x:v>
      </x:c>
      <x:c r="K1657" s="26" t="n">
        <x:f>IF('Inputs'!$D$9="Ready",'Inputs'!F11,"n.a.")</x:f>
        <x:v>35</x:v>
      </x:c>
      <x:c r="L1657" s="29" t="n">
        <x:f>IF('Inputs'!$D$9="Ready",'Inputs'!G11,"n.a.")</x:f>
        <x:v>0.02</x:v>
      </x:c>
      <x:c r="M1657" s="22" t="n">
        <x:f>IF(COUNT(I1657:L1657)=4,ROUND(I1657*J1657/12,2),"n.a.")</x:f>
        <x:v>0</x:v>
      </x:c>
      <x:c r="N1657" s="22" t="n">
        <x:f>IF(COUNT(I1657:M1657)=5,MIN(I1657+M1657,ROUND(MAX(K1657,I1657*L1657+M1657),2)),"n.a.")</x:f>
        <x:v>0</x:v>
      </x:c>
      <x:c r="O1657" s="30" t="n">
        <x:f>IF(COUNT($I$1657:$I$1661)&lt;&gt;5,"n.a.",IF(I1657=0,6,IF('Inputs'!$D$5=1,COUNTIFS($I$1657:$I$1661,"&gt;0",$I$1657:$I$1661,"&lt;"&amp;I1657)+COUNTIFS($I$1657:I1657,I1657),COUNTIFS($I$1657:$I$1661,"&gt;0",$J$1657:$J$1661,"&gt;"&amp;J1657)+COUNTIFS($I$1657:I1657,"&gt;0",$J$1657:J1657,J1657))))</x:f>
        <x:v>6</x:v>
      </x:c>
      <x:c r="P1657" s="22" t="n">
        <x:f>IF(T1657="Ready",MIN(U1657,MAX(0,G1657-SUMIFS($U$1657:$U$1661,$O$1657:$O$1661,"&lt;"&amp;O1657))),"n.a.")</x:f>
        <x:v>0</x:v>
      </x:c>
      <x:c r="Q1657" s="22" t="n">
        <x:f>IF(T1657="Ready",ROUND(N1657+P1657,2),"n.a.")</x:f>
        <x:v>0</x:v>
      </x:c>
      <x:c r="R1657" s="22" t="n">
        <x:f>IF(T1657="Ready",ROUND(Q1657-M1657,2),"n.a.")</x:f>
        <x:v>0</x:v>
      </x:c>
      <x:c r="S1657" s="22" t="n">
        <x:f>IF(T1657="Ready",MAX(0,ROUND(I1657+M1657-Q1657,2)),"n.a.")</x:f>
        <x:v>0</x:v>
      </x:c>
      <x:c r="T1657" s="22" t="str">
        <x:f>IF(AND(COUNT($I$1657:$I$1661)=5,COUNT(E1657:F1657)=2),IF(E1657&gt;=F1657,"Ready","Budget below minima"),"Check inputs")</x:f>
        <x:v>Ready</x:v>
      </x:c>
      <x:c r="U1657" s="22" t="n">
        <x:f>IF(COUNT(I1657,M1657,N1657)=3,MAX(0,ROUND(I1657+M1657-N1657,2)),"n.a.")</x:f>
        <x:v>0</x:v>
      </x:c>
    </x:row>
    <x:row r="1658" ht="22" customHeight="1">
      <x:c r="A1658" s="2"/>
      <x:c r="B1658" s="2"/>
      <x:c r="C1658" s="27" t="n">
        <x:f>331</x:f>
        <x:v>331</x:v>
      </x:c>
      <x:c r="D1658" s="28" t="n">
        <x:f>IF(ISNUMBER('Inputs'!$D$7),EDATE('Inputs'!$D$7,330),"n.a.")</x:f>
        <x:v>56370</x:v>
      </x:c>
      <x:c r="E1658" s="26" t="n">
        <x:f>IF('Inputs'!$D$9&lt;&gt;"Ready","n.a.",IF(ISNUMBER('Inputs'!E349),IF('Inputs'!E349&gt;=0,'Inputs'!E349,"n.a."),IF('Inputs'!E349="",'Inputs'!$D$6,"n.a.")))</x:f>
        <x:v>500</x:v>
      </x:c>
      <x:c r="F1658" s="22" t="n">
        <x:f>IF(COUNT($N$1657:$N$1661)=5,SUM($N$1657:$N$1661),"n.a.")</x:f>
        <x:v>0</x:v>
      </x:c>
      <x:c r="G1658" s="22" t="n">
        <x:f>IF(COUNT(E1658:F1658)=2,MAX(0,E1658-F1658),"n.a.")</x:f>
        <x:v>500</x:v>
      </x:c>
      <x:c r="H1658" s="26" t="str">
        <x:f>'Inputs'!C12</x:f>
        <x:v>Card B</x:v>
      </x:c>
      <x:c r="I1658" s="26" t="n">
        <x:f>S1653</x:f>
        <x:v>0</x:v>
      </x:c>
      <x:c r="J1658" s="29" t="n">
        <x:f>IF('Inputs'!$D$9="Ready",'Inputs'!E12,"n.a.")</x:f>
        <x:v>0.18</x:v>
      </x:c>
      <x:c r="K1658" s="26" t="n">
        <x:f>IF('Inputs'!$D$9="Ready",'Inputs'!F12,"n.a.")</x:f>
        <x:v>60</x:v>
      </x:c>
      <x:c r="L1658" s="29" t="n">
        <x:f>IF('Inputs'!$D$9="Ready",'Inputs'!G12,"n.a.")</x:f>
        <x:v>0.02</x:v>
      </x:c>
      <x:c r="M1658" s="22" t="n">
        <x:f>IF(COUNT(I1658:L1658)=4,ROUND(I1658*J1658/12,2),"n.a.")</x:f>
        <x:v>0</x:v>
      </x:c>
      <x:c r="N1658" s="22" t="n">
        <x:f>IF(COUNT(I1658:M1658)=5,MIN(I1658+M1658,ROUND(MAX(K1658,I1658*L1658+M1658),2)),"n.a.")</x:f>
        <x:v>0</x:v>
      </x:c>
      <x:c r="O1658" s="30" t="n">
        <x:f>IF(COUNT($I$1657:$I$1661)&lt;&gt;5,"n.a.",IF(I1658=0,6,IF('Inputs'!$D$5=1,COUNTIFS($I$1657:$I$1661,"&gt;0",$I$1657:$I$1661,"&lt;"&amp;I1658)+COUNTIFS($I$1657:I1658,I1658),COUNTIFS($I$1657:$I$1661,"&gt;0",$J$1657:$J$1661,"&gt;"&amp;J1658)+COUNTIFS($I$1657:I1658,"&gt;0",$J$1657:J1658,J1658))))</x:f>
        <x:v>6</x:v>
      </x:c>
      <x:c r="P1658" s="22" t="n">
        <x:f>IF(T1658="Ready",MIN(U1658,MAX(0,G1658-SUMIFS($U$1657:$U$1661,$O$1657:$O$1661,"&lt;"&amp;O1658))),"n.a.")</x:f>
        <x:v>0</x:v>
      </x:c>
      <x:c r="Q1658" s="22" t="n">
        <x:f>IF(T1658="Ready",ROUND(N1658+P1658,2),"n.a.")</x:f>
        <x:v>0</x:v>
      </x:c>
      <x:c r="R1658" s="22" t="n">
        <x:f>IF(T1658="Ready",ROUND(Q1658-M1658,2),"n.a.")</x:f>
        <x:v>0</x:v>
      </x:c>
      <x:c r="S1658" s="22" t="n">
        <x:f>IF(T1658="Ready",MAX(0,ROUND(I1658+M1658-Q1658,2)),"n.a.")</x:f>
        <x:v>0</x:v>
      </x:c>
      <x:c r="T1658" s="22" t="str">
        <x:f>IF(AND(COUNT($I$1657:$I$1661)=5,COUNT(E1658:F1658)=2),IF(E1658&gt;=F1658,"Ready","Budget below minima"),"Check inputs")</x:f>
        <x:v>Ready</x:v>
      </x:c>
      <x:c r="U1658" s="22" t="n">
        <x:f>IF(COUNT(I1658,M1658,N1658)=3,MAX(0,ROUND(I1658+M1658-N1658,2)),"n.a.")</x:f>
        <x:v>0</x:v>
      </x:c>
    </x:row>
    <x:row r="1659" ht="22" customHeight="1">
      <x:c r="A1659" s="2"/>
      <x:c r="B1659" s="2"/>
      <x:c r="C1659" s="27" t="n">
        <x:f>331</x:f>
        <x:v>331</x:v>
      </x:c>
      <x:c r="D1659" s="28" t="n">
        <x:f>IF(ISNUMBER('Inputs'!$D$7),EDATE('Inputs'!$D$7,330),"n.a.")</x:f>
        <x:v>56370</x:v>
      </x:c>
      <x:c r="E1659" s="26" t="n">
        <x:f>IF('Inputs'!$D$9&lt;&gt;"Ready","n.a.",IF(ISNUMBER('Inputs'!E349),IF('Inputs'!E349&gt;=0,'Inputs'!E349,"n.a."),IF('Inputs'!E349="",'Inputs'!$D$6,"n.a.")))</x:f>
        <x:v>500</x:v>
      </x:c>
      <x:c r="F1659" s="22" t="n">
        <x:f>IF(COUNT($N$1657:$N$1661)=5,SUM($N$1657:$N$1661),"n.a.")</x:f>
        <x:v>0</x:v>
      </x:c>
      <x:c r="G1659" s="22" t="n">
        <x:f>IF(COUNT(E1659:F1659)=2,MAX(0,E1659-F1659),"n.a.")</x:f>
        <x:v>500</x:v>
      </x:c>
      <x:c r="H1659" s="26" t="str">
        <x:f>'Inputs'!C13</x:f>
        <x:v>Loan C</x:v>
      </x:c>
      <x:c r="I1659" s="26" t="n">
        <x:f>S1654</x:f>
        <x:v>0</x:v>
      </x:c>
      <x:c r="J1659" s="29" t="n">
        <x:f>IF('Inputs'!$D$9="Ready",'Inputs'!E13,"n.a.")</x:f>
        <x:v>0.08</x:v>
      </x:c>
      <x:c r="K1659" s="26" t="n">
        <x:f>IF('Inputs'!$D$9="Ready",'Inputs'!F13,"n.a.")</x:f>
        <x:v>150</x:v>
      </x:c>
      <x:c r="L1659" s="29" t="n">
        <x:f>IF('Inputs'!$D$9="Ready",'Inputs'!G13,"n.a.")</x:f>
        <x:v>0</x:v>
      </x:c>
      <x:c r="M1659" s="22" t="n">
        <x:f>IF(COUNT(I1659:L1659)=4,ROUND(I1659*J1659/12,2),"n.a.")</x:f>
        <x:v>0</x:v>
      </x:c>
      <x:c r="N1659" s="22" t="n">
        <x:f>IF(COUNT(I1659:M1659)=5,MIN(I1659+M1659,ROUND(MAX(K1659,I1659*L1659+M1659),2)),"n.a.")</x:f>
        <x:v>0</x:v>
      </x:c>
      <x:c r="O1659" s="30" t="n">
        <x:f>IF(COUNT($I$1657:$I$1661)&lt;&gt;5,"n.a.",IF(I1659=0,6,IF('Inputs'!$D$5=1,COUNTIFS($I$1657:$I$1661,"&gt;0",$I$1657:$I$1661,"&lt;"&amp;I1659)+COUNTIFS($I$1657:I1659,I1659),COUNTIFS($I$1657:$I$1661,"&gt;0",$J$1657:$J$1661,"&gt;"&amp;J1659)+COUNTIFS($I$1657:I1659,"&gt;0",$J$1657:J1659,J1659))))</x:f>
        <x:v>6</x:v>
      </x:c>
      <x:c r="P1659" s="22" t="n">
        <x:f>IF(T1659="Ready",MIN(U1659,MAX(0,G1659-SUMIFS($U$1657:$U$1661,$O$1657:$O$1661,"&lt;"&amp;O1659))),"n.a.")</x:f>
        <x:v>0</x:v>
      </x:c>
      <x:c r="Q1659" s="22" t="n">
        <x:f>IF(T1659="Ready",ROUND(N1659+P1659,2),"n.a.")</x:f>
        <x:v>0</x:v>
      </x:c>
      <x:c r="R1659" s="22" t="n">
        <x:f>IF(T1659="Ready",ROUND(Q1659-M1659,2),"n.a.")</x:f>
        <x:v>0</x:v>
      </x:c>
      <x:c r="S1659" s="22" t="n">
        <x:f>IF(T1659="Ready",MAX(0,ROUND(I1659+M1659-Q1659,2)),"n.a.")</x:f>
        <x:v>0</x:v>
      </x:c>
      <x:c r="T1659" s="22" t="str">
        <x:f>IF(AND(COUNT($I$1657:$I$1661)=5,COUNT(E1659:F1659)=2),IF(E1659&gt;=F1659,"Ready","Budget below minima"),"Check inputs")</x:f>
        <x:v>Ready</x:v>
      </x:c>
      <x:c r="U1659" s="22" t="n">
        <x:f>IF(COUNT(I1659,M1659,N1659)=3,MAX(0,ROUND(I1659+M1659-N1659,2)),"n.a.")</x:f>
        <x:v>0</x:v>
      </x:c>
    </x:row>
    <x:row r="1660" ht="22" customHeight="1">
      <x:c r="A1660" s="2"/>
      <x:c r="B1660" s="2"/>
      <x:c r="C1660" s="27" t="n">
        <x:f>331</x:f>
        <x:v>331</x:v>
      </x:c>
      <x:c r="D1660" s="28" t="n">
        <x:f>IF(ISNUMBER('Inputs'!$D$7),EDATE('Inputs'!$D$7,330),"n.a.")</x:f>
        <x:v>56370</x:v>
      </x:c>
      <x:c r="E1660" s="26" t="n">
        <x:f>IF('Inputs'!$D$9&lt;&gt;"Ready","n.a.",IF(ISNUMBER('Inputs'!E349),IF('Inputs'!E349&gt;=0,'Inputs'!E349,"n.a."),IF('Inputs'!E349="",'Inputs'!$D$6,"n.a.")))</x:f>
        <x:v>500</x:v>
      </x:c>
      <x:c r="F1660" s="22" t="n">
        <x:f>IF(COUNT($N$1657:$N$1661)=5,SUM($N$1657:$N$1661),"n.a.")</x:f>
        <x:v>0</x:v>
      </x:c>
      <x:c r="G1660" s="22" t="n">
        <x:f>IF(COUNT(E1660:F1660)=2,MAX(0,E1660-F1660),"n.a.")</x:f>
        <x:v>500</x:v>
      </x:c>
      <x:c r="H1660" s="26" t="str">
        <x:f>'Inputs'!C14</x:f>
        <x:v>Unused 4</x:v>
      </x:c>
      <x:c r="I1660" s="26" t="n">
        <x:f>S1655</x:f>
        <x:v>0</x:v>
      </x:c>
      <x:c r="J1660" s="29" t="n">
        <x:f>IF('Inputs'!$D$9="Ready",'Inputs'!E14,"n.a.")</x:f>
        <x:v>0</x:v>
      </x:c>
      <x:c r="K1660" s="26" t="n">
        <x:f>IF('Inputs'!$D$9="Ready",'Inputs'!F14,"n.a.")</x:f>
        <x:v>0</x:v>
      </x:c>
      <x:c r="L1660" s="29" t="n">
        <x:f>IF('Inputs'!$D$9="Ready",'Inputs'!G14,"n.a.")</x:f>
        <x:v>0</x:v>
      </x:c>
      <x:c r="M1660" s="22" t="n">
        <x:f>IF(COUNT(I1660:L1660)=4,ROUND(I1660*J1660/12,2),"n.a.")</x:f>
        <x:v>0</x:v>
      </x:c>
      <x:c r="N1660" s="22" t="n">
        <x:f>IF(COUNT(I1660:M1660)=5,MIN(I1660+M1660,ROUND(MAX(K1660,I1660*L1660+M1660),2)),"n.a.")</x:f>
        <x:v>0</x:v>
      </x:c>
      <x:c r="O1660" s="30" t="n">
        <x:f>IF(COUNT($I$1657:$I$1661)&lt;&gt;5,"n.a.",IF(I1660=0,6,IF('Inputs'!$D$5=1,COUNTIFS($I$1657:$I$1661,"&gt;0",$I$1657:$I$1661,"&lt;"&amp;I1660)+COUNTIFS($I$1657:I1660,I1660),COUNTIFS($I$1657:$I$1661,"&gt;0",$J$1657:$J$1661,"&gt;"&amp;J1660)+COUNTIFS($I$1657:I1660,"&gt;0",$J$1657:J1660,J1660))))</x:f>
        <x:v>6</x:v>
      </x:c>
      <x:c r="P1660" s="22" t="n">
        <x:f>IF(T1660="Ready",MIN(U1660,MAX(0,G1660-SUMIFS($U$1657:$U$1661,$O$1657:$O$1661,"&lt;"&amp;O1660))),"n.a.")</x:f>
        <x:v>0</x:v>
      </x:c>
      <x:c r="Q1660" s="22" t="n">
        <x:f>IF(T1660="Ready",ROUND(N1660+P1660,2),"n.a.")</x:f>
        <x:v>0</x:v>
      </x:c>
      <x:c r="R1660" s="22" t="n">
        <x:f>IF(T1660="Ready",ROUND(Q1660-M1660,2),"n.a.")</x:f>
        <x:v>0</x:v>
      </x:c>
      <x:c r="S1660" s="22" t="n">
        <x:f>IF(T1660="Ready",MAX(0,ROUND(I1660+M1660-Q1660,2)),"n.a.")</x:f>
        <x:v>0</x:v>
      </x:c>
      <x:c r="T1660" s="22" t="str">
        <x:f>IF(AND(COUNT($I$1657:$I$1661)=5,COUNT(E1660:F1660)=2),IF(E1660&gt;=F1660,"Ready","Budget below minima"),"Check inputs")</x:f>
        <x:v>Ready</x:v>
      </x:c>
      <x:c r="U1660" s="22" t="n">
        <x:f>IF(COUNT(I1660,M1660,N1660)=3,MAX(0,ROUND(I1660+M1660-N1660,2)),"n.a.")</x:f>
        <x:v>0</x:v>
      </x:c>
    </x:row>
    <x:row r="1661" ht="22" customHeight="1">
      <x:c r="A1661" s="2"/>
      <x:c r="B1661" s="2"/>
      <x:c r="C1661" s="27" t="n">
        <x:f>331</x:f>
        <x:v>331</x:v>
      </x:c>
      <x:c r="D1661" s="28" t="n">
        <x:f>IF(ISNUMBER('Inputs'!$D$7),EDATE('Inputs'!$D$7,330),"n.a.")</x:f>
        <x:v>56370</x:v>
      </x:c>
      <x:c r="E1661" s="26" t="n">
        <x:f>IF('Inputs'!$D$9&lt;&gt;"Ready","n.a.",IF(ISNUMBER('Inputs'!E349),IF('Inputs'!E349&gt;=0,'Inputs'!E349,"n.a."),IF('Inputs'!E349="",'Inputs'!$D$6,"n.a.")))</x:f>
        <x:v>500</x:v>
      </x:c>
      <x:c r="F1661" s="22" t="n">
        <x:f>IF(COUNT($N$1657:$N$1661)=5,SUM($N$1657:$N$1661),"n.a.")</x:f>
        <x:v>0</x:v>
      </x:c>
      <x:c r="G1661" s="22" t="n">
        <x:f>IF(COUNT(E1661:F1661)=2,MAX(0,E1661-F1661),"n.a.")</x:f>
        <x:v>500</x:v>
      </x:c>
      <x:c r="H1661" s="26" t="str">
        <x:f>'Inputs'!C15</x:f>
        <x:v>Unused 5</x:v>
      </x:c>
      <x:c r="I1661" s="26" t="n">
        <x:f>S1656</x:f>
        <x:v>0</x:v>
      </x:c>
      <x:c r="J1661" s="29" t="n">
        <x:f>IF('Inputs'!$D$9="Ready",'Inputs'!E15,"n.a.")</x:f>
        <x:v>0</x:v>
      </x:c>
      <x:c r="K1661" s="26" t="n">
        <x:f>IF('Inputs'!$D$9="Ready",'Inputs'!F15,"n.a.")</x:f>
        <x:v>0</x:v>
      </x:c>
      <x:c r="L1661" s="29" t="n">
        <x:f>IF('Inputs'!$D$9="Ready",'Inputs'!G15,"n.a.")</x:f>
        <x:v>0</x:v>
      </x:c>
      <x:c r="M1661" s="22" t="n">
        <x:f>IF(COUNT(I1661:L1661)=4,ROUND(I1661*J1661/12,2),"n.a.")</x:f>
        <x:v>0</x:v>
      </x:c>
      <x:c r="N1661" s="22" t="n">
        <x:f>IF(COUNT(I1661:M1661)=5,MIN(I1661+M1661,ROUND(MAX(K1661,I1661*L1661+M1661),2)),"n.a.")</x:f>
        <x:v>0</x:v>
      </x:c>
      <x:c r="O1661" s="30" t="n">
        <x:f>IF(COUNT($I$1657:$I$1661)&lt;&gt;5,"n.a.",IF(I1661=0,6,IF('Inputs'!$D$5=1,COUNTIFS($I$1657:$I$1661,"&gt;0",$I$1657:$I$1661,"&lt;"&amp;I1661)+COUNTIFS($I$1657:I1661,I1661),COUNTIFS($I$1657:$I$1661,"&gt;0",$J$1657:$J$1661,"&gt;"&amp;J1661)+COUNTIFS($I$1657:I1661,"&gt;0",$J$1657:J1661,J1661))))</x:f>
        <x:v>6</x:v>
      </x:c>
      <x:c r="P1661" s="22" t="n">
        <x:f>IF(T1661="Ready",MIN(U1661,MAX(0,G1661-SUMIFS($U$1657:$U$1661,$O$1657:$O$1661,"&lt;"&amp;O1661))),"n.a.")</x:f>
        <x:v>0</x:v>
      </x:c>
      <x:c r="Q1661" s="22" t="n">
        <x:f>IF(T1661="Ready",ROUND(N1661+P1661,2),"n.a.")</x:f>
        <x:v>0</x:v>
      </x:c>
      <x:c r="R1661" s="22" t="n">
        <x:f>IF(T1661="Ready",ROUND(Q1661-M1661,2),"n.a.")</x:f>
        <x:v>0</x:v>
      </x:c>
      <x:c r="S1661" s="22" t="n">
        <x:f>IF(T1661="Ready",MAX(0,ROUND(I1661+M1661-Q1661,2)),"n.a.")</x:f>
        <x:v>0</x:v>
      </x:c>
      <x:c r="T1661" s="22" t="str">
        <x:f>IF(AND(COUNT($I$1657:$I$1661)=5,COUNT(E1661:F1661)=2),IF(E1661&gt;=F1661,"Ready","Budget below minima"),"Check inputs")</x:f>
        <x:v>Ready</x:v>
      </x:c>
      <x:c r="U1661" s="22" t="n">
        <x:f>IF(COUNT(I1661,M1661,N1661)=3,MAX(0,ROUND(I1661+M1661-N1661,2)),"n.a.")</x:f>
        <x:v>0</x:v>
      </x:c>
    </x:row>
    <x:row r="1662" ht="22" customHeight="1">
      <x:c r="A1662" s="2"/>
      <x:c r="B1662" s="2"/>
      <x:c r="C1662" s="27" t="n">
        <x:f>332</x:f>
        <x:v>332</x:v>
      </x:c>
      <x:c r="D1662" s="28" t="n">
        <x:f>IF(ISNUMBER('Inputs'!$D$7),EDATE('Inputs'!$D$7,331),"n.a.")</x:f>
        <x:v>56401</x:v>
      </x:c>
      <x:c r="E1662" s="26" t="n">
        <x:f>IF('Inputs'!$D$9&lt;&gt;"Ready","n.a.",IF(ISNUMBER('Inputs'!E350),IF('Inputs'!E350&gt;=0,'Inputs'!E350,"n.a."),IF('Inputs'!E350="",'Inputs'!$D$6,"n.a.")))</x:f>
        <x:v>500</x:v>
      </x:c>
      <x:c r="F1662" s="22" t="n">
        <x:f>IF(COUNT($N$1662:$N$1666)=5,SUM($N$1662:$N$1666),"n.a.")</x:f>
        <x:v>0</x:v>
      </x:c>
      <x:c r="G1662" s="22" t="n">
        <x:f>IF(COUNT(E1662:F1662)=2,MAX(0,E1662-F1662),"n.a.")</x:f>
        <x:v>500</x:v>
      </x:c>
      <x:c r="H1662" s="26" t="str">
        <x:f>'Inputs'!C11</x:f>
        <x:v>Card A</x:v>
      </x:c>
      <x:c r="I1662" s="26" t="n">
        <x:f>S1657</x:f>
        <x:v>0</x:v>
      </x:c>
      <x:c r="J1662" s="29" t="n">
        <x:f>IF('Inputs'!$D$9="Ready",'Inputs'!E11,"n.a.")</x:f>
        <x:v>0.24</x:v>
      </x:c>
      <x:c r="K1662" s="26" t="n">
        <x:f>IF('Inputs'!$D$9="Ready",'Inputs'!F11,"n.a.")</x:f>
        <x:v>35</x:v>
      </x:c>
      <x:c r="L1662" s="29" t="n">
        <x:f>IF('Inputs'!$D$9="Ready",'Inputs'!G11,"n.a.")</x:f>
        <x:v>0.02</x:v>
      </x:c>
      <x:c r="M1662" s="22" t="n">
        <x:f>IF(COUNT(I1662:L1662)=4,ROUND(I1662*J1662/12,2),"n.a.")</x:f>
        <x:v>0</x:v>
      </x:c>
      <x:c r="N1662" s="22" t="n">
        <x:f>IF(COUNT(I1662:M1662)=5,MIN(I1662+M1662,ROUND(MAX(K1662,I1662*L1662+M1662),2)),"n.a.")</x:f>
        <x:v>0</x:v>
      </x:c>
      <x:c r="O1662" s="30" t="n">
        <x:f>IF(COUNT($I$1662:$I$1666)&lt;&gt;5,"n.a.",IF(I1662=0,6,IF('Inputs'!$D$5=1,COUNTIFS($I$1662:$I$1666,"&gt;0",$I$1662:$I$1666,"&lt;"&amp;I1662)+COUNTIFS($I$1662:I1662,I1662),COUNTIFS($I$1662:$I$1666,"&gt;0",$J$1662:$J$1666,"&gt;"&amp;J1662)+COUNTIFS($I$1662:I1662,"&gt;0",$J$1662:J1662,J1662))))</x:f>
        <x:v>6</x:v>
      </x:c>
      <x:c r="P1662" s="22" t="n">
        <x:f>IF(T1662="Ready",MIN(U1662,MAX(0,G1662-SUMIFS($U$1662:$U$1666,$O$1662:$O$1666,"&lt;"&amp;O1662))),"n.a.")</x:f>
        <x:v>0</x:v>
      </x:c>
      <x:c r="Q1662" s="22" t="n">
        <x:f>IF(T1662="Ready",ROUND(N1662+P1662,2),"n.a.")</x:f>
        <x:v>0</x:v>
      </x:c>
      <x:c r="R1662" s="22" t="n">
        <x:f>IF(T1662="Ready",ROUND(Q1662-M1662,2),"n.a.")</x:f>
        <x:v>0</x:v>
      </x:c>
      <x:c r="S1662" s="22" t="n">
        <x:f>IF(T1662="Ready",MAX(0,ROUND(I1662+M1662-Q1662,2)),"n.a.")</x:f>
        <x:v>0</x:v>
      </x:c>
      <x:c r="T1662" s="22" t="str">
        <x:f>IF(AND(COUNT($I$1662:$I$1666)=5,COUNT(E1662:F1662)=2),IF(E1662&gt;=F1662,"Ready","Budget below minima"),"Check inputs")</x:f>
        <x:v>Ready</x:v>
      </x:c>
      <x:c r="U1662" s="22" t="n">
        <x:f>IF(COUNT(I1662,M1662,N1662)=3,MAX(0,ROUND(I1662+M1662-N1662,2)),"n.a.")</x:f>
        <x:v>0</x:v>
      </x:c>
    </x:row>
    <x:row r="1663" ht="22" customHeight="1">
      <x:c r="A1663" s="2"/>
      <x:c r="B1663" s="2"/>
      <x:c r="C1663" s="27" t="n">
        <x:f>332</x:f>
        <x:v>332</x:v>
      </x:c>
      <x:c r="D1663" s="28" t="n">
        <x:f>IF(ISNUMBER('Inputs'!$D$7),EDATE('Inputs'!$D$7,331),"n.a.")</x:f>
        <x:v>56401</x:v>
      </x:c>
      <x:c r="E1663" s="26" t="n">
        <x:f>IF('Inputs'!$D$9&lt;&gt;"Ready","n.a.",IF(ISNUMBER('Inputs'!E350),IF('Inputs'!E350&gt;=0,'Inputs'!E350,"n.a."),IF('Inputs'!E350="",'Inputs'!$D$6,"n.a.")))</x:f>
        <x:v>500</x:v>
      </x:c>
      <x:c r="F1663" s="22" t="n">
        <x:f>IF(COUNT($N$1662:$N$1666)=5,SUM($N$1662:$N$1666),"n.a.")</x:f>
        <x:v>0</x:v>
      </x:c>
      <x:c r="G1663" s="22" t="n">
        <x:f>IF(COUNT(E1663:F1663)=2,MAX(0,E1663-F1663),"n.a.")</x:f>
        <x:v>500</x:v>
      </x:c>
      <x:c r="H1663" s="26" t="str">
        <x:f>'Inputs'!C12</x:f>
        <x:v>Card B</x:v>
      </x:c>
      <x:c r="I1663" s="26" t="n">
        <x:f>S1658</x:f>
        <x:v>0</x:v>
      </x:c>
      <x:c r="J1663" s="29" t="n">
        <x:f>IF('Inputs'!$D$9="Ready",'Inputs'!E12,"n.a.")</x:f>
        <x:v>0.18</x:v>
      </x:c>
      <x:c r="K1663" s="26" t="n">
        <x:f>IF('Inputs'!$D$9="Ready",'Inputs'!F12,"n.a.")</x:f>
        <x:v>60</x:v>
      </x:c>
      <x:c r="L1663" s="29" t="n">
        <x:f>IF('Inputs'!$D$9="Ready",'Inputs'!G12,"n.a.")</x:f>
        <x:v>0.02</x:v>
      </x:c>
      <x:c r="M1663" s="22" t="n">
        <x:f>IF(COUNT(I1663:L1663)=4,ROUND(I1663*J1663/12,2),"n.a.")</x:f>
        <x:v>0</x:v>
      </x:c>
      <x:c r="N1663" s="22" t="n">
        <x:f>IF(COUNT(I1663:M1663)=5,MIN(I1663+M1663,ROUND(MAX(K1663,I1663*L1663+M1663),2)),"n.a.")</x:f>
        <x:v>0</x:v>
      </x:c>
      <x:c r="O1663" s="30" t="n">
        <x:f>IF(COUNT($I$1662:$I$1666)&lt;&gt;5,"n.a.",IF(I1663=0,6,IF('Inputs'!$D$5=1,COUNTIFS($I$1662:$I$1666,"&gt;0",$I$1662:$I$1666,"&lt;"&amp;I1663)+COUNTIFS($I$1662:I1663,I1663),COUNTIFS($I$1662:$I$1666,"&gt;0",$J$1662:$J$1666,"&gt;"&amp;J1663)+COUNTIFS($I$1662:I1663,"&gt;0",$J$1662:J1663,J1663))))</x:f>
        <x:v>6</x:v>
      </x:c>
      <x:c r="P1663" s="22" t="n">
        <x:f>IF(T1663="Ready",MIN(U1663,MAX(0,G1663-SUMIFS($U$1662:$U$1666,$O$1662:$O$1666,"&lt;"&amp;O1663))),"n.a.")</x:f>
        <x:v>0</x:v>
      </x:c>
      <x:c r="Q1663" s="22" t="n">
        <x:f>IF(T1663="Ready",ROUND(N1663+P1663,2),"n.a.")</x:f>
        <x:v>0</x:v>
      </x:c>
      <x:c r="R1663" s="22" t="n">
        <x:f>IF(T1663="Ready",ROUND(Q1663-M1663,2),"n.a.")</x:f>
        <x:v>0</x:v>
      </x:c>
      <x:c r="S1663" s="22" t="n">
        <x:f>IF(T1663="Ready",MAX(0,ROUND(I1663+M1663-Q1663,2)),"n.a.")</x:f>
        <x:v>0</x:v>
      </x:c>
      <x:c r="T1663" s="22" t="str">
        <x:f>IF(AND(COUNT($I$1662:$I$1666)=5,COUNT(E1663:F1663)=2),IF(E1663&gt;=F1663,"Ready","Budget below minima"),"Check inputs")</x:f>
        <x:v>Ready</x:v>
      </x:c>
      <x:c r="U1663" s="22" t="n">
        <x:f>IF(COUNT(I1663,M1663,N1663)=3,MAX(0,ROUND(I1663+M1663-N1663,2)),"n.a.")</x:f>
        <x:v>0</x:v>
      </x:c>
    </x:row>
    <x:row r="1664" ht="22" customHeight="1">
      <x:c r="A1664" s="2"/>
      <x:c r="B1664" s="2"/>
      <x:c r="C1664" s="27" t="n">
        <x:f>332</x:f>
        <x:v>332</x:v>
      </x:c>
      <x:c r="D1664" s="28" t="n">
        <x:f>IF(ISNUMBER('Inputs'!$D$7),EDATE('Inputs'!$D$7,331),"n.a.")</x:f>
        <x:v>56401</x:v>
      </x:c>
      <x:c r="E1664" s="26" t="n">
        <x:f>IF('Inputs'!$D$9&lt;&gt;"Ready","n.a.",IF(ISNUMBER('Inputs'!E350),IF('Inputs'!E350&gt;=0,'Inputs'!E350,"n.a."),IF('Inputs'!E350="",'Inputs'!$D$6,"n.a.")))</x:f>
        <x:v>500</x:v>
      </x:c>
      <x:c r="F1664" s="22" t="n">
        <x:f>IF(COUNT($N$1662:$N$1666)=5,SUM($N$1662:$N$1666),"n.a.")</x:f>
        <x:v>0</x:v>
      </x:c>
      <x:c r="G1664" s="22" t="n">
        <x:f>IF(COUNT(E1664:F1664)=2,MAX(0,E1664-F1664),"n.a.")</x:f>
        <x:v>500</x:v>
      </x:c>
      <x:c r="H1664" s="26" t="str">
        <x:f>'Inputs'!C13</x:f>
        <x:v>Loan C</x:v>
      </x:c>
      <x:c r="I1664" s="26" t="n">
        <x:f>S1659</x:f>
        <x:v>0</x:v>
      </x:c>
      <x:c r="J1664" s="29" t="n">
        <x:f>IF('Inputs'!$D$9="Ready",'Inputs'!E13,"n.a.")</x:f>
        <x:v>0.08</x:v>
      </x:c>
      <x:c r="K1664" s="26" t="n">
        <x:f>IF('Inputs'!$D$9="Ready",'Inputs'!F13,"n.a.")</x:f>
        <x:v>150</x:v>
      </x:c>
      <x:c r="L1664" s="29" t="n">
        <x:f>IF('Inputs'!$D$9="Ready",'Inputs'!G13,"n.a.")</x:f>
        <x:v>0</x:v>
      </x:c>
      <x:c r="M1664" s="22" t="n">
        <x:f>IF(COUNT(I1664:L1664)=4,ROUND(I1664*J1664/12,2),"n.a.")</x:f>
        <x:v>0</x:v>
      </x:c>
      <x:c r="N1664" s="22" t="n">
        <x:f>IF(COUNT(I1664:M1664)=5,MIN(I1664+M1664,ROUND(MAX(K1664,I1664*L1664+M1664),2)),"n.a.")</x:f>
        <x:v>0</x:v>
      </x:c>
      <x:c r="O1664" s="30" t="n">
        <x:f>IF(COUNT($I$1662:$I$1666)&lt;&gt;5,"n.a.",IF(I1664=0,6,IF('Inputs'!$D$5=1,COUNTIFS($I$1662:$I$1666,"&gt;0",$I$1662:$I$1666,"&lt;"&amp;I1664)+COUNTIFS($I$1662:I1664,I1664),COUNTIFS($I$1662:$I$1666,"&gt;0",$J$1662:$J$1666,"&gt;"&amp;J1664)+COUNTIFS($I$1662:I1664,"&gt;0",$J$1662:J1664,J1664))))</x:f>
        <x:v>6</x:v>
      </x:c>
      <x:c r="P1664" s="22" t="n">
        <x:f>IF(T1664="Ready",MIN(U1664,MAX(0,G1664-SUMIFS($U$1662:$U$1666,$O$1662:$O$1666,"&lt;"&amp;O1664))),"n.a.")</x:f>
        <x:v>0</x:v>
      </x:c>
      <x:c r="Q1664" s="22" t="n">
        <x:f>IF(T1664="Ready",ROUND(N1664+P1664,2),"n.a.")</x:f>
        <x:v>0</x:v>
      </x:c>
      <x:c r="R1664" s="22" t="n">
        <x:f>IF(T1664="Ready",ROUND(Q1664-M1664,2),"n.a.")</x:f>
        <x:v>0</x:v>
      </x:c>
      <x:c r="S1664" s="22" t="n">
        <x:f>IF(T1664="Ready",MAX(0,ROUND(I1664+M1664-Q1664,2)),"n.a.")</x:f>
        <x:v>0</x:v>
      </x:c>
      <x:c r="T1664" s="22" t="str">
        <x:f>IF(AND(COUNT($I$1662:$I$1666)=5,COUNT(E1664:F1664)=2),IF(E1664&gt;=F1664,"Ready","Budget below minima"),"Check inputs")</x:f>
        <x:v>Ready</x:v>
      </x:c>
      <x:c r="U1664" s="22" t="n">
        <x:f>IF(COUNT(I1664,M1664,N1664)=3,MAX(0,ROUND(I1664+M1664-N1664,2)),"n.a.")</x:f>
        <x:v>0</x:v>
      </x:c>
    </x:row>
    <x:row r="1665" ht="22" customHeight="1">
      <x:c r="A1665" s="2"/>
      <x:c r="B1665" s="2"/>
      <x:c r="C1665" s="27" t="n">
        <x:f>332</x:f>
        <x:v>332</x:v>
      </x:c>
      <x:c r="D1665" s="28" t="n">
        <x:f>IF(ISNUMBER('Inputs'!$D$7),EDATE('Inputs'!$D$7,331),"n.a.")</x:f>
        <x:v>56401</x:v>
      </x:c>
      <x:c r="E1665" s="26" t="n">
        <x:f>IF('Inputs'!$D$9&lt;&gt;"Ready","n.a.",IF(ISNUMBER('Inputs'!E350),IF('Inputs'!E350&gt;=0,'Inputs'!E350,"n.a."),IF('Inputs'!E350="",'Inputs'!$D$6,"n.a.")))</x:f>
        <x:v>500</x:v>
      </x:c>
      <x:c r="F1665" s="22" t="n">
        <x:f>IF(COUNT($N$1662:$N$1666)=5,SUM($N$1662:$N$1666),"n.a.")</x:f>
        <x:v>0</x:v>
      </x:c>
      <x:c r="G1665" s="22" t="n">
        <x:f>IF(COUNT(E1665:F1665)=2,MAX(0,E1665-F1665),"n.a.")</x:f>
        <x:v>500</x:v>
      </x:c>
      <x:c r="H1665" s="26" t="str">
        <x:f>'Inputs'!C14</x:f>
        <x:v>Unused 4</x:v>
      </x:c>
      <x:c r="I1665" s="26" t="n">
        <x:f>S1660</x:f>
        <x:v>0</x:v>
      </x:c>
      <x:c r="J1665" s="29" t="n">
        <x:f>IF('Inputs'!$D$9="Ready",'Inputs'!E14,"n.a.")</x:f>
        <x:v>0</x:v>
      </x:c>
      <x:c r="K1665" s="26" t="n">
        <x:f>IF('Inputs'!$D$9="Ready",'Inputs'!F14,"n.a.")</x:f>
        <x:v>0</x:v>
      </x:c>
      <x:c r="L1665" s="29" t="n">
        <x:f>IF('Inputs'!$D$9="Ready",'Inputs'!G14,"n.a.")</x:f>
        <x:v>0</x:v>
      </x:c>
      <x:c r="M1665" s="22" t="n">
        <x:f>IF(COUNT(I1665:L1665)=4,ROUND(I1665*J1665/12,2),"n.a.")</x:f>
        <x:v>0</x:v>
      </x:c>
      <x:c r="N1665" s="22" t="n">
        <x:f>IF(COUNT(I1665:M1665)=5,MIN(I1665+M1665,ROUND(MAX(K1665,I1665*L1665+M1665),2)),"n.a.")</x:f>
        <x:v>0</x:v>
      </x:c>
      <x:c r="O1665" s="30" t="n">
        <x:f>IF(COUNT($I$1662:$I$1666)&lt;&gt;5,"n.a.",IF(I1665=0,6,IF('Inputs'!$D$5=1,COUNTIFS($I$1662:$I$1666,"&gt;0",$I$1662:$I$1666,"&lt;"&amp;I1665)+COUNTIFS($I$1662:I1665,I1665),COUNTIFS($I$1662:$I$1666,"&gt;0",$J$1662:$J$1666,"&gt;"&amp;J1665)+COUNTIFS($I$1662:I1665,"&gt;0",$J$1662:J1665,J1665))))</x:f>
        <x:v>6</x:v>
      </x:c>
      <x:c r="P1665" s="22" t="n">
        <x:f>IF(T1665="Ready",MIN(U1665,MAX(0,G1665-SUMIFS($U$1662:$U$1666,$O$1662:$O$1666,"&lt;"&amp;O1665))),"n.a.")</x:f>
        <x:v>0</x:v>
      </x:c>
      <x:c r="Q1665" s="22" t="n">
        <x:f>IF(T1665="Ready",ROUND(N1665+P1665,2),"n.a.")</x:f>
        <x:v>0</x:v>
      </x:c>
      <x:c r="R1665" s="22" t="n">
        <x:f>IF(T1665="Ready",ROUND(Q1665-M1665,2),"n.a.")</x:f>
        <x:v>0</x:v>
      </x:c>
      <x:c r="S1665" s="22" t="n">
        <x:f>IF(T1665="Ready",MAX(0,ROUND(I1665+M1665-Q1665,2)),"n.a.")</x:f>
        <x:v>0</x:v>
      </x:c>
      <x:c r="T1665" s="22" t="str">
        <x:f>IF(AND(COUNT($I$1662:$I$1666)=5,COUNT(E1665:F1665)=2),IF(E1665&gt;=F1665,"Ready","Budget below minima"),"Check inputs")</x:f>
        <x:v>Ready</x:v>
      </x:c>
      <x:c r="U1665" s="22" t="n">
        <x:f>IF(COUNT(I1665,M1665,N1665)=3,MAX(0,ROUND(I1665+M1665-N1665,2)),"n.a.")</x:f>
        <x:v>0</x:v>
      </x:c>
    </x:row>
    <x:row r="1666" ht="22" customHeight="1">
      <x:c r="A1666" s="2"/>
      <x:c r="B1666" s="2"/>
      <x:c r="C1666" s="27" t="n">
        <x:f>332</x:f>
        <x:v>332</x:v>
      </x:c>
      <x:c r="D1666" s="28" t="n">
        <x:f>IF(ISNUMBER('Inputs'!$D$7),EDATE('Inputs'!$D$7,331),"n.a.")</x:f>
        <x:v>56401</x:v>
      </x:c>
      <x:c r="E1666" s="26" t="n">
        <x:f>IF('Inputs'!$D$9&lt;&gt;"Ready","n.a.",IF(ISNUMBER('Inputs'!E350),IF('Inputs'!E350&gt;=0,'Inputs'!E350,"n.a."),IF('Inputs'!E350="",'Inputs'!$D$6,"n.a.")))</x:f>
        <x:v>500</x:v>
      </x:c>
      <x:c r="F1666" s="22" t="n">
        <x:f>IF(COUNT($N$1662:$N$1666)=5,SUM($N$1662:$N$1666),"n.a.")</x:f>
        <x:v>0</x:v>
      </x:c>
      <x:c r="G1666" s="22" t="n">
        <x:f>IF(COUNT(E1666:F1666)=2,MAX(0,E1666-F1666),"n.a.")</x:f>
        <x:v>500</x:v>
      </x:c>
      <x:c r="H1666" s="26" t="str">
        <x:f>'Inputs'!C15</x:f>
        <x:v>Unused 5</x:v>
      </x:c>
      <x:c r="I1666" s="26" t="n">
        <x:f>S1661</x:f>
        <x:v>0</x:v>
      </x:c>
      <x:c r="J1666" s="29" t="n">
        <x:f>IF('Inputs'!$D$9="Ready",'Inputs'!E15,"n.a.")</x:f>
        <x:v>0</x:v>
      </x:c>
      <x:c r="K1666" s="26" t="n">
        <x:f>IF('Inputs'!$D$9="Ready",'Inputs'!F15,"n.a.")</x:f>
        <x:v>0</x:v>
      </x:c>
      <x:c r="L1666" s="29" t="n">
        <x:f>IF('Inputs'!$D$9="Ready",'Inputs'!G15,"n.a.")</x:f>
        <x:v>0</x:v>
      </x:c>
      <x:c r="M1666" s="22" t="n">
        <x:f>IF(COUNT(I1666:L1666)=4,ROUND(I1666*J1666/12,2),"n.a.")</x:f>
        <x:v>0</x:v>
      </x:c>
      <x:c r="N1666" s="22" t="n">
        <x:f>IF(COUNT(I1666:M1666)=5,MIN(I1666+M1666,ROUND(MAX(K1666,I1666*L1666+M1666),2)),"n.a.")</x:f>
        <x:v>0</x:v>
      </x:c>
      <x:c r="O1666" s="30" t="n">
        <x:f>IF(COUNT($I$1662:$I$1666)&lt;&gt;5,"n.a.",IF(I1666=0,6,IF('Inputs'!$D$5=1,COUNTIFS($I$1662:$I$1666,"&gt;0",$I$1662:$I$1666,"&lt;"&amp;I1666)+COUNTIFS($I$1662:I1666,I1666),COUNTIFS($I$1662:$I$1666,"&gt;0",$J$1662:$J$1666,"&gt;"&amp;J1666)+COUNTIFS($I$1662:I1666,"&gt;0",$J$1662:J1666,J1666))))</x:f>
        <x:v>6</x:v>
      </x:c>
      <x:c r="P1666" s="22" t="n">
        <x:f>IF(T1666="Ready",MIN(U1666,MAX(0,G1666-SUMIFS($U$1662:$U$1666,$O$1662:$O$1666,"&lt;"&amp;O1666))),"n.a.")</x:f>
        <x:v>0</x:v>
      </x:c>
      <x:c r="Q1666" s="22" t="n">
        <x:f>IF(T1666="Ready",ROUND(N1666+P1666,2),"n.a.")</x:f>
        <x:v>0</x:v>
      </x:c>
      <x:c r="R1666" s="22" t="n">
        <x:f>IF(T1666="Ready",ROUND(Q1666-M1666,2),"n.a.")</x:f>
        <x:v>0</x:v>
      </x:c>
      <x:c r="S1666" s="22" t="n">
        <x:f>IF(T1666="Ready",MAX(0,ROUND(I1666+M1666-Q1666,2)),"n.a.")</x:f>
        <x:v>0</x:v>
      </x:c>
      <x:c r="T1666" s="22" t="str">
        <x:f>IF(AND(COUNT($I$1662:$I$1666)=5,COUNT(E1666:F1666)=2),IF(E1666&gt;=F1666,"Ready","Budget below minima"),"Check inputs")</x:f>
        <x:v>Ready</x:v>
      </x:c>
      <x:c r="U1666" s="22" t="n">
        <x:f>IF(COUNT(I1666,M1666,N1666)=3,MAX(0,ROUND(I1666+M1666-N1666,2)),"n.a.")</x:f>
        <x:v>0</x:v>
      </x:c>
    </x:row>
    <x:row r="1667" ht="22" customHeight="1">
      <x:c r="A1667" s="2"/>
      <x:c r="B1667" s="2"/>
      <x:c r="C1667" s="27" t="n">
        <x:f>333</x:f>
        <x:v>333</x:v>
      </x:c>
      <x:c r="D1667" s="28" t="n">
        <x:f>IF(ISNUMBER('Inputs'!$D$7),EDATE('Inputs'!$D$7,332),"n.a.")</x:f>
        <x:v>56431</x:v>
      </x:c>
      <x:c r="E1667" s="26" t="n">
        <x:f>IF('Inputs'!$D$9&lt;&gt;"Ready","n.a.",IF(ISNUMBER('Inputs'!E351),IF('Inputs'!E351&gt;=0,'Inputs'!E351,"n.a."),IF('Inputs'!E351="",'Inputs'!$D$6,"n.a.")))</x:f>
        <x:v>500</x:v>
      </x:c>
      <x:c r="F1667" s="22" t="n">
        <x:f>IF(COUNT($N$1667:$N$1671)=5,SUM($N$1667:$N$1671),"n.a.")</x:f>
        <x:v>0</x:v>
      </x:c>
      <x:c r="G1667" s="22" t="n">
        <x:f>IF(COUNT(E1667:F1667)=2,MAX(0,E1667-F1667),"n.a.")</x:f>
        <x:v>500</x:v>
      </x:c>
      <x:c r="H1667" s="26" t="str">
        <x:f>'Inputs'!C11</x:f>
        <x:v>Card A</x:v>
      </x:c>
      <x:c r="I1667" s="26" t="n">
        <x:f>S1662</x:f>
        <x:v>0</x:v>
      </x:c>
      <x:c r="J1667" s="29" t="n">
        <x:f>IF('Inputs'!$D$9="Ready",'Inputs'!E11,"n.a.")</x:f>
        <x:v>0.24</x:v>
      </x:c>
      <x:c r="K1667" s="26" t="n">
        <x:f>IF('Inputs'!$D$9="Ready",'Inputs'!F11,"n.a.")</x:f>
        <x:v>35</x:v>
      </x:c>
      <x:c r="L1667" s="29" t="n">
        <x:f>IF('Inputs'!$D$9="Ready",'Inputs'!G11,"n.a.")</x:f>
        <x:v>0.02</x:v>
      </x:c>
      <x:c r="M1667" s="22" t="n">
        <x:f>IF(COUNT(I1667:L1667)=4,ROUND(I1667*J1667/12,2),"n.a.")</x:f>
        <x:v>0</x:v>
      </x:c>
      <x:c r="N1667" s="22" t="n">
        <x:f>IF(COUNT(I1667:M1667)=5,MIN(I1667+M1667,ROUND(MAX(K1667,I1667*L1667+M1667),2)),"n.a.")</x:f>
        <x:v>0</x:v>
      </x:c>
      <x:c r="O1667" s="30" t="n">
        <x:f>IF(COUNT($I$1667:$I$1671)&lt;&gt;5,"n.a.",IF(I1667=0,6,IF('Inputs'!$D$5=1,COUNTIFS($I$1667:$I$1671,"&gt;0",$I$1667:$I$1671,"&lt;"&amp;I1667)+COUNTIFS($I$1667:I1667,I1667),COUNTIFS($I$1667:$I$1671,"&gt;0",$J$1667:$J$1671,"&gt;"&amp;J1667)+COUNTIFS($I$1667:I1667,"&gt;0",$J$1667:J1667,J1667))))</x:f>
        <x:v>6</x:v>
      </x:c>
      <x:c r="P1667" s="22" t="n">
        <x:f>IF(T1667="Ready",MIN(U1667,MAX(0,G1667-SUMIFS($U$1667:$U$1671,$O$1667:$O$1671,"&lt;"&amp;O1667))),"n.a.")</x:f>
        <x:v>0</x:v>
      </x:c>
      <x:c r="Q1667" s="22" t="n">
        <x:f>IF(T1667="Ready",ROUND(N1667+P1667,2),"n.a.")</x:f>
        <x:v>0</x:v>
      </x:c>
      <x:c r="R1667" s="22" t="n">
        <x:f>IF(T1667="Ready",ROUND(Q1667-M1667,2),"n.a.")</x:f>
        <x:v>0</x:v>
      </x:c>
      <x:c r="S1667" s="22" t="n">
        <x:f>IF(T1667="Ready",MAX(0,ROUND(I1667+M1667-Q1667,2)),"n.a.")</x:f>
        <x:v>0</x:v>
      </x:c>
      <x:c r="T1667" s="22" t="str">
        <x:f>IF(AND(COUNT($I$1667:$I$1671)=5,COUNT(E1667:F1667)=2),IF(E1667&gt;=F1667,"Ready","Budget below minima"),"Check inputs")</x:f>
        <x:v>Ready</x:v>
      </x:c>
      <x:c r="U1667" s="22" t="n">
        <x:f>IF(COUNT(I1667,M1667,N1667)=3,MAX(0,ROUND(I1667+M1667-N1667,2)),"n.a.")</x:f>
        <x:v>0</x:v>
      </x:c>
    </x:row>
    <x:row r="1668" ht="22" customHeight="1">
      <x:c r="A1668" s="2"/>
      <x:c r="B1668" s="2"/>
      <x:c r="C1668" s="27" t="n">
        <x:f>333</x:f>
        <x:v>333</x:v>
      </x:c>
      <x:c r="D1668" s="28" t="n">
        <x:f>IF(ISNUMBER('Inputs'!$D$7),EDATE('Inputs'!$D$7,332),"n.a.")</x:f>
        <x:v>56431</x:v>
      </x:c>
      <x:c r="E1668" s="26" t="n">
        <x:f>IF('Inputs'!$D$9&lt;&gt;"Ready","n.a.",IF(ISNUMBER('Inputs'!E351),IF('Inputs'!E351&gt;=0,'Inputs'!E351,"n.a."),IF('Inputs'!E351="",'Inputs'!$D$6,"n.a.")))</x:f>
        <x:v>500</x:v>
      </x:c>
      <x:c r="F1668" s="22" t="n">
        <x:f>IF(COUNT($N$1667:$N$1671)=5,SUM($N$1667:$N$1671),"n.a.")</x:f>
        <x:v>0</x:v>
      </x:c>
      <x:c r="G1668" s="22" t="n">
        <x:f>IF(COUNT(E1668:F1668)=2,MAX(0,E1668-F1668),"n.a.")</x:f>
        <x:v>500</x:v>
      </x:c>
      <x:c r="H1668" s="26" t="str">
        <x:f>'Inputs'!C12</x:f>
        <x:v>Card B</x:v>
      </x:c>
      <x:c r="I1668" s="26" t="n">
        <x:f>S1663</x:f>
        <x:v>0</x:v>
      </x:c>
      <x:c r="J1668" s="29" t="n">
        <x:f>IF('Inputs'!$D$9="Ready",'Inputs'!E12,"n.a.")</x:f>
        <x:v>0.18</x:v>
      </x:c>
      <x:c r="K1668" s="26" t="n">
        <x:f>IF('Inputs'!$D$9="Ready",'Inputs'!F12,"n.a.")</x:f>
        <x:v>60</x:v>
      </x:c>
      <x:c r="L1668" s="29" t="n">
        <x:f>IF('Inputs'!$D$9="Ready",'Inputs'!G12,"n.a.")</x:f>
        <x:v>0.02</x:v>
      </x:c>
      <x:c r="M1668" s="22" t="n">
        <x:f>IF(COUNT(I1668:L1668)=4,ROUND(I1668*J1668/12,2),"n.a.")</x:f>
        <x:v>0</x:v>
      </x:c>
      <x:c r="N1668" s="22" t="n">
        <x:f>IF(COUNT(I1668:M1668)=5,MIN(I1668+M1668,ROUND(MAX(K1668,I1668*L1668+M1668),2)),"n.a.")</x:f>
        <x:v>0</x:v>
      </x:c>
      <x:c r="O1668" s="30" t="n">
        <x:f>IF(COUNT($I$1667:$I$1671)&lt;&gt;5,"n.a.",IF(I1668=0,6,IF('Inputs'!$D$5=1,COUNTIFS($I$1667:$I$1671,"&gt;0",$I$1667:$I$1671,"&lt;"&amp;I1668)+COUNTIFS($I$1667:I1668,I1668),COUNTIFS($I$1667:$I$1671,"&gt;0",$J$1667:$J$1671,"&gt;"&amp;J1668)+COUNTIFS($I$1667:I1668,"&gt;0",$J$1667:J1668,J1668))))</x:f>
        <x:v>6</x:v>
      </x:c>
      <x:c r="P1668" s="22" t="n">
        <x:f>IF(T1668="Ready",MIN(U1668,MAX(0,G1668-SUMIFS($U$1667:$U$1671,$O$1667:$O$1671,"&lt;"&amp;O1668))),"n.a.")</x:f>
        <x:v>0</x:v>
      </x:c>
      <x:c r="Q1668" s="22" t="n">
        <x:f>IF(T1668="Ready",ROUND(N1668+P1668,2),"n.a.")</x:f>
        <x:v>0</x:v>
      </x:c>
      <x:c r="R1668" s="22" t="n">
        <x:f>IF(T1668="Ready",ROUND(Q1668-M1668,2),"n.a.")</x:f>
        <x:v>0</x:v>
      </x:c>
      <x:c r="S1668" s="22" t="n">
        <x:f>IF(T1668="Ready",MAX(0,ROUND(I1668+M1668-Q1668,2)),"n.a.")</x:f>
        <x:v>0</x:v>
      </x:c>
      <x:c r="T1668" s="22" t="str">
        <x:f>IF(AND(COUNT($I$1667:$I$1671)=5,COUNT(E1668:F1668)=2),IF(E1668&gt;=F1668,"Ready","Budget below minima"),"Check inputs")</x:f>
        <x:v>Ready</x:v>
      </x:c>
      <x:c r="U1668" s="22" t="n">
        <x:f>IF(COUNT(I1668,M1668,N1668)=3,MAX(0,ROUND(I1668+M1668-N1668,2)),"n.a.")</x:f>
        <x:v>0</x:v>
      </x:c>
    </x:row>
    <x:row r="1669" ht="22" customHeight="1">
      <x:c r="A1669" s="2"/>
      <x:c r="B1669" s="2"/>
      <x:c r="C1669" s="27" t="n">
        <x:f>333</x:f>
        <x:v>333</x:v>
      </x:c>
      <x:c r="D1669" s="28" t="n">
        <x:f>IF(ISNUMBER('Inputs'!$D$7),EDATE('Inputs'!$D$7,332),"n.a.")</x:f>
        <x:v>56431</x:v>
      </x:c>
      <x:c r="E1669" s="26" t="n">
        <x:f>IF('Inputs'!$D$9&lt;&gt;"Ready","n.a.",IF(ISNUMBER('Inputs'!E351),IF('Inputs'!E351&gt;=0,'Inputs'!E351,"n.a."),IF('Inputs'!E351="",'Inputs'!$D$6,"n.a.")))</x:f>
        <x:v>500</x:v>
      </x:c>
      <x:c r="F1669" s="22" t="n">
        <x:f>IF(COUNT($N$1667:$N$1671)=5,SUM($N$1667:$N$1671),"n.a.")</x:f>
        <x:v>0</x:v>
      </x:c>
      <x:c r="G1669" s="22" t="n">
        <x:f>IF(COUNT(E1669:F1669)=2,MAX(0,E1669-F1669),"n.a.")</x:f>
        <x:v>500</x:v>
      </x:c>
      <x:c r="H1669" s="26" t="str">
        <x:f>'Inputs'!C13</x:f>
        <x:v>Loan C</x:v>
      </x:c>
      <x:c r="I1669" s="26" t="n">
        <x:f>S1664</x:f>
        <x:v>0</x:v>
      </x:c>
      <x:c r="J1669" s="29" t="n">
        <x:f>IF('Inputs'!$D$9="Ready",'Inputs'!E13,"n.a.")</x:f>
        <x:v>0.08</x:v>
      </x:c>
      <x:c r="K1669" s="26" t="n">
        <x:f>IF('Inputs'!$D$9="Ready",'Inputs'!F13,"n.a.")</x:f>
        <x:v>150</x:v>
      </x:c>
      <x:c r="L1669" s="29" t="n">
        <x:f>IF('Inputs'!$D$9="Ready",'Inputs'!G13,"n.a.")</x:f>
        <x:v>0</x:v>
      </x:c>
      <x:c r="M1669" s="22" t="n">
        <x:f>IF(COUNT(I1669:L1669)=4,ROUND(I1669*J1669/12,2),"n.a.")</x:f>
        <x:v>0</x:v>
      </x:c>
      <x:c r="N1669" s="22" t="n">
        <x:f>IF(COUNT(I1669:M1669)=5,MIN(I1669+M1669,ROUND(MAX(K1669,I1669*L1669+M1669),2)),"n.a.")</x:f>
        <x:v>0</x:v>
      </x:c>
      <x:c r="O1669" s="30" t="n">
        <x:f>IF(COUNT($I$1667:$I$1671)&lt;&gt;5,"n.a.",IF(I1669=0,6,IF('Inputs'!$D$5=1,COUNTIFS($I$1667:$I$1671,"&gt;0",$I$1667:$I$1671,"&lt;"&amp;I1669)+COUNTIFS($I$1667:I1669,I1669),COUNTIFS($I$1667:$I$1671,"&gt;0",$J$1667:$J$1671,"&gt;"&amp;J1669)+COUNTIFS($I$1667:I1669,"&gt;0",$J$1667:J1669,J1669))))</x:f>
        <x:v>6</x:v>
      </x:c>
      <x:c r="P1669" s="22" t="n">
        <x:f>IF(T1669="Ready",MIN(U1669,MAX(0,G1669-SUMIFS($U$1667:$U$1671,$O$1667:$O$1671,"&lt;"&amp;O1669))),"n.a.")</x:f>
        <x:v>0</x:v>
      </x:c>
      <x:c r="Q1669" s="22" t="n">
        <x:f>IF(T1669="Ready",ROUND(N1669+P1669,2),"n.a.")</x:f>
        <x:v>0</x:v>
      </x:c>
      <x:c r="R1669" s="22" t="n">
        <x:f>IF(T1669="Ready",ROUND(Q1669-M1669,2),"n.a.")</x:f>
        <x:v>0</x:v>
      </x:c>
      <x:c r="S1669" s="22" t="n">
        <x:f>IF(T1669="Ready",MAX(0,ROUND(I1669+M1669-Q1669,2)),"n.a.")</x:f>
        <x:v>0</x:v>
      </x:c>
      <x:c r="T1669" s="22" t="str">
        <x:f>IF(AND(COUNT($I$1667:$I$1671)=5,COUNT(E1669:F1669)=2),IF(E1669&gt;=F1669,"Ready","Budget below minima"),"Check inputs")</x:f>
        <x:v>Ready</x:v>
      </x:c>
      <x:c r="U1669" s="22" t="n">
        <x:f>IF(COUNT(I1669,M1669,N1669)=3,MAX(0,ROUND(I1669+M1669-N1669,2)),"n.a.")</x:f>
        <x:v>0</x:v>
      </x:c>
    </x:row>
    <x:row r="1670" ht="22" customHeight="1">
      <x:c r="A1670" s="2"/>
      <x:c r="B1670" s="2"/>
      <x:c r="C1670" s="27" t="n">
        <x:f>333</x:f>
        <x:v>333</x:v>
      </x:c>
      <x:c r="D1670" s="28" t="n">
        <x:f>IF(ISNUMBER('Inputs'!$D$7),EDATE('Inputs'!$D$7,332),"n.a.")</x:f>
        <x:v>56431</x:v>
      </x:c>
      <x:c r="E1670" s="26" t="n">
        <x:f>IF('Inputs'!$D$9&lt;&gt;"Ready","n.a.",IF(ISNUMBER('Inputs'!E351),IF('Inputs'!E351&gt;=0,'Inputs'!E351,"n.a."),IF('Inputs'!E351="",'Inputs'!$D$6,"n.a.")))</x:f>
        <x:v>500</x:v>
      </x:c>
      <x:c r="F1670" s="22" t="n">
        <x:f>IF(COUNT($N$1667:$N$1671)=5,SUM($N$1667:$N$1671),"n.a.")</x:f>
        <x:v>0</x:v>
      </x:c>
      <x:c r="G1670" s="22" t="n">
        <x:f>IF(COUNT(E1670:F1670)=2,MAX(0,E1670-F1670),"n.a.")</x:f>
        <x:v>500</x:v>
      </x:c>
      <x:c r="H1670" s="26" t="str">
        <x:f>'Inputs'!C14</x:f>
        <x:v>Unused 4</x:v>
      </x:c>
      <x:c r="I1670" s="26" t="n">
        <x:f>S1665</x:f>
        <x:v>0</x:v>
      </x:c>
      <x:c r="J1670" s="29" t="n">
        <x:f>IF('Inputs'!$D$9="Ready",'Inputs'!E14,"n.a.")</x:f>
        <x:v>0</x:v>
      </x:c>
      <x:c r="K1670" s="26" t="n">
        <x:f>IF('Inputs'!$D$9="Ready",'Inputs'!F14,"n.a.")</x:f>
        <x:v>0</x:v>
      </x:c>
      <x:c r="L1670" s="29" t="n">
        <x:f>IF('Inputs'!$D$9="Ready",'Inputs'!G14,"n.a.")</x:f>
        <x:v>0</x:v>
      </x:c>
      <x:c r="M1670" s="22" t="n">
        <x:f>IF(COUNT(I1670:L1670)=4,ROUND(I1670*J1670/12,2),"n.a.")</x:f>
        <x:v>0</x:v>
      </x:c>
      <x:c r="N1670" s="22" t="n">
        <x:f>IF(COUNT(I1670:M1670)=5,MIN(I1670+M1670,ROUND(MAX(K1670,I1670*L1670+M1670),2)),"n.a.")</x:f>
        <x:v>0</x:v>
      </x:c>
      <x:c r="O1670" s="30" t="n">
        <x:f>IF(COUNT($I$1667:$I$1671)&lt;&gt;5,"n.a.",IF(I1670=0,6,IF('Inputs'!$D$5=1,COUNTIFS($I$1667:$I$1671,"&gt;0",$I$1667:$I$1671,"&lt;"&amp;I1670)+COUNTIFS($I$1667:I1670,I1670),COUNTIFS($I$1667:$I$1671,"&gt;0",$J$1667:$J$1671,"&gt;"&amp;J1670)+COUNTIFS($I$1667:I1670,"&gt;0",$J$1667:J1670,J1670))))</x:f>
        <x:v>6</x:v>
      </x:c>
      <x:c r="P1670" s="22" t="n">
        <x:f>IF(T1670="Ready",MIN(U1670,MAX(0,G1670-SUMIFS($U$1667:$U$1671,$O$1667:$O$1671,"&lt;"&amp;O1670))),"n.a.")</x:f>
        <x:v>0</x:v>
      </x:c>
      <x:c r="Q1670" s="22" t="n">
        <x:f>IF(T1670="Ready",ROUND(N1670+P1670,2),"n.a.")</x:f>
        <x:v>0</x:v>
      </x:c>
      <x:c r="R1670" s="22" t="n">
        <x:f>IF(T1670="Ready",ROUND(Q1670-M1670,2),"n.a.")</x:f>
        <x:v>0</x:v>
      </x:c>
      <x:c r="S1670" s="22" t="n">
        <x:f>IF(T1670="Ready",MAX(0,ROUND(I1670+M1670-Q1670,2)),"n.a.")</x:f>
        <x:v>0</x:v>
      </x:c>
      <x:c r="T1670" s="22" t="str">
        <x:f>IF(AND(COUNT($I$1667:$I$1671)=5,COUNT(E1670:F1670)=2),IF(E1670&gt;=F1670,"Ready","Budget below minima"),"Check inputs")</x:f>
        <x:v>Ready</x:v>
      </x:c>
      <x:c r="U1670" s="22" t="n">
        <x:f>IF(COUNT(I1670,M1670,N1670)=3,MAX(0,ROUND(I1670+M1670-N1670,2)),"n.a.")</x:f>
        <x:v>0</x:v>
      </x:c>
    </x:row>
    <x:row r="1671" ht="22" customHeight="1">
      <x:c r="A1671" s="2"/>
      <x:c r="B1671" s="2"/>
      <x:c r="C1671" s="27" t="n">
        <x:f>333</x:f>
        <x:v>333</x:v>
      </x:c>
      <x:c r="D1671" s="28" t="n">
        <x:f>IF(ISNUMBER('Inputs'!$D$7),EDATE('Inputs'!$D$7,332),"n.a.")</x:f>
        <x:v>56431</x:v>
      </x:c>
      <x:c r="E1671" s="26" t="n">
        <x:f>IF('Inputs'!$D$9&lt;&gt;"Ready","n.a.",IF(ISNUMBER('Inputs'!E351),IF('Inputs'!E351&gt;=0,'Inputs'!E351,"n.a."),IF('Inputs'!E351="",'Inputs'!$D$6,"n.a.")))</x:f>
        <x:v>500</x:v>
      </x:c>
      <x:c r="F1671" s="22" t="n">
        <x:f>IF(COUNT($N$1667:$N$1671)=5,SUM($N$1667:$N$1671),"n.a.")</x:f>
        <x:v>0</x:v>
      </x:c>
      <x:c r="G1671" s="22" t="n">
        <x:f>IF(COUNT(E1671:F1671)=2,MAX(0,E1671-F1671),"n.a.")</x:f>
        <x:v>500</x:v>
      </x:c>
      <x:c r="H1671" s="26" t="str">
        <x:f>'Inputs'!C15</x:f>
        <x:v>Unused 5</x:v>
      </x:c>
      <x:c r="I1671" s="26" t="n">
        <x:f>S1666</x:f>
        <x:v>0</x:v>
      </x:c>
      <x:c r="J1671" s="29" t="n">
        <x:f>IF('Inputs'!$D$9="Ready",'Inputs'!E15,"n.a.")</x:f>
        <x:v>0</x:v>
      </x:c>
      <x:c r="K1671" s="26" t="n">
        <x:f>IF('Inputs'!$D$9="Ready",'Inputs'!F15,"n.a.")</x:f>
        <x:v>0</x:v>
      </x:c>
      <x:c r="L1671" s="29" t="n">
        <x:f>IF('Inputs'!$D$9="Ready",'Inputs'!G15,"n.a.")</x:f>
        <x:v>0</x:v>
      </x:c>
      <x:c r="M1671" s="22" t="n">
        <x:f>IF(COUNT(I1671:L1671)=4,ROUND(I1671*J1671/12,2),"n.a.")</x:f>
        <x:v>0</x:v>
      </x:c>
      <x:c r="N1671" s="22" t="n">
        <x:f>IF(COUNT(I1671:M1671)=5,MIN(I1671+M1671,ROUND(MAX(K1671,I1671*L1671+M1671),2)),"n.a.")</x:f>
        <x:v>0</x:v>
      </x:c>
      <x:c r="O1671" s="30" t="n">
        <x:f>IF(COUNT($I$1667:$I$1671)&lt;&gt;5,"n.a.",IF(I1671=0,6,IF('Inputs'!$D$5=1,COUNTIFS($I$1667:$I$1671,"&gt;0",$I$1667:$I$1671,"&lt;"&amp;I1671)+COUNTIFS($I$1667:I1671,I1671),COUNTIFS($I$1667:$I$1671,"&gt;0",$J$1667:$J$1671,"&gt;"&amp;J1671)+COUNTIFS($I$1667:I1671,"&gt;0",$J$1667:J1671,J1671))))</x:f>
        <x:v>6</x:v>
      </x:c>
      <x:c r="P1671" s="22" t="n">
        <x:f>IF(T1671="Ready",MIN(U1671,MAX(0,G1671-SUMIFS($U$1667:$U$1671,$O$1667:$O$1671,"&lt;"&amp;O1671))),"n.a.")</x:f>
        <x:v>0</x:v>
      </x:c>
      <x:c r="Q1671" s="22" t="n">
        <x:f>IF(T1671="Ready",ROUND(N1671+P1671,2),"n.a.")</x:f>
        <x:v>0</x:v>
      </x:c>
      <x:c r="R1671" s="22" t="n">
        <x:f>IF(T1671="Ready",ROUND(Q1671-M1671,2),"n.a.")</x:f>
        <x:v>0</x:v>
      </x:c>
      <x:c r="S1671" s="22" t="n">
        <x:f>IF(T1671="Ready",MAX(0,ROUND(I1671+M1671-Q1671,2)),"n.a.")</x:f>
        <x:v>0</x:v>
      </x:c>
      <x:c r="T1671" s="22" t="str">
        <x:f>IF(AND(COUNT($I$1667:$I$1671)=5,COUNT(E1671:F1671)=2),IF(E1671&gt;=F1671,"Ready","Budget below minima"),"Check inputs")</x:f>
        <x:v>Ready</x:v>
      </x:c>
      <x:c r="U1671" s="22" t="n">
        <x:f>IF(COUNT(I1671,M1671,N1671)=3,MAX(0,ROUND(I1671+M1671-N1671,2)),"n.a.")</x:f>
        <x:v>0</x:v>
      </x:c>
    </x:row>
    <x:row r="1672" ht="22" customHeight="1">
      <x:c r="A1672" s="2"/>
      <x:c r="B1672" s="2"/>
      <x:c r="C1672" s="27" t="n">
        <x:f>334</x:f>
        <x:v>334</x:v>
      </x:c>
      <x:c r="D1672" s="28" t="n">
        <x:f>IF(ISNUMBER('Inputs'!$D$7),EDATE('Inputs'!$D$7,333),"n.a.")</x:f>
        <x:v>56462</x:v>
      </x:c>
      <x:c r="E1672" s="26" t="n">
        <x:f>IF('Inputs'!$D$9&lt;&gt;"Ready","n.a.",IF(ISNUMBER('Inputs'!E352),IF('Inputs'!E352&gt;=0,'Inputs'!E352,"n.a."),IF('Inputs'!E352="",'Inputs'!$D$6,"n.a.")))</x:f>
        <x:v>500</x:v>
      </x:c>
      <x:c r="F1672" s="22" t="n">
        <x:f>IF(COUNT($N$1672:$N$1676)=5,SUM($N$1672:$N$1676),"n.a.")</x:f>
        <x:v>0</x:v>
      </x:c>
      <x:c r="G1672" s="22" t="n">
        <x:f>IF(COUNT(E1672:F1672)=2,MAX(0,E1672-F1672),"n.a.")</x:f>
        <x:v>500</x:v>
      </x:c>
      <x:c r="H1672" s="26" t="str">
        <x:f>'Inputs'!C11</x:f>
        <x:v>Card A</x:v>
      </x:c>
      <x:c r="I1672" s="26" t="n">
        <x:f>S1667</x:f>
        <x:v>0</x:v>
      </x:c>
      <x:c r="J1672" s="29" t="n">
        <x:f>IF('Inputs'!$D$9="Ready",'Inputs'!E11,"n.a.")</x:f>
        <x:v>0.24</x:v>
      </x:c>
      <x:c r="K1672" s="26" t="n">
        <x:f>IF('Inputs'!$D$9="Ready",'Inputs'!F11,"n.a.")</x:f>
        <x:v>35</x:v>
      </x:c>
      <x:c r="L1672" s="29" t="n">
        <x:f>IF('Inputs'!$D$9="Ready",'Inputs'!G11,"n.a.")</x:f>
        <x:v>0.02</x:v>
      </x:c>
      <x:c r="M1672" s="22" t="n">
        <x:f>IF(COUNT(I1672:L1672)=4,ROUND(I1672*J1672/12,2),"n.a.")</x:f>
        <x:v>0</x:v>
      </x:c>
      <x:c r="N1672" s="22" t="n">
        <x:f>IF(COUNT(I1672:M1672)=5,MIN(I1672+M1672,ROUND(MAX(K1672,I1672*L1672+M1672),2)),"n.a.")</x:f>
        <x:v>0</x:v>
      </x:c>
      <x:c r="O1672" s="30" t="n">
        <x:f>IF(COUNT($I$1672:$I$1676)&lt;&gt;5,"n.a.",IF(I1672=0,6,IF('Inputs'!$D$5=1,COUNTIFS($I$1672:$I$1676,"&gt;0",$I$1672:$I$1676,"&lt;"&amp;I1672)+COUNTIFS($I$1672:I1672,I1672),COUNTIFS($I$1672:$I$1676,"&gt;0",$J$1672:$J$1676,"&gt;"&amp;J1672)+COUNTIFS($I$1672:I1672,"&gt;0",$J$1672:J1672,J1672))))</x:f>
        <x:v>6</x:v>
      </x:c>
      <x:c r="P1672" s="22" t="n">
        <x:f>IF(T1672="Ready",MIN(U1672,MAX(0,G1672-SUMIFS($U$1672:$U$1676,$O$1672:$O$1676,"&lt;"&amp;O1672))),"n.a.")</x:f>
        <x:v>0</x:v>
      </x:c>
      <x:c r="Q1672" s="22" t="n">
        <x:f>IF(T1672="Ready",ROUND(N1672+P1672,2),"n.a.")</x:f>
        <x:v>0</x:v>
      </x:c>
      <x:c r="R1672" s="22" t="n">
        <x:f>IF(T1672="Ready",ROUND(Q1672-M1672,2),"n.a.")</x:f>
        <x:v>0</x:v>
      </x:c>
      <x:c r="S1672" s="22" t="n">
        <x:f>IF(T1672="Ready",MAX(0,ROUND(I1672+M1672-Q1672,2)),"n.a.")</x:f>
        <x:v>0</x:v>
      </x:c>
      <x:c r="T1672" s="22" t="str">
        <x:f>IF(AND(COUNT($I$1672:$I$1676)=5,COUNT(E1672:F1672)=2),IF(E1672&gt;=F1672,"Ready","Budget below minima"),"Check inputs")</x:f>
        <x:v>Ready</x:v>
      </x:c>
      <x:c r="U1672" s="22" t="n">
        <x:f>IF(COUNT(I1672,M1672,N1672)=3,MAX(0,ROUND(I1672+M1672-N1672,2)),"n.a.")</x:f>
        <x:v>0</x:v>
      </x:c>
    </x:row>
    <x:row r="1673" ht="22" customHeight="1">
      <x:c r="A1673" s="2"/>
      <x:c r="B1673" s="2"/>
      <x:c r="C1673" s="27" t="n">
        <x:f>334</x:f>
        <x:v>334</x:v>
      </x:c>
      <x:c r="D1673" s="28" t="n">
        <x:f>IF(ISNUMBER('Inputs'!$D$7),EDATE('Inputs'!$D$7,333),"n.a.")</x:f>
        <x:v>56462</x:v>
      </x:c>
      <x:c r="E1673" s="26" t="n">
        <x:f>IF('Inputs'!$D$9&lt;&gt;"Ready","n.a.",IF(ISNUMBER('Inputs'!E352),IF('Inputs'!E352&gt;=0,'Inputs'!E352,"n.a."),IF('Inputs'!E352="",'Inputs'!$D$6,"n.a.")))</x:f>
        <x:v>500</x:v>
      </x:c>
      <x:c r="F1673" s="22" t="n">
        <x:f>IF(COUNT($N$1672:$N$1676)=5,SUM($N$1672:$N$1676),"n.a.")</x:f>
        <x:v>0</x:v>
      </x:c>
      <x:c r="G1673" s="22" t="n">
        <x:f>IF(COUNT(E1673:F1673)=2,MAX(0,E1673-F1673),"n.a.")</x:f>
        <x:v>500</x:v>
      </x:c>
      <x:c r="H1673" s="26" t="str">
        <x:f>'Inputs'!C12</x:f>
        <x:v>Card B</x:v>
      </x:c>
      <x:c r="I1673" s="26" t="n">
        <x:f>S1668</x:f>
        <x:v>0</x:v>
      </x:c>
      <x:c r="J1673" s="29" t="n">
        <x:f>IF('Inputs'!$D$9="Ready",'Inputs'!E12,"n.a.")</x:f>
        <x:v>0.18</x:v>
      </x:c>
      <x:c r="K1673" s="26" t="n">
        <x:f>IF('Inputs'!$D$9="Ready",'Inputs'!F12,"n.a.")</x:f>
        <x:v>60</x:v>
      </x:c>
      <x:c r="L1673" s="29" t="n">
        <x:f>IF('Inputs'!$D$9="Ready",'Inputs'!G12,"n.a.")</x:f>
        <x:v>0.02</x:v>
      </x:c>
      <x:c r="M1673" s="22" t="n">
        <x:f>IF(COUNT(I1673:L1673)=4,ROUND(I1673*J1673/12,2),"n.a.")</x:f>
        <x:v>0</x:v>
      </x:c>
      <x:c r="N1673" s="22" t="n">
        <x:f>IF(COUNT(I1673:M1673)=5,MIN(I1673+M1673,ROUND(MAX(K1673,I1673*L1673+M1673),2)),"n.a.")</x:f>
        <x:v>0</x:v>
      </x:c>
      <x:c r="O1673" s="30" t="n">
        <x:f>IF(COUNT($I$1672:$I$1676)&lt;&gt;5,"n.a.",IF(I1673=0,6,IF('Inputs'!$D$5=1,COUNTIFS($I$1672:$I$1676,"&gt;0",$I$1672:$I$1676,"&lt;"&amp;I1673)+COUNTIFS($I$1672:I1673,I1673),COUNTIFS($I$1672:$I$1676,"&gt;0",$J$1672:$J$1676,"&gt;"&amp;J1673)+COUNTIFS($I$1672:I1673,"&gt;0",$J$1672:J1673,J1673))))</x:f>
        <x:v>6</x:v>
      </x:c>
      <x:c r="P1673" s="22" t="n">
        <x:f>IF(T1673="Ready",MIN(U1673,MAX(0,G1673-SUMIFS($U$1672:$U$1676,$O$1672:$O$1676,"&lt;"&amp;O1673))),"n.a.")</x:f>
        <x:v>0</x:v>
      </x:c>
      <x:c r="Q1673" s="22" t="n">
        <x:f>IF(T1673="Ready",ROUND(N1673+P1673,2),"n.a.")</x:f>
        <x:v>0</x:v>
      </x:c>
      <x:c r="R1673" s="22" t="n">
        <x:f>IF(T1673="Ready",ROUND(Q1673-M1673,2),"n.a.")</x:f>
        <x:v>0</x:v>
      </x:c>
      <x:c r="S1673" s="22" t="n">
        <x:f>IF(T1673="Ready",MAX(0,ROUND(I1673+M1673-Q1673,2)),"n.a.")</x:f>
        <x:v>0</x:v>
      </x:c>
      <x:c r="T1673" s="22" t="str">
        <x:f>IF(AND(COUNT($I$1672:$I$1676)=5,COUNT(E1673:F1673)=2),IF(E1673&gt;=F1673,"Ready","Budget below minima"),"Check inputs")</x:f>
        <x:v>Ready</x:v>
      </x:c>
      <x:c r="U1673" s="22" t="n">
        <x:f>IF(COUNT(I1673,M1673,N1673)=3,MAX(0,ROUND(I1673+M1673-N1673,2)),"n.a.")</x:f>
        <x:v>0</x:v>
      </x:c>
    </x:row>
    <x:row r="1674" ht="22" customHeight="1">
      <x:c r="A1674" s="2"/>
      <x:c r="B1674" s="2"/>
      <x:c r="C1674" s="27" t="n">
        <x:f>334</x:f>
        <x:v>334</x:v>
      </x:c>
      <x:c r="D1674" s="28" t="n">
        <x:f>IF(ISNUMBER('Inputs'!$D$7),EDATE('Inputs'!$D$7,333),"n.a.")</x:f>
        <x:v>56462</x:v>
      </x:c>
      <x:c r="E1674" s="26" t="n">
        <x:f>IF('Inputs'!$D$9&lt;&gt;"Ready","n.a.",IF(ISNUMBER('Inputs'!E352),IF('Inputs'!E352&gt;=0,'Inputs'!E352,"n.a."),IF('Inputs'!E352="",'Inputs'!$D$6,"n.a.")))</x:f>
        <x:v>500</x:v>
      </x:c>
      <x:c r="F1674" s="22" t="n">
        <x:f>IF(COUNT($N$1672:$N$1676)=5,SUM($N$1672:$N$1676),"n.a.")</x:f>
        <x:v>0</x:v>
      </x:c>
      <x:c r="G1674" s="22" t="n">
        <x:f>IF(COUNT(E1674:F1674)=2,MAX(0,E1674-F1674),"n.a.")</x:f>
        <x:v>500</x:v>
      </x:c>
      <x:c r="H1674" s="26" t="str">
        <x:f>'Inputs'!C13</x:f>
        <x:v>Loan C</x:v>
      </x:c>
      <x:c r="I1674" s="26" t="n">
        <x:f>S1669</x:f>
        <x:v>0</x:v>
      </x:c>
      <x:c r="J1674" s="29" t="n">
        <x:f>IF('Inputs'!$D$9="Ready",'Inputs'!E13,"n.a.")</x:f>
        <x:v>0.08</x:v>
      </x:c>
      <x:c r="K1674" s="26" t="n">
        <x:f>IF('Inputs'!$D$9="Ready",'Inputs'!F13,"n.a.")</x:f>
        <x:v>150</x:v>
      </x:c>
      <x:c r="L1674" s="29" t="n">
        <x:f>IF('Inputs'!$D$9="Ready",'Inputs'!G13,"n.a.")</x:f>
        <x:v>0</x:v>
      </x:c>
      <x:c r="M1674" s="22" t="n">
        <x:f>IF(COUNT(I1674:L1674)=4,ROUND(I1674*J1674/12,2),"n.a.")</x:f>
        <x:v>0</x:v>
      </x:c>
      <x:c r="N1674" s="22" t="n">
        <x:f>IF(COUNT(I1674:M1674)=5,MIN(I1674+M1674,ROUND(MAX(K1674,I1674*L1674+M1674),2)),"n.a.")</x:f>
        <x:v>0</x:v>
      </x:c>
      <x:c r="O1674" s="30" t="n">
        <x:f>IF(COUNT($I$1672:$I$1676)&lt;&gt;5,"n.a.",IF(I1674=0,6,IF('Inputs'!$D$5=1,COUNTIFS($I$1672:$I$1676,"&gt;0",$I$1672:$I$1676,"&lt;"&amp;I1674)+COUNTIFS($I$1672:I1674,I1674),COUNTIFS($I$1672:$I$1676,"&gt;0",$J$1672:$J$1676,"&gt;"&amp;J1674)+COUNTIFS($I$1672:I1674,"&gt;0",$J$1672:J1674,J1674))))</x:f>
        <x:v>6</x:v>
      </x:c>
      <x:c r="P1674" s="22" t="n">
        <x:f>IF(T1674="Ready",MIN(U1674,MAX(0,G1674-SUMIFS($U$1672:$U$1676,$O$1672:$O$1676,"&lt;"&amp;O1674))),"n.a.")</x:f>
        <x:v>0</x:v>
      </x:c>
      <x:c r="Q1674" s="22" t="n">
        <x:f>IF(T1674="Ready",ROUND(N1674+P1674,2),"n.a.")</x:f>
        <x:v>0</x:v>
      </x:c>
      <x:c r="R1674" s="22" t="n">
        <x:f>IF(T1674="Ready",ROUND(Q1674-M1674,2),"n.a.")</x:f>
        <x:v>0</x:v>
      </x:c>
      <x:c r="S1674" s="22" t="n">
        <x:f>IF(T1674="Ready",MAX(0,ROUND(I1674+M1674-Q1674,2)),"n.a.")</x:f>
        <x:v>0</x:v>
      </x:c>
      <x:c r="T1674" s="22" t="str">
        <x:f>IF(AND(COUNT($I$1672:$I$1676)=5,COUNT(E1674:F1674)=2),IF(E1674&gt;=F1674,"Ready","Budget below minima"),"Check inputs")</x:f>
        <x:v>Ready</x:v>
      </x:c>
      <x:c r="U1674" s="22" t="n">
        <x:f>IF(COUNT(I1674,M1674,N1674)=3,MAX(0,ROUND(I1674+M1674-N1674,2)),"n.a.")</x:f>
        <x:v>0</x:v>
      </x:c>
    </x:row>
    <x:row r="1675" ht="22" customHeight="1">
      <x:c r="A1675" s="2"/>
      <x:c r="B1675" s="2"/>
      <x:c r="C1675" s="27" t="n">
        <x:f>334</x:f>
        <x:v>334</x:v>
      </x:c>
      <x:c r="D1675" s="28" t="n">
        <x:f>IF(ISNUMBER('Inputs'!$D$7),EDATE('Inputs'!$D$7,333),"n.a.")</x:f>
        <x:v>56462</x:v>
      </x:c>
      <x:c r="E1675" s="26" t="n">
        <x:f>IF('Inputs'!$D$9&lt;&gt;"Ready","n.a.",IF(ISNUMBER('Inputs'!E352),IF('Inputs'!E352&gt;=0,'Inputs'!E352,"n.a."),IF('Inputs'!E352="",'Inputs'!$D$6,"n.a.")))</x:f>
        <x:v>500</x:v>
      </x:c>
      <x:c r="F1675" s="22" t="n">
        <x:f>IF(COUNT($N$1672:$N$1676)=5,SUM($N$1672:$N$1676),"n.a.")</x:f>
        <x:v>0</x:v>
      </x:c>
      <x:c r="G1675" s="22" t="n">
        <x:f>IF(COUNT(E1675:F1675)=2,MAX(0,E1675-F1675),"n.a.")</x:f>
        <x:v>500</x:v>
      </x:c>
      <x:c r="H1675" s="26" t="str">
        <x:f>'Inputs'!C14</x:f>
        <x:v>Unused 4</x:v>
      </x:c>
      <x:c r="I1675" s="26" t="n">
        <x:f>S1670</x:f>
        <x:v>0</x:v>
      </x:c>
      <x:c r="J1675" s="29" t="n">
        <x:f>IF('Inputs'!$D$9="Ready",'Inputs'!E14,"n.a.")</x:f>
        <x:v>0</x:v>
      </x:c>
      <x:c r="K1675" s="26" t="n">
        <x:f>IF('Inputs'!$D$9="Ready",'Inputs'!F14,"n.a.")</x:f>
        <x:v>0</x:v>
      </x:c>
      <x:c r="L1675" s="29" t="n">
        <x:f>IF('Inputs'!$D$9="Ready",'Inputs'!G14,"n.a.")</x:f>
        <x:v>0</x:v>
      </x:c>
      <x:c r="M1675" s="22" t="n">
        <x:f>IF(COUNT(I1675:L1675)=4,ROUND(I1675*J1675/12,2),"n.a.")</x:f>
        <x:v>0</x:v>
      </x:c>
      <x:c r="N1675" s="22" t="n">
        <x:f>IF(COUNT(I1675:M1675)=5,MIN(I1675+M1675,ROUND(MAX(K1675,I1675*L1675+M1675),2)),"n.a.")</x:f>
        <x:v>0</x:v>
      </x:c>
      <x:c r="O1675" s="30" t="n">
        <x:f>IF(COUNT($I$1672:$I$1676)&lt;&gt;5,"n.a.",IF(I1675=0,6,IF('Inputs'!$D$5=1,COUNTIFS($I$1672:$I$1676,"&gt;0",$I$1672:$I$1676,"&lt;"&amp;I1675)+COUNTIFS($I$1672:I1675,I1675),COUNTIFS($I$1672:$I$1676,"&gt;0",$J$1672:$J$1676,"&gt;"&amp;J1675)+COUNTIFS($I$1672:I1675,"&gt;0",$J$1672:J1675,J1675))))</x:f>
        <x:v>6</x:v>
      </x:c>
      <x:c r="P1675" s="22" t="n">
        <x:f>IF(T1675="Ready",MIN(U1675,MAX(0,G1675-SUMIFS($U$1672:$U$1676,$O$1672:$O$1676,"&lt;"&amp;O1675))),"n.a.")</x:f>
        <x:v>0</x:v>
      </x:c>
      <x:c r="Q1675" s="22" t="n">
        <x:f>IF(T1675="Ready",ROUND(N1675+P1675,2),"n.a.")</x:f>
        <x:v>0</x:v>
      </x:c>
      <x:c r="R1675" s="22" t="n">
        <x:f>IF(T1675="Ready",ROUND(Q1675-M1675,2),"n.a.")</x:f>
        <x:v>0</x:v>
      </x:c>
      <x:c r="S1675" s="22" t="n">
        <x:f>IF(T1675="Ready",MAX(0,ROUND(I1675+M1675-Q1675,2)),"n.a.")</x:f>
        <x:v>0</x:v>
      </x:c>
      <x:c r="T1675" s="22" t="str">
        <x:f>IF(AND(COUNT($I$1672:$I$1676)=5,COUNT(E1675:F1675)=2),IF(E1675&gt;=F1675,"Ready","Budget below minima"),"Check inputs")</x:f>
        <x:v>Ready</x:v>
      </x:c>
      <x:c r="U1675" s="22" t="n">
        <x:f>IF(COUNT(I1675,M1675,N1675)=3,MAX(0,ROUND(I1675+M1675-N1675,2)),"n.a.")</x:f>
        <x:v>0</x:v>
      </x:c>
    </x:row>
    <x:row r="1676" ht="22" customHeight="1">
      <x:c r="A1676" s="2"/>
      <x:c r="B1676" s="2"/>
      <x:c r="C1676" s="27" t="n">
        <x:f>334</x:f>
        <x:v>334</x:v>
      </x:c>
      <x:c r="D1676" s="28" t="n">
        <x:f>IF(ISNUMBER('Inputs'!$D$7),EDATE('Inputs'!$D$7,333),"n.a.")</x:f>
        <x:v>56462</x:v>
      </x:c>
      <x:c r="E1676" s="26" t="n">
        <x:f>IF('Inputs'!$D$9&lt;&gt;"Ready","n.a.",IF(ISNUMBER('Inputs'!E352),IF('Inputs'!E352&gt;=0,'Inputs'!E352,"n.a."),IF('Inputs'!E352="",'Inputs'!$D$6,"n.a.")))</x:f>
        <x:v>500</x:v>
      </x:c>
      <x:c r="F1676" s="22" t="n">
        <x:f>IF(COUNT($N$1672:$N$1676)=5,SUM($N$1672:$N$1676),"n.a.")</x:f>
        <x:v>0</x:v>
      </x:c>
      <x:c r="G1676" s="22" t="n">
        <x:f>IF(COUNT(E1676:F1676)=2,MAX(0,E1676-F1676),"n.a.")</x:f>
        <x:v>500</x:v>
      </x:c>
      <x:c r="H1676" s="26" t="str">
        <x:f>'Inputs'!C15</x:f>
        <x:v>Unused 5</x:v>
      </x:c>
      <x:c r="I1676" s="26" t="n">
        <x:f>S1671</x:f>
        <x:v>0</x:v>
      </x:c>
      <x:c r="J1676" s="29" t="n">
        <x:f>IF('Inputs'!$D$9="Ready",'Inputs'!E15,"n.a.")</x:f>
        <x:v>0</x:v>
      </x:c>
      <x:c r="K1676" s="26" t="n">
        <x:f>IF('Inputs'!$D$9="Ready",'Inputs'!F15,"n.a.")</x:f>
        <x:v>0</x:v>
      </x:c>
      <x:c r="L1676" s="29" t="n">
        <x:f>IF('Inputs'!$D$9="Ready",'Inputs'!G15,"n.a.")</x:f>
        <x:v>0</x:v>
      </x:c>
      <x:c r="M1676" s="22" t="n">
        <x:f>IF(COUNT(I1676:L1676)=4,ROUND(I1676*J1676/12,2),"n.a.")</x:f>
        <x:v>0</x:v>
      </x:c>
      <x:c r="N1676" s="22" t="n">
        <x:f>IF(COUNT(I1676:M1676)=5,MIN(I1676+M1676,ROUND(MAX(K1676,I1676*L1676+M1676),2)),"n.a.")</x:f>
        <x:v>0</x:v>
      </x:c>
      <x:c r="O1676" s="30" t="n">
        <x:f>IF(COUNT($I$1672:$I$1676)&lt;&gt;5,"n.a.",IF(I1676=0,6,IF('Inputs'!$D$5=1,COUNTIFS($I$1672:$I$1676,"&gt;0",$I$1672:$I$1676,"&lt;"&amp;I1676)+COUNTIFS($I$1672:I1676,I1676),COUNTIFS($I$1672:$I$1676,"&gt;0",$J$1672:$J$1676,"&gt;"&amp;J1676)+COUNTIFS($I$1672:I1676,"&gt;0",$J$1672:J1676,J1676))))</x:f>
        <x:v>6</x:v>
      </x:c>
      <x:c r="P1676" s="22" t="n">
        <x:f>IF(T1676="Ready",MIN(U1676,MAX(0,G1676-SUMIFS($U$1672:$U$1676,$O$1672:$O$1676,"&lt;"&amp;O1676))),"n.a.")</x:f>
        <x:v>0</x:v>
      </x:c>
      <x:c r="Q1676" s="22" t="n">
        <x:f>IF(T1676="Ready",ROUND(N1676+P1676,2),"n.a.")</x:f>
        <x:v>0</x:v>
      </x:c>
      <x:c r="R1676" s="22" t="n">
        <x:f>IF(T1676="Ready",ROUND(Q1676-M1676,2),"n.a.")</x:f>
        <x:v>0</x:v>
      </x:c>
      <x:c r="S1676" s="22" t="n">
        <x:f>IF(T1676="Ready",MAX(0,ROUND(I1676+M1676-Q1676,2)),"n.a.")</x:f>
        <x:v>0</x:v>
      </x:c>
      <x:c r="T1676" s="22" t="str">
        <x:f>IF(AND(COUNT($I$1672:$I$1676)=5,COUNT(E1676:F1676)=2),IF(E1676&gt;=F1676,"Ready","Budget below minima"),"Check inputs")</x:f>
        <x:v>Ready</x:v>
      </x:c>
      <x:c r="U1676" s="22" t="n">
        <x:f>IF(COUNT(I1676,M1676,N1676)=3,MAX(0,ROUND(I1676+M1676-N1676,2)),"n.a.")</x:f>
        <x:v>0</x:v>
      </x:c>
    </x:row>
    <x:row r="1677" ht="22" customHeight="1">
      <x:c r="A1677" s="2"/>
      <x:c r="B1677" s="2"/>
      <x:c r="C1677" s="27" t="n">
        <x:f>335</x:f>
        <x:v>335</x:v>
      </x:c>
      <x:c r="D1677" s="28" t="n">
        <x:f>IF(ISNUMBER('Inputs'!$D$7),EDATE('Inputs'!$D$7,334),"n.a.")</x:f>
        <x:v>56493</x:v>
      </x:c>
      <x:c r="E1677" s="26" t="n">
        <x:f>IF('Inputs'!$D$9&lt;&gt;"Ready","n.a.",IF(ISNUMBER('Inputs'!E353),IF('Inputs'!E353&gt;=0,'Inputs'!E353,"n.a."),IF('Inputs'!E353="",'Inputs'!$D$6,"n.a.")))</x:f>
        <x:v>500</x:v>
      </x:c>
      <x:c r="F1677" s="22" t="n">
        <x:f>IF(COUNT($N$1677:$N$1681)=5,SUM($N$1677:$N$1681),"n.a.")</x:f>
        <x:v>0</x:v>
      </x:c>
      <x:c r="G1677" s="22" t="n">
        <x:f>IF(COUNT(E1677:F1677)=2,MAX(0,E1677-F1677),"n.a.")</x:f>
        <x:v>500</x:v>
      </x:c>
      <x:c r="H1677" s="26" t="str">
        <x:f>'Inputs'!C11</x:f>
        <x:v>Card A</x:v>
      </x:c>
      <x:c r="I1677" s="26" t="n">
        <x:f>S1672</x:f>
        <x:v>0</x:v>
      </x:c>
      <x:c r="J1677" s="29" t="n">
        <x:f>IF('Inputs'!$D$9="Ready",'Inputs'!E11,"n.a.")</x:f>
        <x:v>0.24</x:v>
      </x:c>
      <x:c r="K1677" s="26" t="n">
        <x:f>IF('Inputs'!$D$9="Ready",'Inputs'!F11,"n.a.")</x:f>
        <x:v>35</x:v>
      </x:c>
      <x:c r="L1677" s="29" t="n">
        <x:f>IF('Inputs'!$D$9="Ready",'Inputs'!G11,"n.a.")</x:f>
        <x:v>0.02</x:v>
      </x:c>
      <x:c r="M1677" s="22" t="n">
        <x:f>IF(COUNT(I1677:L1677)=4,ROUND(I1677*J1677/12,2),"n.a.")</x:f>
        <x:v>0</x:v>
      </x:c>
      <x:c r="N1677" s="22" t="n">
        <x:f>IF(COUNT(I1677:M1677)=5,MIN(I1677+M1677,ROUND(MAX(K1677,I1677*L1677+M1677),2)),"n.a.")</x:f>
        <x:v>0</x:v>
      </x:c>
      <x:c r="O1677" s="30" t="n">
        <x:f>IF(COUNT($I$1677:$I$1681)&lt;&gt;5,"n.a.",IF(I1677=0,6,IF('Inputs'!$D$5=1,COUNTIFS($I$1677:$I$1681,"&gt;0",$I$1677:$I$1681,"&lt;"&amp;I1677)+COUNTIFS($I$1677:I1677,I1677),COUNTIFS($I$1677:$I$1681,"&gt;0",$J$1677:$J$1681,"&gt;"&amp;J1677)+COUNTIFS($I$1677:I1677,"&gt;0",$J$1677:J1677,J1677))))</x:f>
        <x:v>6</x:v>
      </x:c>
      <x:c r="P1677" s="22" t="n">
        <x:f>IF(T1677="Ready",MIN(U1677,MAX(0,G1677-SUMIFS($U$1677:$U$1681,$O$1677:$O$1681,"&lt;"&amp;O1677))),"n.a.")</x:f>
        <x:v>0</x:v>
      </x:c>
      <x:c r="Q1677" s="22" t="n">
        <x:f>IF(T1677="Ready",ROUND(N1677+P1677,2),"n.a.")</x:f>
        <x:v>0</x:v>
      </x:c>
      <x:c r="R1677" s="22" t="n">
        <x:f>IF(T1677="Ready",ROUND(Q1677-M1677,2),"n.a.")</x:f>
        <x:v>0</x:v>
      </x:c>
      <x:c r="S1677" s="22" t="n">
        <x:f>IF(T1677="Ready",MAX(0,ROUND(I1677+M1677-Q1677,2)),"n.a.")</x:f>
        <x:v>0</x:v>
      </x:c>
      <x:c r="T1677" s="22" t="str">
        <x:f>IF(AND(COUNT($I$1677:$I$1681)=5,COUNT(E1677:F1677)=2),IF(E1677&gt;=F1677,"Ready","Budget below minima"),"Check inputs")</x:f>
        <x:v>Ready</x:v>
      </x:c>
      <x:c r="U1677" s="22" t="n">
        <x:f>IF(COUNT(I1677,M1677,N1677)=3,MAX(0,ROUND(I1677+M1677-N1677,2)),"n.a.")</x:f>
        <x:v>0</x:v>
      </x:c>
    </x:row>
    <x:row r="1678" ht="22" customHeight="1">
      <x:c r="A1678" s="2"/>
      <x:c r="B1678" s="2"/>
      <x:c r="C1678" s="27" t="n">
        <x:f>335</x:f>
        <x:v>335</x:v>
      </x:c>
      <x:c r="D1678" s="28" t="n">
        <x:f>IF(ISNUMBER('Inputs'!$D$7),EDATE('Inputs'!$D$7,334),"n.a.")</x:f>
        <x:v>56493</x:v>
      </x:c>
      <x:c r="E1678" s="26" t="n">
        <x:f>IF('Inputs'!$D$9&lt;&gt;"Ready","n.a.",IF(ISNUMBER('Inputs'!E353),IF('Inputs'!E353&gt;=0,'Inputs'!E353,"n.a."),IF('Inputs'!E353="",'Inputs'!$D$6,"n.a.")))</x:f>
        <x:v>500</x:v>
      </x:c>
      <x:c r="F1678" s="22" t="n">
        <x:f>IF(COUNT($N$1677:$N$1681)=5,SUM($N$1677:$N$1681),"n.a.")</x:f>
        <x:v>0</x:v>
      </x:c>
      <x:c r="G1678" s="22" t="n">
        <x:f>IF(COUNT(E1678:F1678)=2,MAX(0,E1678-F1678),"n.a.")</x:f>
        <x:v>500</x:v>
      </x:c>
      <x:c r="H1678" s="26" t="str">
        <x:f>'Inputs'!C12</x:f>
        <x:v>Card B</x:v>
      </x:c>
      <x:c r="I1678" s="26" t="n">
        <x:f>S1673</x:f>
        <x:v>0</x:v>
      </x:c>
      <x:c r="J1678" s="29" t="n">
        <x:f>IF('Inputs'!$D$9="Ready",'Inputs'!E12,"n.a.")</x:f>
        <x:v>0.18</x:v>
      </x:c>
      <x:c r="K1678" s="26" t="n">
        <x:f>IF('Inputs'!$D$9="Ready",'Inputs'!F12,"n.a.")</x:f>
        <x:v>60</x:v>
      </x:c>
      <x:c r="L1678" s="29" t="n">
        <x:f>IF('Inputs'!$D$9="Ready",'Inputs'!G12,"n.a.")</x:f>
        <x:v>0.02</x:v>
      </x:c>
      <x:c r="M1678" s="22" t="n">
        <x:f>IF(COUNT(I1678:L1678)=4,ROUND(I1678*J1678/12,2),"n.a.")</x:f>
        <x:v>0</x:v>
      </x:c>
      <x:c r="N1678" s="22" t="n">
        <x:f>IF(COUNT(I1678:M1678)=5,MIN(I1678+M1678,ROUND(MAX(K1678,I1678*L1678+M1678),2)),"n.a.")</x:f>
        <x:v>0</x:v>
      </x:c>
      <x:c r="O1678" s="30" t="n">
        <x:f>IF(COUNT($I$1677:$I$1681)&lt;&gt;5,"n.a.",IF(I1678=0,6,IF('Inputs'!$D$5=1,COUNTIFS($I$1677:$I$1681,"&gt;0",$I$1677:$I$1681,"&lt;"&amp;I1678)+COUNTIFS($I$1677:I1678,I1678),COUNTIFS($I$1677:$I$1681,"&gt;0",$J$1677:$J$1681,"&gt;"&amp;J1678)+COUNTIFS($I$1677:I1678,"&gt;0",$J$1677:J1678,J1678))))</x:f>
        <x:v>6</x:v>
      </x:c>
      <x:c r="P1678" s="22" t="n">
        <x:f>IF(T1678="Ready",MIN(U1678,MAX(0,G1678-SUMIFS($U$1677:$U$1681,$O$1677:$O$1681,"&lt;"&amp;O1678))),"n.a.")</x:f>
        <x:v>0</x:v>
      </x:c>
      <x:c r="Q1678" s="22" t="n">
        <x:f>IF(T1678="Ready",ROUND(N1678+P1678,2),"n.a.")</x:f>
        <x:v>0</x:v>
      </x:c>
      <x:c r="R1678" s="22" t="n">
        <x:f>IF(T1678="Ready",ROUND(Q1678-M1678,2),"n.a.")</x:f>
        <x:v>0</x:v>
      </x:c>
      <x:c r="S1678" s="22" t="n">
        <x:f>IF(T1678="Ready",MAX(0,ROUND(I1678+M1678-Q1678,2)),"n.a.")</x:f>
        <x:v>0</x:v>
      </x:c>
      <x:c r="T1678" s="22" t="str">
        <x:f>IF(AND(COUNT($I$1677:$I$1681)=5,COUNT(E1678:F1678)=2),IF(E1678&gt;=F1678,"Ready","Budget below minima"),"Check inputs")</x:f>
        <x:v>Ready</x:v>
      </x:c>
      <x:c r="U1678" s="22" t="n">
        <x:f>IF(COUNT(I1678,M1678,N1678)=3,MAX(0,ROUND(I1678+M1678-N1678,2)),"n.a.")</x:f>
        <x:v>0</x:v>
      </x:c>
    </x:row>
    <x:row r="1679" ht="22" customHeight="1">
      <x:c r="A1679" s="2"/>
      <x:c r="B1679" s="2"/>
      <x:c r="C1679" s="27" t="n">
        <x:f>335</x:f>
        <x:v>335</x:v>
      </x:c>
      <x:c r="D1679" s="28" t="n">
        <x:f>IF(ISNUMBER('Inputs'!$D$7),EDATE('Inputs'!$D$7,334),"n.a.")</x:f>
        <x:v>56493</x:v>
      </x:c>
      <x:c r="E1679" s="26" t="n">
        <x:f>IF('Inputs'!$D$9&lt;&gt;"Ready","n.a.",IF(ISNUMBER('Inputs'!E353),IF('Inputs'!E353&gt;=0,'Inputs'!E353,"n.a."),IF('Inputs'!E353="",'Inputs'!$D$6,"n.a.")))</x:f>
        <x:v>500</x:v>
      </x:c>
      <x:c r="F1679" s="22" t="n">
        <x:f>IF(COUNT($N$1677:$N$1681)=5,SUM($N$1677:$N$1681),"n.a.")</x:f>
        <x:v>0</x:v>
      </x:c>
      <x:c r="G1679" s="22" t="n">
        <x:f>IF(COUNT(E1679:F1679)=2,MAX(0,E1679-F1679),"n.a.")</x:f>
        <x:v>500</x:v>
      </x:c>
      <x:c r="H1679" s="26" t="str">
        <x:f>'Inputs'!C13</x:f>
        <x:v>Loan C</x:v>
      </x:c>
      <x:c r="I1679" s="26" t="n">
        <x:f>S1674</x:f>
        <x:v>0</x:v>
      </x:c>
      <x:c r="J1679" s="29" t="n">
        <x:f>IF('Inputs'!$D$9="Ready",'Inputs'!E13,"n.a.")</x:f>
        <x:v>0.08</x:v>
      </x:c>
      <x:c r="K1679" s="26" t="n">
        <x:f>IF('Inputs'!$D$9="Ready",'Inputs'!F13,"n.a.")</x:f>
        <x:v>150</x:v>
      </x:c>
      <x:c r="L1679" s="29" t="n">
        <x:f>IF('Inputs'!$D$9="Ready",'Inputs'!G13,"n.a.")</x:f>
        <x:v>0</x:v>
      </x:c>
      <x:c r="M1679" s="22" t="n">
        <x:f>IF(COUNT(I1679:L1679)=4,ROUND(I1679*J1679/12,2),"n.a.")</x:f>
        <x:v>0</x:v>
      </x:c>
      <x:c r="N1679" s="22" t="n">
        <x:f>IF(COUNT(I1679:M1679)=5,MIN(I1679+M1679,ROUND(MAX(K1679,I1679*L1679+M1679),2)),"n.a.")</x:f>
        <x:v>0</x:v>
      </x:c>
      <x:c r="O1679" s="30" t="n">
        <x:f>IF(COUNT($I$1677:$I$1681)&lt;&gt;5,"n.a.",IF(I1679=0,6,IF('Inputs'!$D$5=1,COUNTIFS($I$1677:$I$1681,"&gt;0",$I$1677:$I$1681,"&lt;"&amp;I1679)+COUNTIFS($I$1677:I1679,I1679),COUNTIFS($I$1677:$I$1681,"&gt;0",$J$1677:$J$1681,"&gt;"&amp;J1679)+COUNTIFS($I$1677:I1679,"&gt;0",$J$1677:J1679,J1679))))</x:f>
        <x:v>6</x:v>
      </x:c>
      <x:c r="P1679" s="22" t="n">
        <x:f>IF(T1679="Ready",MIN(U1679,MAX(0,G1679-SUMIFS($U$1677:$U$1681,$O$1677:$O$1681,"&lt;"&amp;O1679))),"n.a.")</x:f>
        <x:v>0</x:v>
      </x:c>
      <x:c r="Q1679" s="22" t="n">
        <x:f>IF(T1679="Ready",ROUND(N1679+P1679,2),"n.a.")</x:f>
        <x:v>0</x:v>
      </x:c>
      <x:c r="R1679" s="22" t="n">
        <x:f>IF(T1679="Ready",ROUND(Q1679-M1679,2),"n.a.")</x:f>
        <x:v>0</x:v>
      </x:c>
      <x:c r="S1679" s="22" t="n">
        <x:f>IF(T1679="Ready",MAX(0,ROUND(I1679+M1679-Q1679,2)),"n.a.")</x:f>
        <x:v>0</x:v>
      </x:c>
      <x:c r="T1679" s="22" t="str">
        <x:f>IF(AND(COUNT($I$1677:$I$1681)=5,COUNT(E1679:F1679)=2),IF(E1679&gt;=F1679,"Ready","Budget below minima"),"Check inputs")</x:f>
        <x:v>Ready</x:v>
      </x:c>
      <x:c r="U1679" s="22" t="n">
        <x:f>IF(COUNT(I1679,M1679,N1679)=3,MAX(0,ROUND(I1679+M1679-N1679,2)),"n.a.")</x:f>
        <x:v>0</x:v>
      </x:c>
    </x:row>
    <x:row r="1680" ht="22" customHeight="1">
      <x:c r="A1680" s="2"/>
      <x:c r="B1680" s="2"/>
      <x:c r="C1680" s="27" t="n">
        <x:f>335</x:f>
        <x:v>335</x:v>
      </x:c>
      <x:c r="D1680" s="28" t="n">
        <x:f>IF(ISNUMBER('Inputs'!$D$7),EDATE('Inputs'!$D$7,334),"n.a.")</x:f>
        <x:v>56493</x:v>
      </x:c>
      <x:c r="E1680" s="26" t="n">
        <x:f>IF('Inputs'!$D$9&lt;&gt;"Ready","n.a.",IF(ISNUMBER('Inputs'!E353),IF('Inputs'!E353&gt;=0,'Inputs'!E353,"n.a."),IF('Inputs'!E353="",'Inputs'!$D$6,"n.a.")))</x:f>
        <x:v>500</x:v>
      </x:c>
      <x:c r="F1680" s="22" t="n">
        <x:f>IF(COUNT($N$1677:$N$1681)=5,SUM($N$1677:$N$1681),"n.a.")</x:f>
        <x:v>0</x:v>
      </x:c>
      <x:c r="G1680" s="22" t="n">
        <x:f>IF(COUNT(E1680:F1680)=2,MAX(0,E1680-F1680),"n.a.")</x:f>
        <x:v>500</x:v>
      </x:c>
      <x:c r="H1680" s="26" t="str">
        <x:f>'Inputs'!C14</x:f>
        <x:v>Unused 4</x:v>
      </x:c>
      <x:c r="I1680" s="26" t="n">
        <x:f>S1675</x:f>
        <x:v>0</x:v>
      </x:c>
      <x:c r="J1680" s="29" t="n">
        <x:f>IF('Inputs'!$D$9="Ready",'Inputs'!E14,"n.a.")</x:f>
        <x:v>0</x:v>
      </x:c>
      <x:c r="K1680" s="26" t="n">
        <x:f>IF('Inputs'!$D$9="Ready",'Inputs'!F14,"n.a.")</x:f>
        <x:v>0</x:v>
      </x:c>
      <x:c r="L1680" s="29" t="n">
        <x:f>IF('Inputs'!$D$9="Ready",'Inputs'!G14,"n.a.")</x:f>
        <x:v>0</x:v>
      </x:c>
      <x:c r="M1680" s="22" t="n">
        <x:f>IF(COUNT(I1680:L1680)=4,ROUND(I1680*J1680/12,2),"n.a.")</x:f>
        <x:v>0</x:v>
      </x:c>
      <x:c r="N1680" s="22" t="n">
        <x:f>IF(COUNT(I1680:M1680)=5,MIN(I1680+M1680,ROUND(MAX(K1680,I1680*L1680+M1680),2)),"n.a.")</x:f>
        <x:v>0</x:v>
      </x:c>
      <x:c r="O1680" s="30" t="n">
        <x:f>IF(COUNT($I$1677:$I$1681)&lt;&gt;5,"n.a.",IF(I1680=0,6,IF('Inputs'!$D$5=1,COUNTIFS($I$1677:$I$1681,"&gt;0",$I$1677:$I$1681,"&lt;"&amp;I1680)+COUNTIFS($I$1677:I1680,I1680),COUNTIFS($I$1677:$I$1681,"&gt;0",$J$1677:$J$1681,"&gt;"&amp;J1680)+COUNTIFS($I$1677:I1680,"&gt;0",$J$1677:J1680,J1680))))</x:f>
        <x:v>6</x:v>
      </x:c>
      <x:c r="P1680" s="22" t="n">
        <x:f>IF(T1680="Ready",MIN(U1680,MAX(0,G1680-SUMIFS($U$1677:$U$1681,$O$1677:$O$1681,"&lt;"&amp;O1680))),"n.a.")</x:f>
        <x:v>0</x:v>
      </x:c>
      <x:c r="Q1680" s="22" t="n">
        <x:f>IF(T1680="Ready",ROUND(N1680+P1680,2),"n.a.")</x:f>
        <x:v>0</x:v>
      </x:c>
      <x:c r="R1680" s="22" t="n">
        <x:f>IF(T1680="Ready",ROUND(Q1680-M1680,2),"n.a.")</x:f>
        <x:v>0</x:v>
      </x:c>
      <x:c r="S1680" s="22" t="n">
        <x:f>IF(T1680="Ready",MAX(0,ROUND(I1680+M1680-Q1680,2)),"n.a.")</x:f>
        <x:v>0</x:v>
      </x:c>
      <x:c r="T1680" s="22" t="str">
        <x:f>IF(AND(COUNT($I$1677:$I$1681)=5,COUNT(E1680:F1680)=2),IF(E1680&gt;=F1680,"Ready","Budget below minima"),"Check inputs")</x:f>
        <x:v>Ready</x:v>
      </x:c>
      <x:c r="U1680" s="22" t="n">
        <x:f>IF(COUNT(I1680,M1680,N1680)=3,MAX(0,ROUND(I1680+M1680-N1680,2)),"n.a.")</x:f>
        <x:v>0</x:v>
      </x:c>
    </x:row>
    <x:row r="1681" ht="22" customHeight="1">
      <x:c r="A1681" s="2"/>
      <x:c r="B1681" s="2"/>
      <x:c r="C1681" s="27" t="n">
        <x:f>335</x:f>
        <x:v>335</x:v>
      </x:c>
      <x:c r="D1681" s="28" t="n">
        <x:f>IF(ISNUMBER('Inputs'!$D$7),EDATE('Inputs'!$D$7,334),"n.a.")</x:f>
        <x:v>56493</x:v>
      </x:c>
      <x:c r="E1681" s="26" t="n">
        <x:f>IF('Inputs'!$D$9&lt;&gt;"Ready","n.a.",IF(ISNUMBER('Inputs'!E353),IF('Inputs'!E353&gt;=0,'Inputs'!E353,"n.a."),IF('Inputs'!E353="",'Inputs'!$D$6,"n.a.")))</x:f>
        <x:v>500</x:v>
      </x:c>
      <x:c r="F1681" s="22" t="n">
        <x:f>IF(COUNT($N$1677:$N$1681)=5,SUM($N$1677:$N$1681),"n.a.")</x:f>
        <x:v>0</x:v>
      </x:c>
      <x:c r="G1681" s="22" t="n">
        <x:f>IF(COUNT(E1681:F1681)=2,MAX(0,E1681-F1681),"n.a.")</x:f>
        <x:v>500</x:v>
      </x:c>
      <x:c r="H1681" s="26" t="str">
        <x:f>'Inputs'!C15</x:f>
        <x:v>Unused 5</x:v>
      </x:c>
      <x:c r="I1681" s="26" t="n">
        <x:f>S1676</x:f>
        <x:v>0</x:v>
      </x:c>
      <x:c r="J1681" s="29" t="n">
        <x:f>IF('Inputs'!$D$9="Ready",'Inputs'!E15,"n.a.")</x:f>
        <x:v>0</x:v>
      </x:c>
      <x:c r="K1681" s="26" t="n">
        <x:f>IF('Inputs'!$D$9="Ready",'Inputs'!F15,"n.a.")</x:f>
        <x:v>0</x:v>
      </x:c>
      <x:c r="L1681" s="29" t="n">
        <x:f>IF('Inputs'!$D$9="Ready",'Inputs'!G15,"n.a.")</x:f>
        <x:v>0</x:v>
      </x:c>
      <x:c r="M1681" s="22" t="n">
        <x:f>IF(COUNT(I1681:L1681)=4,ROUND(I1681*J1681/12,2),"n.a.")</x:f>
        <x:v>0</x:v>
      </x:c>
      <x:c r="N1681" s="22" t="n">
        <x:f>IF(COUNT(I1681:M1681)=5,MIN(I1681+M1681,ROUND(MAX(K1681,I1681*L1681+M1681),2)),"n.a.")</x:f>
        <x:v>0</x:v>
      </x:c>
      <x:c r="O1681" s="30" t="n">
        <x:f>IF(COUNT($I$1677:$I$1681)&lt;&gt;5,"n.a.",IF(I1681=0,6,IF('Inputs'!$D$5=1,COUNTIFS($I$1677:$I$1681,"&gt;0",$I$1677:$I$1681,"&lt;"&amp;I1681)+COUNTIFS($I$1677:I1681,I1681),COUNTIFS($I$1677:$I$1681,"&gt;0",$J$1677:$J$1681,"&gt;"&amp;J1681)+COUNTIFS($I$1677:I1681,"&gt;0",$J$1677:J1681,J1681))))</x:f>
        <x:v>6</x:v>
      </x:c>
      <x:c r="P1681" s="22" t="n">
        <x:f>IF(T1681="Ready",MIN(U1681,MAX(0,G1681-SUMIFS($U$1677:$U$1681,$O$1677:$O$1681,"&lt;"&amp;O1681))),"n.a.")</x:f>
        <x:v>0</x:v>
      </x:c>
      <x:c r="Q1681" s="22" t="n">
        <x:f>IF(T1681="Ready",ROUND(N1681+P1681,2),"n.a.")</x:f>
        <x:v>0</x:v>
      </x:c>
      <x:c r="R1681" s="22" t="n">
        <x:f>IF(T1681="Ready",ROUND(Q1681-M1681,2),"n.a.")</x:f>
        <x:v>0</x:v>
      </x:c>
      <x:c r="S1681" s="22" t="n">
        <x:f>IF(T1681="Ready",MAX(0,ROUND(I1681+M1681-Q1681,2)),"n.a.")</x:f>
        <x:v>0</x:v>
      </x:c>
      <x:c r="T1681" s="22" t="str">
        <x:f>IF(AND(COUNT($I$1677:$I$1681)=5,COUNT(E1681:F1681)=2),IF(E1681&gt;=F1681,"Ready","Budget below minima"),"Check inputs")</x:f>
        <x:v>Ready</x:v>
      </x:c>
      <x:c r="U1681" s="22" t="n">
        <x:f>IF(COUNT(I1681,M1681,N1681)=3,MAX(0,ROUND(I1681+M1681-N1681,2)),"n.a.")</x:f>
        <x:v>0</x:v>
      </x:c>
    </x:row>
    <x:row r="1682" ht="22" customHeight="1">
      <x:c r="A1682" s="2"/>
      <x:c r="B1682" s="2"/>
      <x:c r="C1682" s="27" t="n">
        <x:f>336</x:f>
        <x:v>336</x:v>
      </x:c>
      <x:c r="D1682" s="28" t="n">
        <x:f>IF(ISNUMBER('Inputs'!$D$7),EDATE('Inputs'!$D$7,335),"n.a.")</x:f>
        <x:v>56523</x:v>
      </x:c>
      <x:c r="E1682" s="26" t="n">
        <x:f>IF('Inputs'!$D$9&lt;&gt;"Ready","n.a.",IF(ISNUMBER('Inputs'!E354),IF('Inputs'!E354&gt;=0,'Inputs'!E354,"n.a."),IF('Inputs'!E354="",'Inputs'!$D$6,"n.a.")))</x:f>
        <x:v>500</x:v>
      </x:c>
      <x:c r="F1682" s="22" t="n">
        <x:f>IF(COUNT($N$1682:$N$1686)=5,SUM($N$1682:$N$1686),"n.a.")</x:f>
        <x:v>0</x:v>
      </x:c>
      <x:c r="G1682" s="22" t="n">
        <x:f>IF(COUNT(E1682:F1682)=2,MAX(0,E1682-F1682),"n.a.")</x:f>
        <x:v>500</x:v>
      </x:c>
      <x:c r="H1682" s="26" t="str">
        <x:f>'Inputs'!C11</x:f>
        <x:v>Card A</x:v>
      </x:c>
      <x:c r="I1682" s="26" t="n">
        <x:f>S1677</x:f>
        <x:v>0</x:v>
      </x:c>
      <x:c r="J1682" s="29" t="n">
        <x:f>IF('Inputs'!$D$9="Ready",'Inputs'!E11,"n.a.")</x:f>
        <x:v>0.24</x:v>
      </x:c>
      <x:c r="K1682" s="26" t="n">
        <x:f>IF('Inputs'!$D$9="Ready",'Inputs'!F11,"n.a.")</x:f>
        <x:v>35</x:v>
      </x:c>
      <x:c r="L1682" s="29" t="n">
        <x:f>IF('Inputs'!$D$9="Ready",'Inputs'!G11,"n.a.")</x:f>
        <x:v>0.02</x:v>
      </x:c>
      <x:c r="M1682" s="22" t="n">
        <x:f>IF(COUNT(I1682:L1682)=4,ROUND(I1682*J1682/12,2),"n.a.")</x:f>
        <x:v>0</x:v>
      </x:c>
      <x:c r="N1682" s="22" t="n">
        <x:f>IF(COUNT(I1682:M1682)=5,MIN(I1682+M1682,ROUND(MAX(K1682,I1682*L1682+M1682),2)),"n.a.")</x:f>
        <x:v>0</x:v>
      </x:c>
      <x:c r="O1682" s="30" t="n">
        <x:f>IF(COUNT($I$1682:$I$1686)&lt;&gt;5,"n.a.",IF(I1682=0,6,IF('Inputs'!$D$5=1,COUNTIFS($I$1682:$I$1686,"&gt;0",$I$1682:$I$1686,"&lt;"&amp;I1682)+COUNTIFS($I$1682:I1682,I1682),COUNTIFS($I$1682:$I$1686,"&gt;0",$J$1682:$J$1686,"&gt;"&amp;J1682)+COUNTIFS($I$1682:I1682,"&gt;0",$J$1682:J1682,J1682))))</x:f>
        <x:v>6</x:v>
      </x:c>
      <x:c r="P1682" s="22" t="n">
        <x:f>IF(T1682="Ready",MIN(U1682,MAX(0,G1682-SUMIFS($U$1682:$U$1686,$O$1682:$O$1686,"&lt;"&amp;O1682))),"n.a.")</x:f>
        <x:v>0</x:v>
      </x:c>
      <x:c r="Q1682" s="22" t="n">
        <x:f>IF(T1682="Ready",ROUND(N1682+P1682,2),"n.a.")</x:f>
        <x:v>0</x:v>
      </x:c>
      <x:c r="R1682" s="22" t="n">
        <x:f>IF(T1682="Ready",ROUND(Q1682-M1682,2),"n.a.")</x:f>
        <x:v>0</x:v>
      </x:c>
      <x:c r="S1682" s="22" t="n">
        <x:f>IF(T1682="Ready",MAX(0,ROUND(I1682+M1682-Q1682,2)),"n.a.")</x:f>
        <x:v>0</x:v>
      </x:c>
      <x:c r="T1682" s="22" t="str">
        <x:f>IF(AND(COUNT($I$1682:$I$1686)=5,COUNT(E1682:F1682)=2),IF(E1682&gt;=F1682,"Ready","Budget below minima"),"Check inputs")</x:f>
        <x:v>Ready</x:v>
      </x:c>
      <x:c r="U1682" s="22" t="n">
        <x:f>IF(COUNT(I1682,M1682,N1682)=3,MAX(0,ROUND(I1682+M1682-N1682,2)),"n.a.")</x:f>
        <x:v>0</x:v>
      </x:c>
    </x:row>
    <x:row r="1683" ht="22" customHeight="1">
      <x:c r="A1683" s="2"/>
      <x:c r="B1683" s="2"/>
      <x:c r="C1683" s="27" t="n">
        <x:f>336</x:f>
        <x:v>336</x:v>
      </x:c>
      <x:c r="D1683" s="28" t="n">
        <x:f>IF(ISNUMBER('Inputs'!$D$7),EDATE('Inputs'!$D$7,335),"n.a.")</x:f>
        <x:v>56523</x:v>
      </x:c>
      <x:c r="E1683" s="26" t="n">
        <x:f>IF('Inputs'!$D$9&lt;&gt;"Ready","n.a.",IF(ISNUMBER('Inputs'!E354),IF('Inputs'!E354&gt;=0,'Inputs'!E354,"n.a."),IF('Inputs'!E354="",'Inputs'!$D$6,"n.a.")))</x:f>
        <x:v>500</x:v>
      </x:c>
      <x:c r="F1683" s="22" t="n">
        <x:f>IF(COUNT($N$1682:$N$1686)=5,SUM($N$1682:$N$1686),"n.a.")</x:f>
        <x:v>0</x:v>
      </x:c>
      <x:c r="G1683" s="22" t="n">
        <x:f>IF(COUNT(E1683:F1683)=2,MAX(0,E1683-F1683),"n.a.")</x:f>
        <x:v>500</x:v>
      </x:c>
      <x:c r="H1683" s="26" t="str">
        <x:f>'Inputs'!C12</x:f>
        <x:v>Card B</x:v>
      </x:c>
      <x:c r="I1683" s="26" t="n">
        <x:f>S1678</x:f>
        <x:v>0</x:v>
      </x:c>
      <x:c r="J1683" s="29" t="n">
        <x:f>IF('Inputs'!$D$9="Ready",'Inputs'!E12,"n.a.")</x:f>
        <x:v>0.18</x:v>
      </x:c>
      <x:c r="K1683" s="26" t="n">
        <x:f>IF('Inputs'!$D$9="Ready",'Inputs'!F12,"n.a.")</x:f>
        <x:v>60</x:v>
      </x:c>
      <x:c r="L1683" s="29" t="n">
        <x:f>IF('Inputs'!$D$9="Ready",'Inputs'!G12,"n.a.")</x:f>
        <x:v>0.02</x:v>
      </x:c>
      <x:c r="M1683" s="22" t="n">
        <x:f>IF(COUNT(I1683:L1683)=4,ROUND(I1683*J1683/12,2),"n.a.")</x:f>
        <x:v>0</x:v>
      </x:c>
      <x:c r="N1683" s="22" t="n">
        <x:f>IF(COUNT(I1683:M1683)=5,MIN(I1683+M1683,ROUND(MAX(K1683,I1683*L1683+M1683),2)),"n.a.")</x:f>
        <x:v>0</x:v>
      </x:c>
      <x:c r="O1683" s="30" t="n">
        <x:f>IF(COUNT($I$1682:$I$1686)&lt;&gt;5,"n.a.",IF(I1683=0,6,IF('Inputs'!$D$5=1,COUNTIFS($I$1682:$I$1686,"&gt;0",$I$1682:$I$1686,"&lt;"&amp;I1683)+COUNTIFS($I$1682:I1683,I1683),COUNTIFS($I$1682:$I$1686,"&gt;0",$J$1682:$J$1686,"&gt;"&amp;J1683)+COUNTIFS($I$1682:I1683,"&gt;0",$J$1682:J1683,J1683))))</x:f>
        <x:v>6</x:v>
      </x:c>
      <x:c r="P1683" s="22" t="n">
        <x:f>IF(T1683="Ready",MIN(U1683,MAX(0,G1683-SUMIFS($U$1682:$U$1686,$O$1682:$O$1686,"&lt;"&amp;O1683))),"n.a.")</x:f>
        <x:v>0</x:v>
      </x:c>
      <x:c r="Q1683" s="22" t="n">
        <x:f>IF(T1683="Ready",ROUND(N1683+P1683,2),"n.a.")</x:f>
        <x:v>0</x:v>
      </x:c>
      <x:c r="R1683" s="22" t="n">
        <x:f>IF(T1683="Ready",ROUND(Q1683-M1683,2),"n.a.")</x:f>
        <x:v>0</x:v>
      </x:c>
      <x:c r="S1683" s="22" t="n">
        <x:f>IF(T1683="Ready",MAX(0,ROUND(I1683+M1683-Q1683,2)),"n.a.")</x:f>
        <x:v>0</x:v>
      </x:c>
      <x:c r="T1683" s="22" t="str">
        <x:f>IF(AND(COUNT($I$1682:$I$1686)=5,COUNT(E1683:F1683)=2),IF(E1683&gt;=F1683,"Ready","Budget below minima"),"Check inputs")</x:f>
        <x:v>Ready</x:v>
      </x:c>
      <x:c r="U1683" s="22" t="n">
        <x:f>IF(COUNT(I1683,M1683,N1683)=3,MAX(0,ROUND(I1683+M1683-N1683,2)),"n.a.")</x:f>
        <x:v>0</x:v>
      </x:c>
    </x:row>
    <x:row r="1684" ht="22" customHeight="1">
      <x:c r="A1684" s="2"/>
      <x:c r="B1684" s="2"/>
      <x:c r="C1684" s="27" t="n">
        <x:f>336</x:f>
        <x:v>336</x:v>
      </x:c>
      <x:c r="D1684" s="28" t="n">
        <x:f>IF(ISNUMBER('Inputs'!$D$7),EDATE('Inputs'!$D$7,335),"n.a.")</x:f>
        <x:v>56523</x:v>
      </x:c>
      <x:c r="E1684" s="26" t="n">
        <x:f>IF('Inputs'!$D$9&lt;&gt;"Ready","n.a.",IF(ISNUMBER('Inputs'!E354),IF('Inputs'!E354&gt;=0,'Inputs'!E354,"n.a."),IF('Inputs'!E354="",'Inputs'!$D$6,"n.a.")))</x:f>
        <x:v>500</x:v>
      </x:c>
      <x:c r="F1684" s="22" t="n">
        <x:f>IF(COUNT($N$1682:$N$1686)=5,SUM($N$1682:$N$1686),"n.a.")</x:f>
        <x:v>0</x:v>
      </x:c>
      <x:c r="G1684" s="22" t="n">
        <x:f>IF(COUNT(E1684:F1684)=2,MAX(0,E1684-F1684),"n.a.")</x:f>
        <x:v>500</x:v>
      </x:c>
      <x:c r="H1684" s="26" t="str">
        <x:f>'Inputs'!C13</x:f>
        <x:v>Loan C</x:v>
      </x:c>
      <x:c r="I1684" s="26" t="n">
        <x:f>S1679</x:f>
        <x:v>0</x:v>
      </x:c>
      <x:c r="J1684" s="29" t="n">
        <x:f>IF('Inputs'!$D$9="Ready",'Inputs'!E13,"n.a.")</x:f>
        <x:v>0.08</x:v>
      </x:c>
      <x:c r="K1684" s="26" t="n">
        <x:f>IF('Inputs'!$D$9="Ready",'Inputs'!F13,"n.a.")</x:f>
        <x:v>150</x:v>
      </x:c>
      <x:c r="L1684" s="29" t="n">
        <x:f>IF('Inputs'!$D$9="Ready",'Inputs'!G13,"n.a.")</x:f>
        <x:v>0</x:v>
      </x:c>
      <x:c r="M1684" s="22" t="n">
        <x:f>IF(COUNT(I1684:L1684)=4,ROUND(I1684*J1684/12,2),"n.a.")</x:f>
        <x:v>0</x:v>
      </x:c>
      <x:c r="N1684" s="22" t="n">
        <x:f>IF(COUNT(I1684:M1684)=5,MIN(I1684+M1684,ROUND(MAX(K1684,I1684*L1684+M1684),2)),"n.a.")</x:f>
        <x:v>0</x:v>
      </x:c>
      <x:c r="O1684" s="30" t="n">
        <x:f>IF(COUNT($I$1682:$I$1686)&lt;&gt;5,"n.a.",IF(I1684=0,6,IF('Inputs'!$D$5=1,COUNTIFS($I$1682:$I$1686,"&gt;0",$I$1682:$I$1686,"&lt;"&amp;I1684)+COUNTIFS($I$1682:I1684,I1684),COUNTIFS($I$1682:$I$1686,"&gt;0",$J$1682:$J$1686,"&gt;"&amp;J1684)+COUNTIFS($I$1682:I1684,"&gt;0",$J$1682:J1684,J1684))))</x:f>
        <x:v>6</x:v>
      </x:c>
      <x:c r="P1684" s="22" t="n">
        <x:f>IF(T1684="Ready",MIN(U1684,MAX(0,G1684-SUMIFS($U$1682:$U$1686,$O$1682:$O$1686,"&lt;"&amp;O1684))),"n.a.")</x:f>
        <x:v>0</x:v>
      </x:c>
      <x:c r="Q1684" s="22" t="n">
        <x:f>IF(T1684="Ready",ROUND(N1684+P1684,2),"n.a.")</x:f>
        <x:v>0</x:v>
      </x:c>
      <x:c r="R1684" s="22" t="n">
        <x:f>IF(T1684="Ready",ROUND(Q1684-M1684,2),"n.a.")</x:f>
        <x:v>0</x:v>
      </x:c>
      <x:c r="S1684" s="22" t="n">
        <x:f>IF(T1684="Ready",MAX(0,ROUND(I1684+M1684-Q1684,2)),"n.a.")</x:f>
        <x:v>0</x:v>
      </x:c>
      <x:c r="T1684" s="22" t="str">
        <x:f>IF(AND(COUNT($I$1682:$I$1686)=5,COUNT(E1684:F1684)=2),IF(E1684&gt;=F1684,"Ready","Budget below minima"),"Check inputs")</x:f>
        <x:v>Ready</x:v>
      </x:c>
      <x:c r="U1684" s="22" t="n">
        <x:f>IF(COUNT(I1684,M1684,N1684)=3,MAX(0,ROUND(I1684+M1684-N1684,2)),"n.a.")</x:f>
        <x:v>0</x:v>
      </x:c>
    </x:row>
    <x:row r="1685" ht="22" customHeight="1">
      <x:c r="A1685" s="2"/>
      <x:c r="B1685" s="2"/>
      <x:c r="C1685" s="27" t="n">
        <x:f>336</x:f>
        <x:v>336</x:v>
      </x:c>
      <x:c r="D1685" s="28" t="n">
        <x:f>IF(ISNUMBER('Inputs'!$D$7),EDATE('Inputs'!$D$7,335),"n.a.")</x:f>
        <x:v>56523</x:v>
      </x:c>
      <x:c r="E1685" s="26" t="n">
        <x:f>IF('Inputs'!$D$9&lt;&gt;"Ready","n.a.",IF(ISNUMBER('Inputs'!E354),IF('Inputs'!E354&gt;=0,'Inputs'!E354,"n.a."),IF('Inputs'!E354="",'Inputs'!$D$6,"n.a.")))</x:f>
        <x:v>500</x:v>
      </x:c>
      <x:c r="F1685" s="22" t="n">
        <x:f>IF(COUNT($N$1682:$N$1686)=5,SUM($N$1682:$N$1686),"n.a.")</x:f>
        <x:v>0</x:v>
      </x:c>
      <x:c r="G1685" s="22" t="n">
        <x:f>IF(COUNT(E1685:F1685)=2,MAX(0,E1685-F1685),"n.a.")</x:f>
        <x:v>500</x:v>
      </x:c>
      <x:c r="H1685" s="26" t="str">
        <x:f>'Inputs'!C14</x:f>
        <x:v>Unused 4</x:v>
      </x:c>
      <x:c r="I1685" s="26" t="n">
        <x:f>S1680</x:f>
        <x:v>0</x:v>
      </x:c>
      <x:c r="J1685" s="29" t="n">
        <x:f>IF('Inputs'!$D$9="Ready",'Inputs'!E14,"n.a.")</x:f>
        <x:v>0</x:v>
      </x:c>
      <x:c r="K1685" s="26" t="n">
        <x:f>IF('Inputs'!$D$9="Ready",'Inputs'!F14,"n.a.")</x:f>
        <x:v>0</x:v>
      </x:c>
      <x:c r="L1685" s="29" t="n">
        <x:f>IF('Inputs'!$D$9="Ready",'Inputs'!G14,"n.a.")</x:f>
        <x:v>0</x:v>
      </x:c>
      <x:c r="M1685" s="22" t="n">
        <x:f>IF(COUNT(I1685:L1685)=4,ROUND(I1685*J1685/12,2),"n.a.")</x:f>
        <x:v>0</x:v>
      </x:c>
      <x:c r="N1685" s="22" t="n">
        <x:f>IF(COUNT(I1685:M1685)=5,MIN(I1685+M1685,ROUND(MAX(K1685,I1685*L1685+M1685),2)),"n.a.")</x:f>
        <x:v>0</x:v>
      </x:c>
      <x:c r="O1685" s="30" t="n">
        <x:f>IF(COUNT($I$1682:$I$1686)&lt;&gt;5,"n.a.",IF(I1685=0,6,IF('Inputs'!$D$5=1,COUNTIFS($I$1682:$I$1686,"&gt;0",$I$1682:$I$1686,"&lt;"&amp;I1685)+COUNTIFS($I$1682:I1685,I1685),COUNTIFS($I$1682:$I$1686,"&gt;0",$J$1682:$J$1686,"&gt;"&amp;J1685)+COUNTIFS($I$1682:I1685,"&gt;0",$J$1682:J1685,J1685))))</x:f>
        <x:v>6</x:v>
      </x:c>
      <x:c r="P1685" s="22" t="n">
        <x:f>IF(T1685="Ready",MIN(U1685,MAX(0,G1685-SUMIFS($U$1682:$U$1686,$O$1682:$O$1686,"&lt;"&amp;O1685))),"n.a.")</x:f>
        <x:v>0</x:v>
      </x:c>
      <x:c r="Q1685" s="22" t="n">
        <x:f>IF(T1685="Ready",ROUND(N1685+P1685,2),"n.a.")</x:f>
        <x:v>0</x:v>
      </x:c>
      <x:c r="R1685" s="22" t="n">
        <x:f>IF(T1685="Ready",ROUND(Q1685-M1685,2),"n.a.")</x:f>
        <x:v>0</x:v>
      </x:c>
      <x:c r="S1685" s="22" t="n">
        <x:f>IF(T1685="Ready",MAX(0,ROUND(I1685+M1685-Q1685,2)),"n.a.")</x:f>
        <x:v>0</x:v>
      </x:c>
      <x:c r="T1685" s="22" t="str">
        <x:f>IF(AND(COUNT($I$1682:$I$1686)=5,COUNT(E1685:F1685)=2),IF(E1685&gt;=F1685,"Ready","Budget below minima"),"Check inputs")</x:f>
        <x:v>Ready</x:v>
      </x:c>
      <x:c r="U1685" s="22" t="n">
        <x:f>IF(COUNT(I1685,M1685,N1685)=3,MAX(0,ROUND(I1685+M1685-N1685,2)),"n.a.")</x:f>
        <x:v>0</x:v>
      </x:c>
    </x:row>
    <x:row r="1686" ht="22" customHeight="1">
      <x:c r="A1686" s="2"/>
      <x:c r="B1686" s="2"/>
      <x:c r="C1686" s="27" t="n">
        <x:f>336</x:f>
        <x:v>336</x:v>
      </x:c>
      <x:c r="D1686" s="28" t="n">
        <x:f>IF(ISNUMBER('Inputs'!$D$7),EDATE('Inputs'!$D$7,335),"n.a.")</x:f>
        <x:v>56523</x:v>
      </x:c>
      <x:c r="E1686" s="26" t="n">
        <x:f>IF('Inputs'!$D$9&lt;&gt;"Ready","n.a.",IF(ISNUMBER('Inputs'!E354),IF('Inputs'!E354&gt;=0,'Inputs'!E354,"n.a."),IF('Inputs'!E354="",'Inputs'!$D$6,"n.a.")))</x:f>
        <x:v>500</x:v>
      </x:c>
      <x:c r="F1686" s="22" t="n">
        <x:f>IF(COUNT($N$1682:$N$1686)=5,SUM($N$1682:$N$1686),"n.a.")</x:f>
        <x:v>0</x:v>
      </x:c>
      <x:c r="G1686" s="22" t="n">
        <x:f>IF(COUNT(E1686:F1686)=2,MAX(0,E1686-F1686),"n.a.")</x:f>
        <x:v>500</x:v>
      </x:c>
      <x:c r="H1686" s="26" t="str">
        <x:f>'Inputs'!C15</x:f>
        <x:v>Unused 5</x:v>
      </x:c>
      <x:c r="I1686" s="26" t="n">
        <x:f>S1681</x:f>
        <x:v>0</x:v>
      </x:c>
      <x:c r="J1686" s="29" t="n">
        <x:f>IF('Inputs'!$D$9="Ready",'Inputs'!E15,"n.a.")</x:f>
        <x:v>0</x:v>
      </x:c>
      <x:c r="K1686" s="26" t="n">
        <x:f>IF('Inputs'!$D$9="Ready",'Inputs'!F15,"n.a.")</x:f>
        <x:v>0</x:v>
      </x:c>
      <x:c r="L1686" s="29" t="n">
        <x:f>IF('Inputs'!$D$9="Ready",'Inputs'!G15,"n.a.")</x:f>
        <x:v>0</x:v>
      </x:c>
      <x:c r="M1686" s="22" t="n">
        <x:f>IF(COUNT(I1686:L1686)=4,ROUND(I1686*J1686/12,2),"n.a.")</x:f>
        <x:v>0</x:v>
      </x:c>
      <x:c r="N1686" s="22" t="n">
        <x:f>IF(COUNT(I1686:M1686)=5,MIN(I1686+M1686,ROUND(MAX(K1686,I1686*L1686+M1686),2)),"n.a.")</x:f>
        <x:v>0</x:v>
      </x:c>
      <x:c r="O1686" s="30" t="n">
        <x:f>IF(COUNT($I$1682:$I$1686)&lt;&gt;5,"n.a.",IF(I1686=0,6,IF('Inputs'!$D$5=1,COUNTIFS($I$1682:$I$1686,"&gt;0",$I$1682:$I$1686,"&lt;"&amp;I1686)+COUNTIFS($I$1682:I1686,I1686),COUNTIFS($I$1682:$I$1686,"&gt;0",$J$1682:$J$1686,"&gt;"&amp;J1686)+COUNTIFS($I$1682:I1686,"&gt;0",$J$1682:J1686,J1686))))</x:f>
        <x:v>6</x:v>
      </x:c>
      <x:c r="P1686" s="22" t="n">
        <x:f>IF(T1686="Ready",MIN(U1686,MAX(0,G1686-SUMIFS($U$1682:$U$1686,$O$1682:$O$1686,"&lt;"&amp;O1686))),"n.a.")</x:f>
        <x:v>0</x:v>
      </x:c>
      <x:c r="Q1686" s="22" t="n">
        <x:f>IF(T1686="Ready",ROUND(N1686+P1686,2),"n.a.")</x:f>
        <x:v>0</x:v>
      </x:c>
      <x:c r="R1686" s="22" t="n">
        <x:f>IF(T1686="Ready",ROUND(Q1686-M1686,2),"n.a.")</x:f>
        <x:v>0</x:v>
      </x:c>
      <x:c r="S1686" s="22" t="n">
        <x:f>IF(T1686="Ready",MAX(0,ROUND(I1686+M1686-Q1686,2)),"n.a.")</x:f>
        <x:v>0</x:v>
      </x:c>
      <x:c r="T1686" s="22" t="str">
        <x:f>IF(AND(COUNT($I$1682:$I$1686)=5,COUNT(E1686:F1686)=2),IF(E1686&gt;=F1686,"Ready","Budget below minima"),"Check inputs")</x:f>
        <x:v>Ready</x:v>
      </x:c>
      <x:c r="U1686" s="22" t="n">
        <x:f>IF(COUNT(I1686,M1686,N1686)=3,MAX(0,ROUND(I1686+M1686-N1686,2)),"n.a.")</x:f>
        <x:v>0</x:v>
      </x:c>
    </x:row>
    <x:row r="1687" ht="22" customHeight="1">
      <x:c r="A1687" s="2"/>
      <x:c r="B1687" s="2"/>
      <x:c r="C1687" s="27" t="n">
        <x:f>337</x:f>
        <x:v>337</x:v>
      </x:c>
      <x:c r="D1687" s="28" t="n">
        <x:f>IF(ISNUMBER('Inputs'!$D$7),EDATE('Inputs'!$D$7,336),"n.a.")</x:f>
        <x:v>56554</x:v>
      </x:c>
      <x:c r="E1687" s="26" t="n">
        <x:f>IF('Inputs'!$D$9&lt;&gt;"Ready","n.a.",IF(ISNUMBER('Inputs'!E355),IF('Inputs'!E355&gt;=0,'Inputs'!E355,"n.a."),IF('Inputs'!E355="",'Inputs'!$D$6,"n.a.")))</x:f>
        <x:v>500</x:v>
      </x:c>
      <x:c r="F1687" s="22" t="n">
        <x:f>IF(COUNT($N$1687:$N$1691)=5,SUM($N$1687:$N$1691),"n.a.")</x:f>
        <x:v>0</x:v>
      </x:c>
      <x:c r="G1687" s="22" t="n">
        <x:f>IF(COUNT(E1687:F1687)=2,MAX(0,E1687-F1687),"n.a.")</x:f>
        <x:v>500</x:v>
      </x:c>
      <x:c r="H1687" s="26" t="str">
        <x:f>'Inputs'!C11</x:f>
        <x:v>Card A</x:v>
      </x:c>
      <x:c r="I1687" s="26" t="n">
        <x:f>S1682</x:f>
        <x:v>0</x:v>
      </x:c>
      <x:c r="J1687" s="29" t="n">
        <x:f>IF('Inputs'!$D$9="Ready",'Inputs'!E11,"n.a.")</x:f>
        <x:v>0.24</x:v>
      </x:c>
      <x:c r="K1687" s="26" t="n">
        <x:f>IF('Inputs'!$D$9="Ready",'Inputs'!F11,"n.a.")</x:f>
        <x:v>35</x:v>
      </x:c>
      <x:c r="L1687" s="29" t="n">
        <x:f>IF('Inputs'!$D$9="Ready",'Inputs'!G11,"n.a.")</x:f>
        <x:v>0.02</x:v>
      </x:c>
      <x:c r="M1687" s="22" t="n">
        <x:f>IF(COUNT(I1687:L1687)=4,ROUND(I1687*J1687/12,2),"n.a.")</x:f>
        <x:v>0</x:v>
      </x:c>
      <x:c r="N1687" s="22" t="n">
        <x:f>IF(COUNT(I1687:M1687)=5,MIN(I1687+M1687,ROUND(MAX(K1687,I1687*L1687+M1687),2)),"n.a.")</x:f>
        <x:v>0</x:v>
      </x:c>
      <x:c r="O1687" s="30" t="n">
        <x:f>IF(COUNT($I$1687:$I$1691)&lt;&gt;5,"n.a.",IF(I1687=0,6,IF('Inputs'!$D$5=1,COUNTIFS($I$1687:$I$1691,"&gt;0",$I$1687:$I$1691,"&lt;"&amp;I1687)+COUNTIFS($I$1687:I1687,I1687),COUNTIFS($I$1687:$I$1691,"&gt;0",$J$1687:$J$1691,"&gt;"&amp;J1687)+COUNTIFS($I$1687:I1687,"&gt;0",$J$1687:J1687,J1687))))</x:f>
        <x:v>6</x:v>
      </x:c>
      <x:c r="P1687" s="22" t="n">
        <x:f>IF(T1687="Ready",MIN(U1687,MAX(0,G1687-SUMIFS($U$1687:$U$1691,$O$1687:$O$1691,"&lt;"&amp;O1687))),"n.a.")</x:f>
        <x:v>0</x:v>
      </x:c>
      <x:c r="Q1687" s="22" t="n">
        <x:f>IF(T1687="Ready",ROUND(N1687+P1687,2),"n.a.")</x:f>
        <x:v>0</x:v>
      </x:c>
      <x:c r="R1687" s="22" t="n">
        <x:f>IF(T1687="Ready",ROUND(Q1687-M1687,2),"n.a.")</x:f>
        <x:v>0</x:v>
      </x:c>
      <x:c r="S1687" s="22" t="n">
        <x:f>IF(T1687="Ready",MAX(0,ROUND(I1687+M1687-Q1687,2)),"n.a.")</x:f>
        <x:v>0</x:v>
      </x:c>
      <x:c r="T1687" s="22" t="str">
        <x:f>IF(AND(COUNT($I$1687:$I$1691)=5,COUNT(E1687:F1687)=2),IF(E1687&gt;=F1687,"Ready","Budget below minima"),"Check inputs")</x:f>
        <x:v>Ready</x:v>
      </x:c>
      <x:c r="U1687" s="22" t="n">
        <x:f>IF(COUNT(I1687,M1687,N1687)=3,MAX(0,ROUND(I1687+M1687-N1687,2)),"n.a.")</x:f>
        <x:v>0</x:v>
      </x:c>
    </x:row>
    <x:row r="1688" ht="22" customHeight="1">
      <x:c r="A1688" s="2"/>
      <x:c r="B1688" s="2"/>
      <x:c r="C1688" s="27" t="n">
        <x:f>337</x:f>
        <x:v>337</x:v>
      </x:c>
      <x:c r="D1688" s="28" t="n">
        <x:f>IF(ISNUMBER('Inputs'!$D$7),EDATE('Inputs'!$D$7,336),"n.a.")</x:f>
        <x:v>56554</x:v>
      </x:c>
      <x:c r="E1688" s="26" t="n">
        <x:f>IF('Inputs'!$D$9&lt;&gt;"Ready","n.a.",IF(ISNUMBER('Inputs'!E355),IF('Inputs'!E355&gt;=0,'Inputs'!E355,"n.a."),IF('Inputs'!E355="",'Inputs'!$D$6,"n.a.")))</x:f>
        <x:v>500</x:v>
      </x:c>
      <x:c r="F1688" s="22" t="n">
        <x:f>IF(COUNT($N$1687:$N$1691)=5,SUM($N$1687:$N$1691),"n.a.")</x:f>
        <x:v>0</x:v>
      </x:c>
      <x:c r="G1688" s="22" t="n">
        <x:f>IF(COUNT(E1688:F1688)=2,MAX(0,E1688-F1688),"n.a.")</x:f>
        <x:v>500</x:v>
      </x:c>
      <x:c r="H1688" s="26" t="str">
        <x:f>'Inputs'!C12</x:f>
        <x:v>Card B</x:v>
      </x:c>
      <x:c r="I1688" s="26" t="n">
        <x:f>S1683</x:f>
        <x:v>0</x:v>
      </x:c>
      <x:c r="J1688" s="29" t="n">
        <x:f>IF('Inputs'!$D$9="Ready",'Inputs'!E12,"n.a.")</x:f>
        <x:v>0.18</x:v>
      </x:c>
      <x:c r="K1688" s="26" t="n">
        <x:f>IF('Inputs'!$D$9="Ready",'Inputs'!F12,"n.a.")</x:f>
        <x:v>60</x:v>
      </x:c>
      <x:c r="L1688" s="29" t="n">
        <x:f>IF('Inputs'!$D$9="Ready",'Inputs'!G12,"n.a.")</x:f>
        <x:v>0.02</x:v>
      </x:c>
      <x:c r="M1688" s="22" t="n">
        <x:f>IF(COUNT(I1688:L1688)=4,ROUND(I1688*J1688/12,2),"n.a.")</x:f>
        <x:v>0</x:v>
      </x:c>
      <x:c r="N1688" s="22" t="n">
        <x:f>IF(COUNT(I1688:M1688)=5,MIN(I1688+M1688,ROUND(MAX(K1688,I1688*L1688+M1688),2)),"n.a.")</x:f>
        <x:v>0</x:v>
      </x:c>
      <x:c r="O1688" s="30" t="n">
        <x:f>IF(COUNT($I$1687:$I$1691)&lt;&gt;5,"n.a.",IF(I1688=0,6,IF('Inputs'!$D$5=1,COUNTIFS($I$1687:$I$1691,"&gt;0",$I$1687:$I$1691,"&lt;"&amp;I1688)+COUNTIFS($I$1687:I1688,I1688),COUNTIFS($I$1687:$I$1691,"&gt;0",$J$1687:$J$1691,"&gt;"&amp;J1688)+COUNTIFS($I$1687:I1688,"&gt;0",$J$1687:J1688,J1688))))</x:f>
        <x:v>6</x:v>
      </x:c>
      <x:c r="P1688" s="22" t="n">
        <x:f>IF(T1688="Ready",MIN(U1688,MAX(0,G1688-SUMIFS($U$1687:$U$1691,$O$1687:$O$1691,"&lt;"&amp;O1688))),"n.a.")</x:f>
        <x:v>0</x:v>
      </x:c>
      <x:c r="Q1688" s="22" t="n">
        <x:f>IF(T1688="Ready",ROUND(N1688+P1688,2),"n.a.")</x:f>
        <x:v>0</x:v>
      </x:c>
      <x:c r="R1688" s="22" t="n">
        <x:f>IF(T1688="Ready",ROUND(Q1688-M1688,2),"n.a.")</x:f>
        <x:v>0</x:v>
      </x:c>
      <x:c r="S1688" s="22" t="n">
        <x:f>IF(T1688="Ready",MAX(0,ROUND(I1688+M1688-Q1688,2)),"n.a.")</x:f>
        <x:v>0</x:v>
      </x:c>
      <x:c r="T1688" s="22" t="str">
        <x:f>IF(AND(COUNT($I$1687:$I$1691)=5,COUNT(E1688:F1688)=2),IF(E1688&gt;=F1688,"Ready","Budget below minima"),"Check inputs")</x:f>
        <x:v>Ready</x:v>
      </x:c>
      <x:c r="U1688" s="22" t="n">
        <x:f>IF(COUNT(I1688,M1688,N1688)=3,MAX(0,ROUND(I1688+M1688-N1688,2)),"n.a.")</x:f>
        <x:v>0</x:v>
      </x:c>
    </x:row>
    <x:row r="1689" ht="22" customHeight="1">
      <x:c r="A1689" s="2"/>
      <x:c r="B1689" s="2"/>
      <x:c r="C1689" s="27" t="n">
        <x:f>337</x:f>
        <x:v>337</x:v>
      </x:c>
      <x:c r="D1689" s="28" t="n">
        <x:f>IF(ISNUMBER('Inputs'!$D$7),EDATE('Inputs'!$D$7,336),"n.a.")</x:f>
        <x:v>56554</x:v>
      </x:c>
      <x:c r="E1689" s="26" t="n">
        <x:f>IF('Inputs'!$D$9&lt;&gt;"Ready","n.a.",IF(ISNUMBER('Inputs'!E355),IF('Inputs'!E355&gt;=0,'Inputs'!E355,"n.a."),IF('Inputs'!E355="",'Inputs'!$D$6,"n.a.")))</x:f>
        <x:v>500</x:v>
      </x:c>
      <x:c r="F1689" s="22" t="n">
        <x:f>IF(COUNT($N$1687:$N$1691)=5,SUM($N$1687:$N$1691),"n.a.")</x:f>
        <x:v>0</x:v>
      </x:c>
      <x:c r="G1689" s="22" t="n">
        <x:f>IF(COUNT(E1689:F1689)=2,MAX(0,E1689-F1689),"n.a.")</x:f>
        <x:v>500</x:v>
      </x:c>
      <x:c r="H1689" s="26" t="str">
        <x:f>'Inputs'!C13</x:f>
        <x:v>Loan C</x:v>
      </x:c>
      <x:c r="I1689" s="26" t="n">
        <x:f>S1684</x:f>
        <x:v>0</x:v>
      </x:c>
      <x:c r="J1689" s="29" t="n">
        <x:f>IF('Inputs'!$D$9="Ready",'Inputs'!E13,"n.a.")</x:f>
        <x:v>0.08</x:v>
      </x:c>
      <x:c r="K1689" s="26" t="n">
        <x:f>IF('Inputs'!$D$9="Ready",'Inputs'!F13,"n.a.")</x:f>
        <x:v>150</x:v>
      </x:c>
      <x:c r="L1689" s="29" t="n">
        <x:f>IF('Inputs'!$D$9="Ready",'Inputs'!G13,"n.a.")</x:f>
        <x:v>0</x:v>
      </x:c>
      <x:c r="M1689" s="22" t="n">
        <x:f>IF(COUNT(I1689:L1689)=4,ROUND(I1689*J1689/12,2),"n.a.")</x:f>
        <x:v>0</x:v>
      </x:c>
      <x:c r="N1689" s="22" t="n">
        <x:f>IF(COUNT(I1689:M1689)=5,MIN(I1689+M1689,ROUND(MAX(K1689,I1689*L1689+M1689),2)),"n.a.")</x:f>
        <x:v>0</x:v>
      </x:c>
      <x:c r="O1689" s="30" t="n">
        <x:f>IF(COUNT($I$1687:$I$1691)&lt;&gt;5,"n.a.",IF(I1689=0,6,IF('Inputs'!$D$5=1,COUNTIFS($I$1687:$I$1691,"&gt;0",$I$1687:$I$1691,"&lt;"&amp;I1689)+COUNTIFS($I$1687:I1689,I1689),COUNTIFS($I$1687:$I$1691,"&gt;0",$J$1687:$J$1691,"&gt;"&amp;J1689)+COUNTIFS($I$1687:I1689,"&gt;0",$J$1687:J1689,J1689))))</x:f>
        <x:v>6</x:v>
      </x:c>
      <x:c r="P1689" s="22" t="n">
        <x:f>IF(T1689="Ready",MIN(U1689,MAX(0,G1689-SUMIFS($U$1687:$U$1691,$O$1687:$O$1691,"&lt;"&amp;O1689))),"n.a.")</x:f>
        <x:v>0</x:v>
      </x:c>
      <x:c r="Q1689" s="22" t="n">
        <x:f>IF(T1689="Ready",ROUND(N1689+P1689,2),"n.a.")</x:f>
        <x:v>0</x:v>
      </x:c>
      <x:c r="R1689" s="22" t="n">
        <x:f>IF(T1689="Ready",ROUND(Q1689-M1689,2),"n.a.")</x:f>
        <x:v>0</x:v>
      </x:c>
      <x:c r="S1689" s="22" t="n">
        <x:f>IF(T1689="Ready",MAX(0,ROUND(I1689+M1689-Q1689,2)),"n.a.")</x:f>
        <x:v>0</x:v>
      </x:c>
      <x:c r="T1689" s="22" t="str">
        <x:f>IF(AND(COUNT($I$1687:$I$1691)=5,COUNT(E1689:F1689)=2),IF(E1689&gt;=F1689,"Ready","Budget below minima"),"Check inputs")</x:f>
        <x:v>Ready</x:v>
      </x:c>
      <x:c r="U1689" s="22" t="n">
        <x:f>IF(COUNT(I1689,M1689,N1689)=3,MAX(0,ROUND(I1689+M1689-N1689,2)),"n.a.")</x:f>
        <x:v>0</x:v>
      </x:c>
    </x:row>
    <x:row r="1690" ht="22" customHeight="1">
      <x:c r="A1690" s="2"/>
      <x:c r="B1690" s="2"/>
      <x:c r="C1690" s="27" t="n">
        <x:f>337</x:f>
        <x:v>337</x:v>
      </x:c>
      <x:c r="D1690" s="28" t="n">
        <x:f>IF(ISNUMBER('Inputs'!$D$7),EDATE('Inputs'!$D$7,336),"n.a.")</x:f>
        <x:v>56554</x:v>
      </x:c>
      <x:c r="E1690" s="26" t="n">
        <x:f>IF('Inputs'!$D$9&lt;&gt;"Ready","n.a.",IF(ISNUMBER('Inputs'!E355),IF('Inputs'!E355&gt;=0,'Inputs'!E355,"n.a."),IF('Inputs'!E355="",'Inputs'!$D$6,"n.a.")))</x:f>
        <x:v>500</x:v>
      </x:c>
      <x:c r="F1690" s="22" t="n">
        <x:f>IF(COUNT($N$1687:$N$1691)=5,SUM($N$1687:$N$1691),"n.a.")</x:f>
        <x:v>0</x:v>
      </x:c>
      <x:c r="G1690" s="22" t="n">
        <x:f>IF(COUNT(E1690:F1690)=2,MAX(0,E1690-F1690),"n.a.")</x:f>
        <x:v>500</x:v>
      </x:c>
      <x:c r="H1690" s="26" t="str">
        <x:f>'Inputs'!C14</x:f>
        <x:v>Unused 4</x:v>
      </x:c>
      <x:c r="I1690" s="26" t="n">
        <x:f>S1685</x:f>
        <x:v>0</x:v>
      </x:c>
      <x:c r="J1690" s="29" t="n">
        <x:f>IF('Inputs'!$D$9="Ready",'Inputs'!E14,"n.a.")</x:f>
        <x:v>0</x:v>
      </x:c>
      <x:c r="K1690" s="26" t="n">
        <x:f>IF('Inputs'!$D$9="Ready",'Inputs'!F14,"n.a.")</x:f>
        <x:v>0</x:v>
      </x:c>
      <x:c r="L1690" s="29" t="n">
        <x:f>IF('Inputs'!$D$9="Ready",'Inputs'!G14,"n.a.")</x:f>
        <x:v>0</x:v>
      </x:c>
      <x:c r="M1690" s="22" t="n">
        <x:f>IF(COUNT(I1690:L1690)=4,ROUND(I1690*J1690/12,2),"n.a.")</x:f>
        <x:v>0</x:v>
      </x:c>
      <x:c r="N1690" s="22" t="n">
        <x:f>IF(COUNT(I1690:M1690)=5,MIN(I1690+M1690,ROUND(MAX(K1690,I1690*L1690+M1690),2)),"n.a.")</x:f>
        <x:v>0</x:v>
      </x:c>
      <x:c r="O1690" s="30" t="n">
        <x:f>IF(COUNT($I$1687:$I$1691)&lt;&gt;5,"n.a.",IF(I1690=0,6,IF('Inputs'!$D$5=1,COUNTIFS($I$1687:$I$1691,"&gt;0",$I$1687:$I$1691,"&lt;"&amp;I1690)+COUNTIFS($I$1687:I1690,I1690),COUNTIFS($I$1687:$I$1691,"&gt;0",$J$1687:$J$1691,"&gt;"&amp;J1690)+COUNTIFS($I$1687:I1690,"&gt;0",$J$1687:J1690,J1690))))</x:f>
        <x:v>6</x:v>
      </x:c>
      <x:c r="P1690" s="22" t="n">
        <x:f>IF(T1690="Ready",MIN(U1690,MAX(0,G1690-SUMIFS($U$1687:$U$1691,$O$1687:$O$1691,"&lt;"&amp;O1690))),"n.a.")</x:f>
        <x:v>0</x:v>
      </x:c>
      <x:c r="Q1690" s="22" t="n">
        <x:f>IF(T1690="Ready",ROUND(N1690+P1690,2),"n.a.")</x:f>
        <x:v>0</x:v>
      </x:c>
      <x:c r="R1690" s="22" t="n">
        <x:f>IF(T1690="Ready",ROUND(Q1690-M1690,2),"n.a.")</x:f>
        <x:v>0</x:v>
      </x:c>
      <x:c r="S1690" s="22" t="n">
        <x:f>IF(T1690="Ready",MAX(0,ROUND(I1690+M1690-Q1690,2)),"n.a.")</x:f>
        <x:v>0</x:v>
      </x:c>
      <x:c r="T1690" s="22" t="str">
        <x:f>IF(AND(COUNT($I$1687:$I$1691)=5,COUNT(E1690:F1690)=2),IF(E1690&gt;=F1690,"Ready","Budget below minima"),"Check inputs")</x:f>
        <x:v>Ready</x:v>
      </x:c>
      <x:c r="U1690" s="22" t="n">
        <x:f>IF(COUNT(I1690,M1690,N1690)=3,MAX(0,ROUND(I1690+M1690-N1690,2)),"n.a.")</x:f>
        <x:v>0</x:v>
      </x:c>
    </x:row>
    <x:row r="1691" ht="22" customHeight="1">
      <x:c r="A1691" s="2"/>
      <x:c r="B1691" s="2"/>
      <x:c r="C1691" s="27" t="n">
        <x:f>337</x:f>
        <x:v>337</x:v>
      </x:c>
      <x:c r="D1691" s="28" t="n">
        <x:f>IF(ISNUMBER('Inputs'!$D$7),EDATE('Inputs'!$D$7,336),"n.a.")</x:f>
        <x:v>56554</x:v>
      </x:c>
      <x:c r="E1691" s="26" t="n">
        <x:f>IF('Inputs'!$D$9&lt;&gt;"Ready","n.a.",IF(ISNUMBER('Inputs'!E355),IF('Inputs'!E355&gt;=0,'Inputs'!E355,"n.a."),IF('Inputs'!E355="",'Inputs'!$D$6,"n.a.")))</x:f>
        <x:v>500</x:v>
      </x:c>
      <x:c r="F1691" s="22" t="n">
        <x:f>IF(COUNT($N$1687:$N$1691)=5,SUM($N$1687:$N$1691),"n.a.")</x:f>
        <x:v>0</x:v>
      </x:c>
      <x:c r="G1691" s="22" t="n">
        <x:f>IF(COUNT(E1691:F1691)=2,MAX(0,E1691-F1691),"n.a.")</x:f>
        <x:v>500</x:v>
      </x:c>
      <x:c r="H1691" s="26" t="str">
        <x:f>'Inputs'!C15</x:f>
        <x:v>Unused 5</x:v>
      </x:c>
      <x:c r="I1691" s="26" t="n">
        <x:f>S1686</x:f>
        <x:v>0</x:v>
      </x:c>
      <x:c r="J1691" s="29" t="n">
        <x:f>IF('Inputs'!$D$9="Ready",'Inputs'!E15,"n.a.")</x:f>
        <x:v>0</x:v>
      </x:c>
      <x:c r="K1691" s="26" t="n">
        <x:f>IF('Inputs'!$D$9="Ready",'Inputs'!F15,"n.a.")</x:f>
        <x:v>0</x:v>
      </x:c>
      <x:c r="L1691" s="29" t="n">
        <x:f>IF('Inputs'!$D$9="Ready",'Inputs'!G15,"n.a.")</x:f>
        <x:v>0</x:v>
      </x:c>
      <x:c r="M1691" s="22" t="n">
        <x:f>IF(COUNT(I1691:L1691)=4,ROUND(I1691*J1691/12,2),"n.a.")</x:f>
        <x:v>0</x:v>
      </x:c>
      <x:c r="N1691" s="22" t="n">
        <x:f>IF(COUNT(I1691:M1691)=5,MIN(I1691+M1691,ROUND(MAX(K1691,I1691*L1691+M1691),2)),"n.a.")</x:f>
        <x:v>0</x:v>
      </x:c>
      <x:c r="O1691" s="30" t="n">
        <x:f>IF(COUNT($I$1687:$I$1691)&lt;&gt;5,"n.a.",IF(I1691=0,6,IF('Inputs'!$D$5=1,COUNTIFS($I$1687:$I$1691,"&gt;0",$I$1687:$I$1691,"&lt;"&amp;I1691)+COUNTIFS($I$1687:I1691,I1691),COUNTIFS($I$1687:$I$1691,"&gt;0",$J$1687:$J$1691,"&gt;"&amp;J1691)+COUNTIFS($I$1687:I1691,"&gt;0",$J$1687:J1691,J1691))))</x:f>
        <x:v>6</x:v>
      </x:c>
      <x:c r="P1691" s="22" t="n">
        <x:f>IF(T1691="Ready",MIN(U1691,MAX(0,G1691-SUMIFS($U$1687:$U$1691,$O$1687:$O$1691,"&lt;"&amp;O1691))),"n.a.")</x:f>
        <x:v>0</x:v>
      </x:c>
      <x:c r="Q1691" s="22" t="n">
        <x:f>IF(T1691="Ready",ROUND(N1691+P1691,2),"n.a.")</x:f>
        <x:v>0</x:v>
      </x:c>
      <x:c r="R1691" s="22" t="n">
        <x:f>IF(T1691="Ready",ROUND(Q1691-M1691,2),"n.a.")</x:f>
        <x:v>0</x:v>
      </x:c>
      <x:c r="S1691" s="22" t="n">
        <x:f>IF(T1691="Ready",MAX(0,ROUND(I1691+M1691-Q1691,2)),"n.a.")</x:f>
        <x:v>0</x:v>
      </x:c>
      <x:c r="T1691" s="22" t="str">
        <x:f>IF(AND(COUNT($I$1687:$I$1691)=5,COUNT(E1691:F1691)=2),IF(E1691&gt;=F1691,"Ready","Budget below minima"),"Check inputs")</x:f>
        <x:v>Ready</x:v>
      </x:c>
      <x:c r="U1691" s="22" t="n">
        <x:f>IF(COUNT(I1691,M1691,N1691)=3,MAX(0,ROUND(I1691+M1691-N1691,2)),"n.a.")</x:f>
        <x:v>0</x:v>
      </x:c>
    </x:row>
    <x:row r="1692" ht="22" customHeight="1">
      <x:c r="A1692" s="2"/>
      <x:c r="B1692" s="2"/>
      <x:c r="C1692" s="27" t="n">
        <x:f>338</x:f>
        <x:v>338</x:v>
      </x:c>
      <x:c r="D1692" s="28" t="n">
        <x:f>IF(ISNUMBER('Inputs'!$D$7),EDATE('Inputs'!$D$7,337),"n.a.")</x:f>
        <x:v>56584</x:v>
      </x:c>
      <x:c r="E1692" s="26" t="n">
        <x:f>IF('Inputs'!$D$9&lt;&gt;"Ready","n.a.",IF(ISNUMBER('Inputs'!E356),IF('Inputs'!E356&gt;=0,'Inputs'!E356,"n.a."),IF('Inputs'!E356="",'Inputs'!$D$6,"n.a.")))</x:f>
        <x:v>500</x:v>
      </x:c>
      <x:c r="F1692" s="22" t="n">
        <x:f>IF(COUNT($N$1692:$N$1696)=5,SUM($N$1692:$N$1696),"n.a.")</x:f>
        <x:v>0</x:v>
      </x:c>
      <x:c r="G1692" s="22" t="n">
        <x:f>IF(COUNT(E1692:F1692)=2,MAX(0,E1692-F1692),"n.a.")</x:f>
        <x:v>500</x:v>
      </x:c>
      <x:c r="H1692" s="26" t="str">
        <x:f>'Inputs'!C11</x:f>
        <x:v>Card A</x:v>
      </x:c>
      <x:c r="I1692" s="26" t="n">
        <x:f>S1687</x:f>
        <x:v>0</x:v>
      </x:c>
      <x:c r="J1692" s="29" t="n">
        <x:f>IF('Inputs'!$D$9="Ready",'Inputs'!E11,"n.a.")</x:f>
        <x:v>0.24</x:v>
      </x:c>
      <x:c r="K1692" s="26" t="n">
        <x:f>IF('Inputs'!$D$9="Ready",'Inputs'!F11,"n.a.")</x:f>
        <x:v>35</x:v>
      </x:c>
      <x:c r="L1692" s="29" t="n">
        <x:f>IF('Inputs'!$D$9="Ready",'Inputs'!G11,"n.a.")</x:f>
        <x:v>0.02</x:v>
      </x:c>
      <x:c r="M1692" s="22" t="n">
        <x:f>IF(COUNT(I1692:L1692)=4,ROUND(I1692*J1692/12,2),"n.a.")</x:f>
        <x:v>0</x:v>
      </x:c>
      <x:c r="N1692" s="22" t="n">
        <x:f>IF(COUNT(I1692:M1692)=5,MIN(I1692+M1692,ROUND(MAX(K1692,I1692*L1692+M1692),2)),"n.a.")</x:f>
        <x:v>0</x:v>
      </x:c>
      <x:c r="O1692" s="30" t="n">
        <x:f>IF(COUNT($I$1692:$I$1696)&lt;&gt;5,"n.a.",IF(I1692=0,6,IF('Inputs'!$D$5=1,COUNTIFS($I$1692:$I$1696,"&gt;0",$I$1692:$I$1696,"&lt;"&amp;I1692)+COUNTIFS($I$1692:I1692,I1692),COUNTIFS($I$1692:$I$1696,"&gt;0",$J$1692:$J$1696,"&gt;"&amp;J1692)+COUNTIFS($I$1692:I1692,"&gt;0",$J$1692:J1692,J1692))))</x:f>
        <x:v>6</x:v>
      </x:c>
      <x:c r="P1692" s="22" t="n">
        <x:f>IF(T1692="Ready",MIN(U1692,MAX(0,G1692-SUMIFS($U$1692:$U$1696,$O$1692:$O$1696,"&lt;"&amp;O1692))),"n.a.")</x:f>
        <x:v>0</x:v>
      </x:c>
      <x:c r="Q1692" s="22" t="n">
        <x:f>IF(T1692="Ready",ROUND(N1692+P1692,2),"n.a.")</x:f>
        <x:v>0</x:v>
      </x:c>
      <x:c r="R1692" s="22" t="n">
        <x:f>IF(T1692="Ready",ROUND(Q1692-M1692,2),"n.a.")</x:f>
        <x:v>0</x:v>
      </x:c>
      <x:c r="S1692" s="22" t="n">
        <x:f>IF(T1692="Ready",MAX(0,ROUND(I1692+M1692-Q1692,2)),"n.a.")</x:f>
        <x:v>0</x:v>
      </x:c>
      <x:c r="T1692" s="22" t="str">
        <x:f>IF(AND(COUNT($I$1692:$I$1696)=5,COUNT(E1692:F1692)=2),IF(E1692&gt;=F1692,"Ready","Budget below minima"),"Check inputs")</x:f>
        <x:v>Ready</x:v>
      </x:c>
      <x:c r="U1692" s="22" t="n">
        <x:f>IF(COUNT(I1692,M1692,N1692)=3,MAX(0,ROUND(I1692+M1692-N1692,2)),"n.a.")</x:f>
        <x:v>0</x:v>
      </x:c>
    </x:row>
    <x:row r="1693" ht="22" customHeight="1">
      <x:c r="A1693" s="2"/>
      <x:c r="B1693" s="2"/>
      <x:c r="C1693" s="27" t="n">
        <x:f>338</x:f>
        <x:v>338</x:v>
      </x:c>
      <x:c r="D1693" s="28" t="n">
        <x:f>IF(ISNUMBER('Inputs'!$D$7),EDATE('Inputs'!$D$7,337),"n.a.")</x:f>
        <x:v>56584</x:v>
      </x:c>
      <x:c r="E1693" s="26" t="n">
        <x:f>IF('Inputs'!$D$9&lt;&gt;"Ready","n.a.",IF(ISNUMBER('Inputs'!E356),IF('Inputs'!E356&gt;=0,'Inputs'!E356,"n.a."),IF('Inputs'!E356="",'Inputs'!$D$6,"n.a.")))</x:f>
        <x:v>500</x:v>
      </x:c>
      <x:c r="F1693" s="22" t="n">
        <x:f>IF(COUNT($N$1692:$N$1696)=5,SUM($N$1692:$N$1696),"n.a.")</x:f>
        <x:v>0</x:v>
      </x:c>
      <x:c r="G1693" s="22" t="n">
        <x:f>IF(COUNT(E1693:F1693)=2,MAX(0,E1693-F1693),"n.a.")</x:f>
        <x:v>500</x:v>
      </x:c>
      <x:c r="H1693" s="26" t="str">
        <x:f>'Inputs'!C12</x:f>
        <x:v>Card B</x:v>
      </x:c>
      <x:c r="I1693" s="26" t="n">
        <x:f>S1688</x:f>
        <x:v>0</x:v>
      </x:c>
      <x:c r="J1693" s="29" t="n">
        <x:f>IF('Inputs'!$D$9="Ready",'Inputs'!E12,"n.a.")</x:f>
        <x:v>0.18</x:v>
      </x:c>
      <x:c r="K1693" s="26" t="n">
        <x:f>IF('Inputs'!$D$9="Ready",'Inputs'!F12,"n.a.")</x:f>
        <x:v>60</x:v>
      </x:c>
      <x:c r="L1693" s="29" t="n">
        <x:f>IF('Inputs'!$D$9="Ready",'Inputs'!G12,"n.a.")</x:f>
        <x:v>0.02</x:v>
      </x:c>
      <x:c r="M1693" s="22" t="n">
        <x:f>IF(COUNT(I1693:L1693)=4,ROUND(I1693*J1693/12,2),"n.a.")</x:f>
        <x:v>0</x:v>
      </x:c>
      <x:c r="N1693" s="22" t="n">
        <x:f>IF(COUNT(I1693:M1693)=5,MIN(I1693+M1693,ROUND(MAX(K1693,I1693*L1693+M1693),2)),"n.a.")</x:f>
        <x:v>0</x:v>
      </x:c>
      <x:c r="O1693" s="30" t="n">
        <x:f>IF(COUNT($I$1692:$I$1696)&lt;&gt;5,"n.a.",IF(I1693=0,6,IF('Inputs'!$D$5=1,COUNTIFS($I$1692:$I$1696,"&gt;0",$I$1692:$I$1696,"&lt;"&amp;I1693)+COUNTIFS($I$1692:I1693,I1693),COUNTIFS($I$1692:$I$1696,"&gt;0",$J$1692:$J$1696,"&gt;"&amp;J1693)+COUNTIFS($I$1692:I1693,"&gt;0",$J$1692:J1693,J1693))))</x:f>
        <x:v>6</x:v>
      </x:c>
      <x:c r="P1693" s="22" t="n">
        <x:f>IF(T1693="Ready",MIN(U1693,MAX(0,G1693-SUMIFS($U$1692:$U$1696,$O$1692:$O$1696,"&lt;"&amp;O1693))),"n.a.")</x:f>
        <x:v>0</x:v>
      </x:c>
      <x:c r="Q1693" s="22" t="n">
        <x:f>IF(T1693="Ready",ROUND(N1693+P1693,2),"n.a.")</x:f>
        <x:v>0</x:v>
      </x:c>
      <x:c r="R1693" s="22" t="n">
        <x:f>IF(T1693="Ready",ROUND(Q1693-M1693,2),"n.a.")</x:f>
        <x:v>0</x:v>
      </x:c>
      <x:c r="S1693" s="22" t="n">
        <x:f>IF(T1693="Ready",MAX(0,ROUND(I1693+M1693-Q1693,2)),"n.a.")</x:f>
        <x:v>0</x:v>
      </x:c>
      <x:c r="T1693" s="22" t="str">
        <x:f>IF(AND(COUNT($I$1692:$I$1696)=5,COUNT(E1693:F1693)=2),IF(E1693&gt;=F1693,"Ready","Budget below minima"),"Check inputs")</x:f>
        <x:v>Ready</x:v>
      </x:c>
      <x:c r="U1693" s="22" t="n">
        <x:f>IF(COUNT(I1693,M1693,N1693)=3,MAX(0,ROUND(I1693+M1693-N1693,2)),"n.a.")</x:f>
        <x:v>0</x:v>
      </x:c>
    </x:row>
    <x:row r="1694" ht="22" customHeight="1">
      <x:c r="A1694" s="2"/>
      <x:c r="B1694" s="2"/>
      <x:c r="C1694" s="27" t="n">
        <x:f>338</x:f>
        <x:v>338</x:v>
      </x:c>
      <x:c r="D1694" s="28" t="n">
        <x:f>IF(ISNUMBER('Inputs'!$D$7),EDATE('Inputs'!$D$7,337),"n.a.")</x:f>
        <x:v>56584</x:v>
      </x:c>
      <x:c r="E1694" s="26" t="n">
        <x:f>IF('Inputs'!$D$9&lt;&gt;"Ready","n.a.",IF(ISNUMBER('Inputs'!E356),IF('Inputs'!E356&gt;=0,'Inputs'!E356,"n.a."),IF('Inputs'!E356="",'Inputs'!$D$6,"n.a.")))</x:f>
        <x:v>500</x:v>
      </x:c>
      <x:c r="F1694" s="22" t="n">
        <x:f>IF(COUNT($N$1692:$N$1696)=5,SUM($N$1692:$N$1696),"n.a.")</x:f>
        <x:v>0</x:v>
      </x:c>
      <x:c r="G1694" s="22" t="n">
        <x:f>IF(COUNT(E1694:F1694)=2,MAX(0,E1694-F1694),"n.a.")</x:f>
        <x:v>500</x:v>
      </x:c>
      <x:c r="H1694" s="26" t="str">
        <x:f>'Inputs'!C13</x:f>
        <x:v>Loan C</x:v>
      </x:c>
      <x:c r="I1694" s="26" t="n">
        <x:f>S1689</x:f>
        <x:v>0</x:v>
      </x:c>
      <x:c r="J1694" s="29" t="n">
        <x:f>IF('Inputs'!$D$9="Ready",'Inputs'!E13,"n.a.")</x:f>
        <x:v>0.08</x:v>
      </x:c>
      <x:c r="K1694" s="26" t="n">
        <x:f>IF('Inputs'!$D$9="Ready",'Inputs'!F13,"n.a.")</x:f>
        <x:v>150</x:v>
      </x:c>
      <x:c r="L1694" s="29" t="n">
        <x:f>IF('Inputs'!$D$9="Ready",'Inputs'!G13,"n.a.")</x:f>
        <x:v>0</x:v>
      </x:c>
      <x:c r="M1694" s="22" t="n">
        <x:f>IF(COUNT(I1694:L1694)=4,ROUND(I1694*J1694/12,2),"n.a.")</x:f>
        <x:v>0</x:v>
      </x:c>
      <x:c r="N1694" s="22" t="n">
        <x:f>IF(COUNT(I1694:M1694)=5,MIN(I1694+M1694,ROUND(MAX(K1694,I1694*L1694+M1694),2)),"n.a.")</x:f>
        <x:v>0</x:v>
      </x:c>
      <x:c r="O1694" s="30" t="n">
        <x:f>IF(COUNT($I$1692:$I$1696)&lt;&gt;5,"n.a.",IF(I1694=0,6,IF('Inputs'!$D$5=1,COUNTIFS($I$1692:$I$1696,"&gt;0",$I$1692:$I$1696,"&lt;"&amp;I1694)+COUNTIFS($I$1692:I1694,I1694),COUNTIFS($I$1692:$I$1696,"&gt;0",$J$1692:$J$1696,"&gt;"&amp;J1694)+COUNTIFS($I$1692:I1694,"&gt;0",$J$1692:J1694,J1694))))</x:f>
        <x:v>6</x:v>
      </x:c>
      <x:c r="P1694" s="22" t="n">
        <x:f>IF(T1694="Ready",MIN(U1694,MAX(0,G1694-SUMIFS($U$1692:$U$1696,$O$1692:$O$1696,"&lt;"&amp;O1694))),"n.a.")</x:f>
        <x:v>0</x:v>
      </x:c>
      <x:c r="Q1694" s="22" t="n">
        <x:f>IF(T1694="Ready",ROUND(N1694+P1694,2),"n.a.")</x:f>
        <x:v>0</x:v>
      </x:c>
      <x:c r="R1694" s="22" t="n">
        <x:f>IF(T1694="Ready",ROUND(Q1694-M1694,2),"n.a.")</x:f>
        <x:v>0</x:v>
      </x:c>
      <x:c r="S1694" s="22" t="n">
        <x:f>IF(T1694="Ready",MAX(0,ROUND(I1694+M1694-Q1694,2)),"n.a.")</x:f>
        <x:v>0</x:v>
      </x:c>
      <x:c r="T1694" s="22" t="str">
        <x:f>IF(AND(COUNT($I$1692:$I$1696)=5,COUNT(E1694:F1694)=2),IF(E1694&gt;=F1694,"Ready","Budget below minima"),"Check inputs")</x:f>
        <x:v>Ready</x:v>
      </x:c>
      <x:c r="U1694" s="22" t="n">
        <x:f>IF(COUNT(I1694,M1694,N1694)=3,MAX(0,ROUND(I1694+M1694-N1694,2)),"n.a.")</x:f>
        <x:v>0</x:v>
      </x:c>
    </x:row>
    <x:row r="1695" ht="22" customHeight="1">
      <x:c r="A1695" s="2"/>
      <x:c r="B1695" s="2"/>
      <x:c r="C1695" s="27" t="n">
        <x:f>338</x:f>
        <x:v>338</x:v>
      </x:c>
      <x:c r="D1695" s="28" t="n">
        <x:f>IF(ISNUMBER('Inputs'!$D$7),EDATE('Inputs'!$D$7,337),"n.a.")</x:f>
        <x:v>56584</x:v>
      </x:c>
      <x:c r="E1695" s="26" t="n">
        <x:f>IF('Inputs'!$D$9&lt;&gt;"Ready","n.a.",IF(ISNUMBER('Inputs'!E356),IF('Inputs'!E356&gt;=0,'Inputs'!E356,"n.a."),IF('Inputs'!E356="",'Inputs'!$D$6,"n.a.")))</x:f>
        <x:v>500</x:v>
      </x:c>
      <x:c r="F1695" s="22" t="n">
        <x:f>IF(COUNT($N$1692:$N$1696)=5,SUM($N$1692:$N$1696),"n.a.")</x:f>
        <x:v>0</x:v>
      </x:c>
      <x:c r="G1695" s="22" t="n">
        <x:f>IF(COUNT(E1695:F1695)=2,MAX(0,E1695-F1695),"n.a.")</x:f>
        <x:v>500</x:v>
      </x:c>
      <x:c r="H1695" s="26" t="str">
        <x:f>'Inputs'!C14</x:f>
        <x:v>Unused 4</x:v>
      </x:c>
      <x:c r="I1695" s="26" t="n">
        <x:f>S1690</x:f>
        <x:v>0</x:v>
      </x:c>
      <x:c r="J1695" s="29" t="n">
        <x:f>IF('Inputs'!$D$9="Ready",'Inputs'!E14,"n.a.")</x:f>
        <x:v>0</x:v>
      </x:c>
      <x:c r="K1695" s="26" t="n">
        <x:f>IF('Inputs'!$D$9="Ready",'Inputs'!F14,"n.a.")</x:f>
        <x:v>0</x:v>
      </x:c>
      <x:c r="L1695" s="29" t="n">
        <x:f>IF('Inputs'!$D$9="Ready",'Inputs'!G14,"n.a.")</x:f>
        <x:v>0</x:v>
      </x:c>
      <x:c r="M1695" s="22" t="n">
        <x:f>IF(COUNT(I1695:L1695)=4,ROUND(I1695*J1695/12,2),"n.a.")</x:f>
        <x:v>0</x:v>
      </x:c>
      <x:c r="N1695" s="22" t="n">
        <x:f>IF(COUNT(I1695:M1695)=5,MIN(I1695+M1695,ROUND(MAX(K1695,I1695*L1695+M1695),2)),"n.a.")</x:f>
        <x:v>0</x:v>
      </x:c>
      <x:c r="O1695" s="30" t="n">
        <x:f>IF(COUNT($I$1692:$I$1696)&lt;&gt;5,"n.a.",IF(I1695=0,6,IF('Inputs'!$D$5=1,COUNTIFS($I$1692:$I$1696,"&gt;0",$I$1692:$I$1696,"&lt;"&amp;I1695)+COUNTIFS($I$1692:I1695,I1695),COUNTIFS($I$1692:$I$1696,"&gt;0",$J$1692:$J$1696,"&gt;"&amp;J1695)+COUNTIFS($I$1692:I1695,"&gt;0",$J$1692:J1695,J1695))))</x:f>
        <x:v>6</x:v>
      </x:c>
      <x:c r="P1695" s="22" t="n">
        <x:f>IF(T1695="Ready",MIN(U1695,MAX(0,G1695-SUMIFS($U$1692:$U$1696,$O$1692:$O$1696,"&lt;"&amp;O1695))),"n.a.")</x:f>
        <x:v>0</x:v>
      </x:c>
      <x:c r="Q1695" s="22" t="n">
        <x:f>IF(T1695="Ready",ROUND(N1695+P1695,2),"n.a.")</x:f>
        <x:v>0</x:v>
      </x:c>
      <x:c r="R1695" s="22" t="n">
        <x:f>IF(T1695="Ready",ROUND(Q1695-M1695,2),"n.a.")</x:f>
        <x:v>0</x:v>
      </x:c>
      <x:c r="S1695" s="22" t="n">
        <x:f>IF(T1695="Ready",MAX(0,ROUND(I1695+M1695-Q1695,2)),"n.a.")</x:f>
        <x:v>0</x:v>
      </x:c>
      <x:c r="T1695" s="22" t="str">
        <x:f>IF(AND(COUNT($I$1692:$I$1696)=5,COUNT(E1695:F1695)=2),IF(E1695&gt;=F1695,"Ready","Budget below minima"),"Check inputs")</x:f>
        <x:v>Ready</x:v>
      </x:c>
      <x:c r="U1695" s="22" t="n">
        <x:f>IF(COUNT(I1695,M1695,N1695)=3,MAX(0,ROUND(I1695+M1695-N1695,2)),"n.a.")</x:f>
        <x:v>0</x:v>
      </x:c>
    </x:row>
    <x:row r="1696" ht="22" customHeight="1">
      <x:c r="A1696" s="2"/>
      <x:c r="B1696" s="2"/>
      <x:c r="C1696" s="27" t="n">
        <x:f>338</x:f>
        <x:v>338</x:v>
      </x:c>
      <x:c r="D1696" s="28" t="n">
        <x:f>IF(ISNUMBER('Inputs'!$D$7),EDATE('Inputs'!$D$7,337),"n.a.")</x:f>
        <x:v>56584</x:v>
      </x:c>
      <x:c r="E1696" s="26" t="n">
        <x:f>IF('Inputs'!$D$9&lt;&gt;"Ready","n.a.",IF(ISNUMBER('Inputs'!E356),IF('Inputs'!E356&gt;=0,'Inputs'!E356,"n.a."),IF('Inputs'!E356="",'Inputs'!$D$6,"n.a.")))</x:f>
        <x:v>500</x:v>
      </x:c>
      <x:c r="F1696" s="22" t="n">
        <x:f>IF(COUNT($N$1692:$N$1696)=5,SUM($N$1692:$N$1696),"n.a.")</x:f>
        <x:v>0</x:v>
      </x:c>
      <x:c r="G1696" s="22" t="n">
        <x:f>IF(COUNT(E1696:F1696)=2,MAX(0,E1696-F1696),"n.a.")</x:f>
        <x:v>500</x:v>
      </x:c>
      <x:c r="H1696" s="26" t="str">
        <x:f>'Inputs'!C15</x:f>
        <x:v>Unused 5</x:v>
      </x:c>
      <x:c r="I1696" s="26" t="n">
        <x:f>S1691</x:f>
        <x:v>0</x:v>
      </x:c>
      <x:c r="J1696" s="29" t="n">
        <x:f>IF('Inputs'!$D$9="Ready",'Inputs'!E15,"n.a.")</x:f>
        <x:v>0</x:v>
      </x:c>
      <x:c r="K1696" s="26" t="n">
        <x:f>IF('Inputs'!$D$9="Ready",'Inputs'!F15,"n.a.")</x:f>
        <x:v>0</x:v>
      </x:c>
      <x:c r="L1696" s="29" t="n">
        <x:f>IF('Inputs'!$D$9="Ready",'Inputs'!G15,"n.a.")</x:f>
        <x:v>0</x:v>
      </x:c>
      <x:c r="M1696" s="22" t="n">
        <x:f>IF(COUNT(I1696:L1696)=4,ROUND(I1696*J1696/12,2),"n.a.")</x:f>
        <x:v>0</x:v>
      </x:c>
      <x:c r="N1696" s="22" t="n">
        <x:f>IF(COUNT(I1696:M1696)=5,MIN(I1696+M1696,ROUND(MAX(K1696,I1696*L1696+M1696),2)),"n.a.")</x:f>
        <x:v>0</x:v>
      </x:c>
      <x:c r="O1696" s="30" t="n">
        <x:f>IF(COUNT($I$1692:$I$1696)&lt;&gt;5,"n.a.",IF(I1696=0,6,IF('Inputs'!$D$5=1,COUNTIFS($I$1692:$I$1696,"&gt;0",$I$1692:$I$1696,"&lt;"&amp;I1696)+COUNTIFS($I$1692:I1696,I1696),COUNTIFS($I$1692:$I$1696,"&gt;0",$J$1692:$J$1696,"&gt;"&amp;J1696)+COUNTIFS($I$1692:I1696,"&gt;0",$J$1692:J1696,J1696))))</x:f>
        <x:v>6</x:v>
      </x:c>
      <x:c r="P1696" s="22" t="n">
        <x:f>IF(T1696="Ready",MIN(U1696,MAX(0,G1696-SUMIFS($U$1692:$U$1696,$O$1692:$O$1696,"&lt;"&amp;O1696))),"n.a.")</x:f>
        <x:v>0</x:v>
      </x:c>
      <x:c r="Q1696" s="22" t="n">
        <x:f>IF(T1696="Ready",ROUND(N1696+P1696,2),"n.a.")</x:f>
        <x:v>0</x:v>
      </x:c>
      <x:c r="R1696" s="22" t="n">
        <x:f>IF(T1696="Ready",ROUND(Q1696-M1696,2),"n.a.")</x:f>
        <x:v>0</x:v>
      </x:c>
      <x:c r="S1696" s="22" t="n">
        <x:f>IF(T1696="Ready",MAX(0,ROUND(I1696+M1696-Q1696,2)),"n.a.")</x:f>
        <x:v>0</x:v>
      </x:c>
      <x:c r="T1696" s="22" t="str">
        <x:f>IF(AND(COUNT($I$1692:$I$1696)=5,COUNT(E1696:F1696)=2),IF(E1696&gt;=F1696,"Ready","Budget below minima"),"Check inputs")</x:f>
        <x:v>Ready</x:v>
      </x:c>
      <x:c r="U1696" s="22" t="n">
        <x:f>IF(COUNT(I1696,M1696,N1696)=3,MAX(0,ROUND(I1696+M1696-N1696,2)),"n.a.")</x:f>
        <x:v>0</x:v>
      </x:c>
    </x:row>
    <x:row r="1697" ht="22" customHeight="1">
      <x:c r="A1697" s="2"/>
      <x:c r="B1697" s="2"/>
      <x:c r="C1697" s="27" t="n">
        <x:f>339</x:f>
        <x:v>339</x:v>
      </x:c>
      <x:c r="D1697" s="28" t="n">
        <x:f>IF(ISNUMBER('Inputs'!$D$7),EDATE('Inputs'!$D$7,338),"n.a.")</x:f>
        <x:v>56615</x:v>
      </x:c>
      <x:c r="E1697" s="26" t="n">
        <x:f>IF('Inputs'!$D$9&lt;&gt;"Ready","n.a.",IF(ISNUMBER('Inputs'!E357),IF('Inputs'!E357&gt;=0,'Inputs'!E357,"n.a."),IF('Inputs'!E357="",'Inputs'!$D$6,"n.a.")))</x:f>
        <x:v>500</x:v>
      </x:c>
      <x:c r="F1697" s="22" t="n">
        <x:f>IF(COUNT($N$1697:$N$1701)=5,SUM($N$1697:$N$1701),"n.a.")</x:f>
        <x:v>0</x:v>
      </x:c>
      <x:c r="G1697" s="22" t="n">
        <x:f>IF(COUNT(E1697:F1697)=2,MAX(0,E1697-F1697),"n.a.")</x:f>
        <x:v>500</x:v>
      </x:c>
      <x:c r="H1697" s="26" t="str">
        <x:f>'Inputs'!C11</x:f>
        <x:v>Card A</x:v>
      </x:c>
      <x:c r="I1697" s="26" t="n">
        <x:f>S1692</x:f>
        <x:v>0</x:v>
      </x:c>
      <x:c r="J1697" s="29" t="n">
        <x:f>IF('Inputs'!$D$9="Ready",'Inputs'!E11,"n.a.")</x:f>
        <x:v>0.24</x:v>
      </x:c>
      <x:c r="K1697" s="26" t="n">
        <x:f>IF('Inputs'!$D$9="Ready",'Inputs'!F11,"n.a.")</x:f>
        <x:v>35</x:v>
      </x:c>
      <x:c r="L1697" s="29" t="n">
        <x:f>IF('Inputs'!$D$9="Ready",'Inputs'!G11,"n.a.")</x:f>
        <x:v>0.02</x:v>
      </x:c>
      <x:c r="M1697" s="22" t="n">
        <x:f>IF(COUNT(I1697:L1697)=4,ROUND(I1697*J1697/12,2),"n.a.")</x:f>
        <x:v>0</x:v>
      </x:c>
      <x:c r="N1697" s="22" t="n">
        <x:f>IF(COUNT(I1697:M1697)=5,MIN(I1697+M1697,ROUND(MAX(K1697,I1697*L1697+M1697),2)),"n.a.")</x:f>
        <x:v>0</x:v>
      </x:c>
      <x:c r="O1697" s="30" t="n">
        <x:f>IF(COUNT($I$1697:$I$1701)&lt;&gt;5,"n.a.",IF(I1697=0,6,IF('Inputs'!$D$5=1,COUNTIFS($I$1697:$I$1701,"&gt;0",$I$1697:$I$1701,"&lt;"&amp;I1697)+COUNTIFS($I$1697:I1697,I1697),COUNTIFS($I$1697:$I$1701,"&gt;0",$J$1697:$J$1701,"&gt;"&amp;J1697)+COUNTIFS($I$1697:I1697,"&gt;0",$J$1697:J1697,J1697))))</x:f>
        <x:v>6</x:v>
      </x:c>
      <x:c r="P1697" s="22" t="n">
        <x:f>IF(T1697="Ready",MIN(U1697,MAX(0,G1697-SUMIFS($U$1697:$U$1701,$O$1697:$O$1701,"&lt;"&amp;O1697))),"n.a.")</x:f>
        <x:v>0</x:v>
      </x:c>
      <x:c r="Q1697" s="22" t="n">
        <x:f>IF(T1697="Ready",ROUND(N1697+P1697,2),"n.a.")</x:f>
        <x:v>0</x:v>
      </x:c>
      <x:c r="R1697" s="22" t="n">
        <x:f>IF(T1697="Ready",ROUND(Q1697-M1697,2),"n.a.")</x:f>
        <x:v>0</x:v>
      </x:c>
      <x:c r="S1697" s="22" t="n">
        <x:f>IF(T1697="Ready",MAX(0,ROUND(I1697+M1697-Q1697,2)),"n.a.")</x:f>
        <x:v>0</x:v>
      </x:c>
      <x:c r="T1697" s="22" t="str">
        <x:f>IF(AND(COUNT($I$1697:$I$1701)=5,COUNT(E1697:F1697)=2),IF(E1697&gt;=F1697,"Ready","Budget below minima"),"Check inputs")</x:f>
        <x:v>Ready</x:v>
      </x:c>
      <x:c r="U1697" s="22" t="n">
        <x:f>IF(COUNT(I1697,M1697,N1697)=3,MAX(0,ROUND(I1697+M1697-N1697,2)),"n.a.")</x:f>
        <x:v>0</x:v>
      </x:c>
    </x:row>
    <x:row r="1698" ht="22" customHeight="1">
      <x:c r="A1698" s="2"/>
      <x:c r="B1698" s="2"/>
      <x:c r="C1698" s="27" t="n">
        <x:f>339</x:f>
        <x:v>339</x:v>
      </x:c>
      <x:c r="D1698" s="28" t="n">
        <x:f>IF(ISNUMBER('Inputs'!$D$7),EDATE('Inputs'!$D$7,338),"n.a.")</x:f>
        <x:v>56615</x:v>
      </x:c>
      <x:c r="E1698" s="26" t="n">
        <x:f>IF('Inputs'!$D$9&lt;&gt;"Ready","n.a.",IF(ISNUMBER('Inputs'!E357),IF('Inputs'!E357&gt;=0,'Inputs'!E357,"n.a."),IF('Inputs'!E357="",'Inputs'!$D$6,"n.a.")))</x:f>
        <x:v>500</x:v>
      </x:c>
      <x:c r="F1698" s="22" t="n">
        <x:f>IF(COUNT($N$1697:$N$1701)=5,SUM($N$1697:$N$1701),"n.a.")</x:f>
        <x:v>0</x:v>
      </x:c>
      <x:c r="G1698" s="22" t="n">
        <x:f>IF(COUNT(E1698:F1698)=2,MAX(0,E1698-F1698),"n.a.")</x:f>
        <x:v>500</x:v>
      </x:c>
      <x:c r="H1698" s="26" t="str">
        <x:f>'Inputs'!C12</x:f>
        <x:v>Card B</x:v>
      </x:c>
      <x:c r="I1698" s="26" t="n">
        <x:f>S1693</x:f>
        <x:v>0</x:v>
      </x:c>
      <x:c r="J1698" s="29" t="n">
        <x:f>IF('Inputs'!$D$9="Ready",'Inputs'!E12,"n.a.")</x:f>
        <x:v>0.18</x:v>
      </x:c>
      <x:c r="K1698" s="26" t="n">
        <x:f>IF('Inputs'!$D$9="Ready",'Inputs'!F12,"n.a.")</x:f>
        <x:v>60</x:v>
      </x:c>
      <x:c r="L1698" s="29" t="n">
        <x:f>IF('Inputs'!$D$9="Ready",'Inputs'!G12,"n.a.")</x:f>
        <x:v>0.02</x:v>
      </x:c>
      <x:c r="M1698" s="22" t="n">
        <x:f>IF(COUNT(I1698:L1698)=4,ROUND(I1698*J1698/12,2),"n.a.")</x:f>
        <x:v>0</x:v>
      </x:c>
      <x:c r="N1698" s="22" t="n">
        <x:f>IF(COUNT(I1698:M1698)=5,MIN(I1698+M1698,ROUND(MAX(K1698,I1698*L1698+M1698),2)),"n.a.")</x:f>
        <x:v>0</x:v>
      </x:c>
      <x:c r="O1698" s="30" t="n">
        <x:f>IF(COUNT($I$1697:$I$1701)&lt;&gt;5,"n.a.",IF(I1698=0,6,IF('Inputs'!$D$5=1,COUNTIFS($I$1697:$I$1701,"&gt;0",$I$1697:$I$1701,"&lt;"&amp;I1698)+COUNTIFS($I$1697:I1698,I1698),COUNTIFS($I$1697:$I$1701,"&gt;0",$J$1697:$J$1701,"&gt;"&amp;J1698)+COUNTIFS($I$1697:I1698,"&gt;0",$J$1697:J1698,J1698))))</x:f>
        <x:v>6</x:v>
      </x:c>
      <x:c r="P1698" s="22" t="n">
        <x:f>IF(T1698="Ready",MIN(U1698,MAX(0,G1698-SUMIFS($U$1697:$U$1701,$O$1697:$O$1701,"&lt;"&amp;O1698))),"n.a.")</x:f>
        <x:v>0</x:v>
      </x:c>
      <x:c r="Q1698" s="22" t="n">
        <x:f>IF(T1698="Ready",ROUND(N1698+P1698,2),"n.a.")</x:f>
        <x:v>0</x:v>
      </x:c>
      <x:c r="R1698" s="22" t="n">
        <x:f>IF(T1698="Ready",ROUND(Q1698-M1698,2),"n.a.")</x:f>
        <x:v>0</x:v>
      </x:c>
      <x:c r="S1698" s="22" t="n">
        <x:f>IF(T1698="Ready",MAX(0,ROUND(I1698+M1698-Q1698,2)),"n.a.")</x:f>
        <x:v>0</x:v>
      </x:c>
      <x:c r="T1698" s="22" t="str">
        <x:f>IF(AND(COUNT($I$1697:$I$1701)=5,COUNT(E1698:F1698)=2),IF(E1698&gt;=F1698,"Ready","Budget below minima"),"Check inputs")</x:f>
        <x:v>Ready</x:v>
      </x:c>
      <x:c r="U1698" s="22" t="n">
        <x:f>IF(COUNT(I1698,M1698,N1698)=3,MAX(0,ROUND(I1698+M1698-N1698,2)),"n.a.")</x:f>
        <x:v>0</x:v>
      </x:c>
    </x:row>
    <x:row r="1699" ht="22" customHeight="1">
      <x:c r="A1699" s="2"/>
      <x:c r="B1699" s="2"/>
      <x:c r="C1699" s="27" t="n">
        <x:f>339</x:f>
        <x:v>339</x:v>
      </x:c>
      <x:c r="D1699" s="28" t="n">
        <x:f>IF(ISNUMBER('Inputs'!$D$7),EDATE('Inputs'!$D$7,338),"n.a.")</x:f>
        <x:v>56615</x:v>
      </x:c>
      <x:c r="E1699" s="26" t="n">
        <x:f>IF('Inputs'!$D$9&lt;&gt;"Ready","n.a.",IF(ISNUMBER('Inputs'!E357),IF('Inputs'!E357&gt;=0,'Inputs'!E357,"n.a."),IF('Inputs'!E357="",'Inputs'!$D$6,"n.a.")))</x:f>
        <x:v>500</x:v>
      </x:c>
      <x:c r="F1699" s="22" t="n">
        <x:f>IF(COUNT($N$1697:$N$1701)=5,SUM($N$1697:$N$1701),"n.a.")</x:f>
        <x:v>0</x:v>
      </x:c>
      <x:c r="G1699" s="22" t="n">
        <x:f>IF(COUNT(E1699:F1699)=2,MAX(0,E1699-F1699),"n.a.")</x:f>
        <x:v>500</x:v>
      </x:c>
      <x:c r="H1699" s="26" t="str">
        <x:f>'Inputs'!C13</x:f>
        <x:v>Loan C</x:v>
      </x:c>
      <x:c r="I1699" s="26" t="n">
        <x:f>S1694</x:f>
        <x:v>0</x:v>
      </x:c>
      <x:c r="J1699" s="29" t="n">
        <x:f>IF('Inputs'!$D$9="Ready",'Inputs'!E13,"n.a.")</x:f>
        <x:v>0.08</x:v>
      </x:c>
      <x:c r="K1699" s="26" t="n">
        <x:f>IF('Inputs'!$D$9="Ready",'Inputs'!F13,"n.a.")</x:f>
        <x:v>150</x:v>
      </x:c>
      <x:c r="L1699" s="29" t="n">
        <x:f>IF('Inputs'!$D$9="Ready",'Inputs'!G13,"n.a.")</x:f>
        <x:v>0</x:v>
      </x:c>
      <x:c r="M1699" s="22" t="n">
        <x:f>IF(COUNT(I1699:L1699)=4,ROUND(I1699*J1699/12,2),"n.a.")</x:f>
        <x:v>0</x:v>
      </x:c>
      <x:c r="N1699" s="22" t="n">
        <x:f>IF(COUNT(I1699:M1699)=5,MIN(I1699+M1699,ROUND(MAX(K1699,I1699*L1699+M1699),2)),"n.a.")</x:f>
        <x:v>0</x:v>
      </x:c>
      <x:c r="O1699" s="30" t="n">
        <x:f>IF(COUNT($I$1697:$I$1701)&lt;&gt;5,"n.a.",IF(I1699=0,6,IF('Inputs'!$D$5=1,COUNTIFS($I$1697:$I$1701,"&gt;0",$I$1697:$I$1701,"&lt;"&amp;I1699)+COUNTIFS($I$1697:I1699,I1699),COUNTIFS($I$1697:$I$1701,"&gt;0",$J$1697:$J$1701,"&gt;"&amp;J1699)+COUNTIFS($I$1697:I1699,"&gt;0",$J$1697:J1699,J1699))))</x:f>
        <x:v>6</x:v>
      </x:c>
      <x:c r="P1699" s="22" t="n">
        <x:f>IF(T1699="Ready",MIN(U1699,MAX(0,G1699-SUMIFS($U$1697:$U$1701,$O$1697:$O$1701,"&lt;"&amp;O1699))),"n.a.")</x:f>
        <x:v>0</x:v>
      </x:c>
      <x:c r="Q1699" s="22" t="n">
        <x:f>IF(T1699="Ready",ROUND(N1699+P1699,2),"n.a.")</x:f>
        <x:v>0</x:v>
      </x:c>
      <x:c r="R1699" s="22" t="n">
        <x:f>IF(T1699="Ready",ROUND(Q1699-M1699,2),"n.a.")</x:f>
        <x:v>0</x:v>
      </x:c>
      <x:c r="S1699" s="22" t="n">
        <x:f>IF(T1699="Ready",MAX(0,ROUND(I1699+M1699-Q1699,2)),"n.a.")</x:f>
        <x:v>0</x:v>
      </x:c>
      <x:c r="T1699" s="22" t="str">
        <x:f>IF(AND(COUNT($I$1697:$I$1701)=5,COUNT(E1699:F1699)=2),IF(E1699&gt;=F1699,"Ready","Budget below minima"),"Check inputs")</x:f>
        <x:v>Ready</x:v>
      </x:c>
      <x:c r="U1699" s="22" t="n">
        <x:f>IF(COUNT(I1699,M1699,N1699)=3,MAX(0,ROUND(I1699+M1699-N1699,2)),"n.a.")</x:f>
        <x:v>0</x:v>
      </x:c>
    </x:row>
    <x:row r="1700" ht="22" customHeight="1">
      <x:c r="A1700" s="2"/>
      <x:c r="B1700" s="2"/>
      <x:c r="C1700" s="27" t="n">
        <x:f>339</x:f>
        <x:v>339</x:v>
      </x:c>
      <x:c r="D1700" s="28" t="n">
        <x:f>IF(ISNUMBER('Inputs'!$D$7),EDATE('Inputs'!$D$7,338),"n.a.")</x:f>
        <x:v>56615</x:v>
      </x:c>
      <x:c r="E1700" s="26" t="n">
        <x:f>IF('Inputs'!$D$9&lt;&gt;"Ready","n.a.",IF(ISNUMBER('Inputs'!E357),IF('Inputs'!E357&gt;=0,'Inputs'!E357,"n.a."),IF('Inputs'!E357="",'Inputs'!$D$6,"n.a.")))</x:f>
        <x:v>500</x:v>
      </x:c>
      <x:c r="F1700" s="22" t="n">
        <x:f>IF(COUNT($N$1697:$N$1701)=5,SUM($N$1697:$N$1701),"n.a.")</x:f>
        <x:v>0</x:v>
      </x:c>
      <x:c r="G1700" s="22" t="n">
        <x:f>IF(COUNT(E1700:F1700)=2,MAX(0,E1700-F1700),"n.a.")</x:f>
        <x:v>500</x:v>
      </x:c>
      <x:c r="H1700" s="26" t="str">
        <x:f>'Inputs'!C14</x:f>
        <x:v>Unused 4</x:v>
      </x:c>
      <x:c r="I1700" s="26" t="n">
        <x:f>S1695</x:f>
        <x:v>0</x:v>
      </x:c>
      <x:c r="J1700" s="29" t="n">
        <x:f>IF('Inputs'!$D$9="Ready",'Inputs'!E14,"n.a.")</x:f>
        <x:v>0</x:v>
      </x:c>
      <x:c r="K1700" s="26" t="n">
        <x:f>IF('Inputs'!$D$9="Ready",'Inputs'!F14,"n.a.")</x:f>
        <x:v>0</x:v>
      </x:c>
      <x:c r="L1700" s="29" t="n">
        <x:f>IF('Inputs'!$D$9="Ready",'Inputs'!G14,"n.a.")</x:f>
        <x:v>0</x:v>
      </x:c>
      <x:c r="M1700" s="22" t="n">
        <x:f>IF(COUNT(I1700:L1700)=4,ROUND(I1700*J1700/12,2),"n.a.")</x:f>
        <x:v>0</x:v>
      </x:c>
      <x:c r="N1700" s="22" t="n">
        <x:f>IF(COUNT(I1700:M1700)=5,MIN(I1700+M1700,ROUND(MAX(K1700,I1700*L1700+M1700),2)),"n.a.")</x:f>
        <x:v>0</x:v>
      </x:c>
      <x:c r="O1700" s="30" t="n">
        <x:f>IF(COUNT($I$1697:$I$1701)&lt;&gt;5,"n.a.",IF(I1700=0,6,IF('Inputs'!$D$5=1,COUNTIFS($I$1697:$I$1701,"&gt;0",$I$1697:$I$1701,"&lt;"&amp;I1700)+COUNTIFS($I$1697:I1700,I1700),COUNTIFS($I$1697:$I$1701,"&gt;0",$J$1697:$J$1701,"&gt;"&amp;J1700)+COUNTIFS($I$1697:I1700,"&gt;0",$J$1697:J1700,J1700))))</x:f>
        <x:v>6</x:v>
      </x:c>
      <x:c r="P1700" s="22" t="n">
        <x:f>IF(T1700="Ready",MIN(U1700,MAX(0,G1700-SUMIFS($U$1697:$U$1701,$O$1697:$O$1701,"&lt;"&amp;O1700))),"n.a.")</x:f>
        <x:v>0</x:v>
      </x:c>
      <x:c r="Q1700" s="22" t="n">
        <x:f>IF(T1700="Ready",ROUND(N1700+P1700,2),"n.a.")</x:f>
        <x:v>0</x:v>
      </x:c>
      <x:c r="R1700" s="22" t="n">
        <x:f>IF(T1700="Ready",ROUND(Q1700-M1700,2),"n.a.")</x:f>
        <x:v>0</x:v>
      </x:c>
      <x:c r="S1700" s="22" t="n">
        <x:f>IF(T1700="Ready",MAX(0,ROUND(I1700+M1700-Q1700,2)),"n.a.")</x:f>
        <x:v>0</x:v>
      </x:c>
      <x:c r="T1700" s="22" t="str">
        <x:f>IF(AND(COUNT($I$1697:$I$1701)=5,COUNT(E1700:F1700)=2),IF(E1700&gt;=F1700,"Ready","Budget below minima"),"Check inputs")</x:f>
        <x:v>Ready</x:v>
      </x:c>
      <x:c r="U1700" s="22" t="n">
        <x:f>IF(COUNT(I1700,M1700,N1700)=3,MAX(0,ROUND(I1700+M1700-N1700,2)),"n.a.")</x:f>
        <x:v>0</x:v>
      </x:c>
    </x:row>
    <x:row r="1701" ht="22" customHeight="1">
      <x:c r="A1701" s="2"/>
      <x:c r="B1701" s="2"/>
      <x:c r="C1701" s="27" t="n">
        <x:f>339</x:f>
        <x:v>339</x:v>
      </x:c>
      <x:c r="D1701" s="28" t="n">
        <x:f>IF(ISNUMBER('Inputs'!$D$7),EDATE('Inputs'!$D$7,338),"n.a.")</x:f>
        <x:v>56615</x:v>
      </x:c>
      <x:c r="E1701" s="26" t="n">
        <x:f>IF('Inputs'!$D$9&lt;&gt;"Ready","n.a.",IF(ISNUMBER('Inputs'!E357),IF('Inputs'!E357&gt;=0,'Inputs'!E357,"n.a."),IF('Inputs'!E357="",'Inputs'!$D$6,"n.a.")))</x:f>
        <x:v>500</x:v>
      </x:c>
      <x:c r="F1701" s="22" t="n">
        <x:f>IF(COUNT($N$1697:$N$1701)=5,SUM($N$1697:$N$1701),"n.a.")</x:f>
        <x:v>0</x:v>
      </x:c>
      <x:c r="G1701" s="22" t="n">
        <x:f>IF(COUNT(E1701:F1701)=2,MAX(0,E1701-F1701),"n.a.")</x:f>
        <x:v>500</x:v>
      </x:c>
      <x:c r="H1701" s="26" t="str">
        <x:f>'Inputs'!C15</x:f>
        <x:v>Unused 5</x:v>
      </x:c>
      <x:c r="I1701" s="26" t="n">
        <x:f>S1696</x:f>
        <x:v>0</x:v>
      </x:c>
      <x:c r="J1701" s="29" t="n">
        <x:f>IF('Inputs'!$D$9="Ready",'Inputs'!E15,"n.a.")</x:f>
        <x:v>0</x:v>
      </x:c>
      <x:c r="K1701" s="26" t="n">
        <x:f>IF('Inputs'!$D$9="Ready",'Inputs'!F15,"n.a.")</x:f>
        <x:v>0</x:v>
      </x:c>
      <x:c r="L1701" s="29" t="n">
        <x:f>IF('Inputs'!$D$9="Ready",'Inputs'!G15,"n.a.")</x:f>
        <x:v>0</x:v>
      </x:c>
      <x:c r="M1701" s="22" t="n">
        <x:f>IF(COUNT(I1701:L1701)=4,ROUND(I1701*J1701/12,2),"n.a.")</x:f>
        <x:v>0</x:v>
      </x:c>
      <x:c r="N1701" s="22" t="n">
        <x:f>IF(COUNT(I1701:M1701)=5,MIN(I1701+M1701,ROUND(MAX(K1701,I1701*L1701+M1701),2)),"n.a.")</x:f>
        <x:v>0</x:v>
      </x:c>
      <x:c r="O1701" s="30" t="n">
        <x:f>IF(COUNT($I$1697:$I$1701)&lt;&gt;5,"n.a.",IF(I1701=0,6,IF('Inputs'!$D$5=1,COUNTIFS($I$1697:$I$1701,"&gt;0",$I$1697:$I$1701,"&lt;"&amp;I1701)+COUNTIFS($I$1697:I1701,I1701),COUNTIFS($I$1697:$I$1701,"&gt;0",$J$1697:$J$1701,"&gt;"&amp;J1701)+COUNTIFS($I$1697:I1701,"&gt;0",$J$1697:J1701,J1701))))</x:f>
        <x:v>6</x:v>
      </x:c>
      <x:c r="P1701" s="22" t="n">
        <x:f>IF(T1701="Ready",MIN(U1701,MAX(0,G1701-SUMIFS($U$1697:$U$1701,$O$1697:$O$1701,"&lt;"&amp;O1701))),"n.a.")</x:f>
        <x:v>0</x:v>
      </x:c>
      <x:c r="Q1701" s="22" t="n">
        <x:f>IF(T1701="Ready",ROUND(N1701+P1701,2),"n.a.")</x:f>
        <x:v>0</x:v>
      </x:c>
      <x:c r="R1701" s="22" t="n">
        <x:f>IF(T1701="Ready",ROUND(Q1701-M1701,2),"n.a.")</x:f>
        <x:v>0</x:v>
      </x:c>
      <x:c r="S1701" s="22" t="n">
        <x:f>IF(T1701="Ready",MAX(0,ROUND(I1701+M1701-Q1701,2)),"n.a.")</x:f>
        <x:v>0</x:v>
      </x:c>
      <x:c r="T1701" s="22" t="str">
        <x:f>IF(AND(COUNT($I$1697:$I$1701)=5,COUNT(E1701:F1701)=2),IF(E1701&gt;=F1701,"Ready","Budget below minima"),"Check inputs")</x:f>
        <x:v>Ready</x:v>
      </x:c>
      <x:c r="U1701" s="22" t="n">
        <x:f>IF(COUNT(I1701,M1701,N1701)=3,MAX(0,ROUND(I1701+M1701-N1701,2)),"n.a.")</x:f>
        <x:v>0</x:v>
      </x:c>
    </x:row>
    <x:row r="1702" ht="22" customHeight="1">
      <x:c r="A1702" s="2"/>
      <x:c r="B1702" s="2"/>
      <x:c r="C1702" s="27" t="n">
        <x:f>340</x:f>
        <x:v>340</x:v>
      </x:c>
      <x:c r="D1702" s="28" t="n">
        <x:f>IF(ISNUMBER('Inputs'!$D$7),EDATE('Inputs'!$D$7,339),"n.a.")</x:f>
        <x:v>56646</x:v>
      </x:c>
      <x:c r="E1702" s="26" t="n">
        <x:f>IF('Inputs'!$D$9&lt;&gt;"Ready","n.a.",IF(ISNUMBER('Inputs'!E358),IF('Inputs'!E358&gt;=0,'Inputs'!E358,"n.a."),IF('Inputs'!E358="",'Inputs'!$D$6,"n.a.")))</x:f>
        <x:v>500</x:v>
      </x:c>
      <x:c r="F1702" s="22" t="n">
        <x:f>IF(COUNT($N$1702:$N$1706)=5,SUM($N$1702:$N$1706),"n.a.")</x:f>
        <x:v>0</x:v>
      </x:c>
      <x:c r="G1702" s="22" t="n">
        <x:f>IF(COUNT(E1702:F1702)=2,MAX(0,E1702-F1702),"n.a.")</x:f>
        <x:v>500</x:v>
      </x:c>
      <x:c r="H1702" s="26" t="str">
        <x:f>'Inputs'!C11</x:f>
        <x:v>Card A</x:v>
      </x:c>
      <x:c r="I1702" s="26" t="n">
        <x:f>S1697</x:f>
        <x:v>0</x:v>
      </x:c>
      <x:c r="J1702" s="29" t="n">
        <x:f>IF('Inputs'!$D$9="Ready",'Inputs'!E11,"n.a.")</x:f>
        <x:v>0.24</x:v>
      </x:c>
      <x:c r="K1702" s="26" t="n">
        <x:f>IF('Inputs'!$D$9="Ready",'Inputs'!F11,"n.a.")</x:f>
        <x:v>35</x:v>
      </x:c>
      <x:c r="L1702" s="29" t="n">
        <x:f>IF('Inputs'!$D$9="Ready",'Inputs'!G11,"n.a.")</x:f>
        <x:v>0.02</x:v>
      </x:c>
      <x:c r="M1702" s="22" t="n">
        <x:f>IF(COUNT(I1702:L1702)=4,ROUND(I1702*J1702/12,2),"n.a.")</x:f>
        <x:v>0</x:v>
      </x:c>
      <x:c r="N1702" s="22" t="n">
        <x:f>IF(COUNT(I1702:M1702)=5,MIN(I1702+M1702,ROUND(MAX(K1702,I1702*L1702+M1702),2)),"n.a.")</x:f>
        <x:v>0</x:v>
      </x:c>
      <x:c r="O1702" s="30" t="n">
        <x:f>IF(COUNT($I$1702:$I$1706)&lt;&gt;5,"n.a.",IF(I1702=0,6,IF('Inputs'!$D$5=1,COUNTIFS($I$1702:$I$1706,"&gt;0",$I$1702:$I$1706,"&lt;"&amp;I1702)+COUNTIFS($I$1702:I1702,I1702),COUNTIFS($I$1702:$I$1706,"&gt;0",$J$1702:$J$1706,"&gt;"&amp;J1702)+COUNTIFS($I$1702:I1702,"&gt;0",$J$1702:J1702,J1702))))</x:f>
        <x:v>6</x:v>
      </x:c>
      <x:c r="P1702" s="22" t="n">
        <x:f>IF(T1702="Ready",MIN(U1702,MAX(0,G1702-SUMIFS($U$1702:$U$1706,$O$1702:$O$1706,"&lt;"&amp;O1702))),"n.a.")</x:f>
        <x:v>0</x:v>
      </x:c>
      <x:c r="Q1702" s="22" t="n">
        <x:f>IF(T1702="Ready",ROUND(N1702+P1702,2),"n.a.")</x:f>
        <x:v>0</x:v>
      </x:c>
      <x:c r="R1702" s="22" t="n">
        <x:f>IF(T1702="Ready",ROUND(Q1702-M1702,2),"n.a.")</x:f>
        <x:v>0</x:v>
      </x:c>
      <x:c r="S1702" s="22" t="n">
        <x:f>IF(T1702="Ready",MAX(0,ROUND(I1702+M1702-Q1702,2)),"n.a.")</x:f>
        <x:v>0</x:v>
      </x:c>
      <x:c r="T1702" s="22" t="str">
        <x:f>IF(AND(COUNT($I$1702:$I$1706)=5,COUNT(E1702:F1702)=2),IF(E1702&gt;=F1702,"Ready","Budget below minima"),"Check inputs")</x:f>
        <x:v>Ready</x:v>
      </x:c>
      <x:c r="U1702" s="22" t="n">
        <x:f>IF(COUNT(I1702,M1702,N1702)=3,MAX(0,ROUND(I1702+M1702-N1702,2)),"n.a.")</x:f>
        <x:v>0</x:v>
      </x:c>
    </x:row>
    <x:row r="1703" ht="22" customHeight="1">
      <x:c r="A1703" s="2"/>
      <x:c r="B1703" s="2"/>
      <x:c r="C1703" s="27" t="n">
        <x:f>340</x:f>
        <x:v>340</x:v>
      </x:c>
      <x:c r="D1703" s="28" t="n">
        <x:f>IF(ISNUMBER('Inputs'!$D$7),EDATE('Inputs'!$D$7,339),"n.a.")</x:f>
        <x:v>56646</x:v>
      </x:c>
      <x:c r="E1703" s="26" t="n">
        <x:f>IF('Inputs'!$D$9&lt;&gt;"Ready","n.a.",IF(ISNUMBER('Inputs'!E358),IF('Inputs'!E358&gt;=0,'Inputs'!E358,"n.a."),IF('Inputs'!E358="",'Inputs'!$D$6,"n.a.")))</x:f>
        <x:v>500</x:v>
      </x:c>
      <x:c r="F1703" s="22" t="n">
        <x:f>IF(COUNT($N$1702:$N$1706)=5,SUM($N$1702:$N$1706),"n.a.")</x:f>
        <x:v>0</x:v>
      </x:c>
      <x:c r="G1703" s="22" t="n">
        <x:f>IF(COUNT(E1703:F1703)=2,MAX(0,E1703-F1703),"n.a.")</x:f>
        <x:v>500</x:v>
      </x:c>
      <x:c r="H1703" s="26" t="str">
        <x:f>'Inputs'!C12</x:f>
        <x:v>Card B</x:v>
      </x:c>
      <x:c r="I1703" s="26" t="n">
        <x:f>S1698</x:f>
        <x:v>0</x:v>
      </x:c>
      <x:c r="J1703" s="29" t="n">
        <x:f>IF('Inputs'!$D$9="Ready",'Inputs'!E12,"n.a.")</x:f>
        <x:v>0.18</x:v>
      </x:c>
      <x:c r="K1703" s="26" t="n">
        <x:f>IF('Inputs'!$D$9="Ready",'Inputs'!F12,"n.a.")</x:f>
        <x:v>60</x:v>
      </x:c>
      <x:c r="L1703" s="29" t="n">
        <x:f>IF('Inputs'!$D$9="Ready",'Inputs'!G12,"n.a.")</x:f>
        <x:v>0.02</x:v>
      </x:c>
      <x:c r="M1703" s="22" t="n">
        <x:f>IF(COUNT(I1703:L1703)=4,ROUND(I1703*J1703/12,2),"n.a.")</x:f>
        <x:v>0</x:v>
      </x:c>
      <x:c r="N1703" s="22" t="n">
        <x:f>IF(COUNT(I1703:M1703)=5,MIN(I1703+M1703,ROUND(MAX(K1703,I1703*L1703+M1703),2)),"n.a.")</x:f>
        <x:v>0</x:v>
      </x:c>
      <x:c r="O1703" s="30" t="n">
        <x:f>IF(COUNT($I$1702:$I$1706)&lt;&gt;5,"n.a.",IF(I1703=0,6,IF('Inputs'!$D$5=1,COUNTIFS($I$1702:$I$1706,"&gt;0",$I$1702:$I$1706,"&lt;"&amp;I1703)+COUNTIFS($I$1702:I1703,I1703),COUNTIFS($I$1702:$I$1706,"&gt;0",$J$1702:$J$1706,"&gt;"&amp;J1703)+COUNTIFS($I$1702:I1703,"&gt;0",$J$1702:J1703,J1703))))</x:f>
        <x:v>6</x:v>
      </x:c>
      <x:c r="P1703" s="22" t="n">
        <x:f>IF(T1703="Ready",MIN(U1703,MAX(0,G1703-SUMIFS($U$1702:$U$1706,$O$1702:$O$1706,"&lt;"&amp;O1703))),"n.a.")</x:f>
        <x:v>0</x:v>
      </x:c>
      <x:c r="Q1703" s="22" t="n">
        <x:f>IF(T1703="Ready",ROUND(N1703+P1703,2),"n.a.")</x:f>
        <x:v>0</x:v>
      </x:c>
      <x:c r="R1703" s="22" t="n">
        <x:f>IF(T1703="Ready",ROUND(Q1703-M1703,2),"n.a.")</x:f>
        <x:v>0</x:v>
      </x:c>
      <x:c r="S1703" s="22" t="n">
        <x:f>IF(T1703="Ready",MAX(0,ROUND(I1703+M1703-Q1703,2)),"n.a.")</x:f>
        <x:v>0</x:v>
      </x:c>
      <x:c r="T1703" s="22" t="str">
        <x:f>IF(AND(COUNT($I$1702:$I$1706)=5,COUNT(E1703:F1703)=2),IF(E1703&gt;=F1703,"Ready","Budget below minima"),"Check inputs")</x:f>
        <x:v>Ready</x:v>
      </x:c>
      <x:c r="U1703" s="22" t="n">
        <x:f>IF(COUNT(I1703,M1703,N1703)=3,MAX(0,ROUND(I1703+M1703-N1703,2)),"n.a.")</x:f>
        <x:v>0</x:v>
      </x:c>
    </x:row>
    <x:row r="1704" ht="22" customHeight="1">
      <x:c r="A1704" s="2"/>
      <x:c r="B1704" s="2"/>
      <x:c r="C1704" s="27" t="n">
        <x:f>340</x:f>
        <x:v>340</x:v>
      </x:c>
      <x:c r="D1704" s="28" t="n">
        <x:f>IF(ISNUMBER('Inputs'!$D$7),EDATE('Inputs'!$D$7,339),"n.a.")</x:f>
        <x:v>56646</x:v>
      </x:c>
      <x:c r="E1704" s="26" t="n">
        <x:f>IF('Inputs'!$D$9&lt;&gt;"Ready","n.a.",IF(ISNUMBER('Inputs'!E358),IF('Inputs'!E358&gt;=0,'Inputs'!E358,"n.a."),IF('Inputs'!E358="",'Inputs'!$D$6,"n.a.")))</x:f>
        <x:v>500</x:v>
      </x:c>
      <x:c r="F1704" s="22" t="n">
        <x:f>IF(COUNT($N$1702:$N$1706)=5,SUM($N$1702:$N$1706),"n.a.")</x:f>
        <x:v>0</x:v>
      </x:c>
      <x:c r="G1704" s="22" t="n">
        <x:f>IF(COUNT(E1704:F1704)=2,MAX(0,E1704-F1704),"n.a.")</x:f>
        <x:v>500</x:v>
      </x:c>
      <x:c r="H1704" s="26" t="str">
        <x:f>'Inputs'!C13</x:f>
        <x:v>Loan C</x:v>
      </x:c>
      <x:c r="I1704" s="26" t="n">
        <x:f>S1699</x:f>
        <x:v>0</x:v>
      </x:c>
      <x:c r="J1704" s="29" t="n">
        <x:f>IF('Inputs'!$D$9="Ready",'Inputs'!E13,"n.a.")</x:f>
        <x:v>0.08</x:v>
      </x:c>
      <x:c r="K1704" s="26" t="n">
        <x:f>IF('Inputs'!$D$9="Ready",'Inputs'!F13,"n.a.")</x:f>
        <x:v>150</x:v>
      </x:c>
      <x:c r="L1704" s="29" t="n">
        <x:f>IF('Inputs'!$D$9="Ready",'Inputs'!G13,"n.a.")</x:f>
        <x:v>0</x:v>
      </x:c>
      <x:c r="M1704" s="22" t="n">
        <x:f>IF(COUNT(I1704:L1704)=4,ROUND(I1704*J1704/12,2),"n.a.")</x:f>
        <x:v>0</x:v>
      </x:c>
      <x:c r="N1704" s="22" t="n">
        <x:f>IF(COUNT(I1704:M1704)=5,MIN(I1704+M1704,ROUND(MAX(K1704,I1704*L1704+M1704),2)),"n.a.")</x:f>
        <x:v>0</x:v>
      </x:c>
      <x:c r="O1704" s="30" t="n">
        <x:f>IF(COUNT($I$1702:$I$1706)&lt;&gt;5,"n.a.",IF(I1704=0,6,IF('Inputs'!$D$5=1,COUNTIFS($I$1702:$I$1706,"&gt;0",$I$1702:$I$1706,"&lt;"&amp;I1704)+COUNTIFS($I$1702:I1704,I1704),COUNTIFS($I$1702:$I$1706,"&gt;0",$J$1702:$J$1706,"&gt;"&amp;J1704)+COUNTIFS($I$1702:I1704,"&gt;0",$J$1702:J1704,J1704))))</x:f>
        <x:v>6</x:v>
      </x:c>
      <x:c r="P1704" s="22" t="n">
        <x:f>IF(T1704="Ready",MIN(U1704,MAX(0,G1704-SUMIFS($U$1702:$U$1706,$O$1702:$O$1706,"&lt;"&amp;O1704))),"n.a.")</x:f>
        <x:v>0</x:v>
      </x:c>
      <x:c r="Q1704" s="22" t="n">
        <x:f>IF(T1704="Ready",ROUND(N1704+P1704,2),"n.a.")</x:f>
        <x:v>0</x:v>
      </x:c>
      <x:c r="R1704" s="22" t="n">
        <x:f>IF(T1704="Ready",ROUND(Q1704-M1704,2),"n.a.")</x:f>
        <x:v>0</x:v>
      </x:c>
      <x:c r="S1704" s="22" t="n">
        <x:f>IF(T1704="Ready",MAX(0,ROUND(I1704+M1704-Q1704,2)),"n.a.")</x:f>
        <x:v>0</x:v>
      </x:c>
      <x:c r="T1704" s="22" t="str">
        <x:f>IF(AND(COUNT($I$1702:$I$1706)=5,COUNT(E1704:F1704)=2),IF(E1704&gt;=F1704,"Ready","Budget below minima"),"Check inputs")</x:f>
        <x:v>Ready</x:v>
      </x:c>
      <x:c r="U1704" s="22" t="n">
        <x:f>IF(COUNT(I1704,M1704,N1704)=3,MAX(0,ROUND(I1704+M1704-N1704,2)),"n.a.")</x:f>
        <x:v>0</x:v>
      </x:c>
    </x:row>
    <x:row r="1705" ht="22" customHeight="1">
      <x:c r="A1705" s="2"/>
      <x:c r="B1705" s="2"/>
      <x:c r="C1705" s="27" t="n">
        <x:f>340</x:f>
        <x:v>340</x:v>
      </x:c>
      <x:c r="D1705" s="28" t="n">
        <x:f>IF(ISNUMBER('Inputs'!$D$7),EDATE('Inputs'!$D$7,339),"n.a.")</x:f>
        <x:v>56646</x:v>
      </x:c>
      <x:c r="E1705" s="26" t="n">
        <x:f>IF('Inputs'!$D$9&lt;&gt;"Ready","n.a.",IF(ISNUMBER('Inputs'!E358),IF('Inputs'!E358&gt;=0,'Inputs'!E358,"n.a."),IF('Inputs'!E358="",'Inputs'!$D$6,"n.a.")))</x:f>
        <x:v>500</x:v>
      </x:c>
      <x:c r="F1705" s="22" t="n">
        <x:f>IF(COUNT($N$1702:$N$1706)=5,SUM($N$1702:$N$1706),"n.a.")</x:f>
        <x:v>0</x:v>
      </x:c>
      <x:c r="G1705" s="22" t="n">
        <x:f>IF(COUNT(E1705:F1705)=2,MAX(0,E1705-F1705),"n.a.")</x:f>
        <x:v>500</x:v>
      </x:c>
      <x:c r="H1705" s="26" t="str">
        <x:f>'Inputs'!C14</x:f>
        <x:v>Unused 4</x:v>
      </x:c>
      <x:c r="I1705" s="26" t="n">
        <x:f>S1700</x:f>
        <x:v>0</x:v>
      </x:c>
      <x:c r="J1705" s="29" t="n">
        <x:f>IF('Inputs'!$D$9="Ready",'Inputs'!E14,"n.a.")</x:f>
        <x:v>0</x:v>
      </x:c>
      <x:c r="K1705" s="26" t="n">
        <x:f>IF('Inputs'!$D$9="Ready",'Inputs'!F14,"n.a.")</x:f>
        <x:v>0</x:v>
      </x:c>
      <x:c r="L1705" s="29" t="n">
        <x:f>IF('Inputs'!$D$9="Ready",'Inputs'!G14,"n.a.")</x:f>
        <x:v>0</x:v>
      </x:c>
      <x:c r="M1705" s="22" t="n">
        <x:f>IF(COUNT(I1705:L1705)=4,ROUND(I1705*J1705/12,2),"n.a.")</x:f>
        <x:v>0</x:v>
      </x:c>
      <x:c r="N1705" s="22" t="n">
        <x:f>IF(COUNT(I1705:M1705)=5,MIN(I1705+M1705,ROUND(MAX(K1705,I1705*L1705+M1705),2)),"n.a.")</x:f>
        <x:v>0</x:v>
      </x:c>
      <x:c r="O1705" s="30" t="n">
        <x:f>IF(COUNT($I$1702:$I$1706)&lt;&gt;5,"n.a.",IF(I1705=0,6,IF('Inputs'!$D$5=1,COUNTIFS($I$1702:$I$1706,"&gt;0",$I$1702:$I$1706,"&lt;"&amp;I1705)+COUNTIFS($I$1702:I1705,I1705),COUNTIFS($I$1702:$I$1706,"&gt;0",$J$1702:$J$1706,"&gt;"&amp;J1705)+COUNTIFS($I$1702:I1705,"&gt;0",$J$1702:J1705,J1705))))</x:f>
        <x:v>6</x:v>
      </x:c>
      <x:c r="P1705" s="22" t="n">
        <x:f>IF(T1705="Ready",MIN(U1705,MAX(0,G1705-SUMIFS($U$1702:$U$1706,$O$1702:$O$1706,"&lt;"&amp;O1705))),"n.a.")</x:f>
        <x:v>0</x:v>
      </x:c>
      <x:c r="Q1705" s="22" t="n">
        <x:f>IF(T1705="Ready",ROUND(N1705+P1705,2),"n.a.")</x:f>
        <x:v>0</x:v>
      </x:c>
      <x:c r="R1705" s="22" t="n">
        <x:f>IF(T1705="Ready",ROUND(Q1705-M1705,2),"n.a.")</x:f>
        <x:v>0</x:v>
      </x:c>
      <x:c r="S1705" s="22" t="n">
        <x:f>IF(T1705="Ready",MAX(0,ROUND(I1705+M1705-Q1705,2)),"n.a.")</x:f>
        <x:v>0</x:v>
      </x:c>
      <x:c r="T1705" s="22" t="str">
        <x:f>IF(AND(COUNT($I$1702:$I$1706)=5,COUNT(E1705:F1705)=2),IF(E1705&gt;=F1705,"Ready","Budget below minima"),"Check inputs")</x:f>
        <x:v>Ready</x:v>
      </x:c>
      <x:c r="U1705" s="22" t="n">
        <x:f>IF(COUNT(I1705,M1705,N1705)=3,MAX(0,ROUND(I1705+M1705-N1705,2)),"n.a.")</x:f>
        <x:v>0</x:v>
      </x:c>
    </x:row>
    <x:row r="1706" ht="22" customHeight="1">
      <x:c r="A1706" s="2"/>
      <x:c r="B1706" s="2"/>
      <x:c r="C1706" s="27" t="n">
        <x:f>340</x:f>
        <x:v>340</x:v>
      </x:c>
      <x:c r="D1706" s="28" t="n">
        <x:f>IF(ISNUMBER('Inputs'!$D$7),EDATE('Inputs'!$D$7,339),"n.a.")</x:f>
        <x:v>56646</x:v>
      </x:c>
      <x:c r="E1706" s="26" t="n">
        <x:f>IF('Inputs'!$D$9&lt;&gt;"Ready","n.a.",IF(ISNUMBER('Inputs'!E358),IF('Inputs'!E358&gt;=0,'Inputs'!E358,"n.a."),IF('Inputs'!E358="",'Inputs'!$D$6,"n.a.")))</x:f>
        <x:v>500</x:v>
      </x:c>
      <x:c r="F1706" s="22" t="n">
        <x:f>IF(COUNT($N$1702:$N$1706)=5,SUM($N$1702:$N$1706),"n.a.")</x:f>
        <x:v>0</x:v>
      </x:c>
      <x:c r="G1706" s="22" t="n">
        <x:f>IF(COUNT(E1706:F1706)=2,MAX(0,E1706-F1706),"n.a.")</x:f>
        <x:v>500</x:v>
      </x:c>
      <x:c r="H1706" s="26" t="str">
        <x:f>'Inputs'!C15</x:f>
        <x:v>Unused 5</x:v>
      </x:c>
      <x:c r="I1706" s="26" t="n">
        <x:f>S1701</x:f>
        <x:v>0</x:v>
      </x:c>
      <x:c r="J1706" s="29" t="n">
        <x:f>IF('Inputs'!$D$9="Ready",'Inputs'!E15,"n.a.")</x:f>
        <x:v>0</x:v>
      </x:c>
      <x:c r="K1706" s="26" t="n">
        <x:f>IF('Inputs'!$D$9="Ready",'Inputs'!F15,"n.a.")</x:f>
        <x:v>0</x:v>
      </x:c>
      <x:c r="L1706" s="29" t="n">
        <x:f>IF('Inputs'!$D$9="Ready",'Inputs'!G15,"n.a.")</x:f>
        <x:v>0</x:v>
      </x:c>
      <x:c r="M1706" s="22" t="n">
        <x:f>IF(COUNT(I1706:L1706)=4,ROUND(I1706*J1706/12,2),"n.a.")</x:f>
        <x:v>0</x:v>
      </x:c>
      <x:c r="N1706" s="22" t="n">
        <x:f>IF(COUNT(I1706:M1706)=5,MIN(I1706+M1706,ROUND(MAX(K1706,I1706*L1706+M1706),2)),"n.a.")</x:f>
        <x:v>0</x:v>
      </x:c>
      <x:c r="O1706" s="30" t="n">
        <x:f>IF(COUNT($I$1702:$I$1706)&lt;&gt;5,"n.a.",IF(I1706=0,6,IF('Inputs'!$D$5=1,COUNTIFS($I$1702:$I$1706,"&gt;0",$I$1702:$I$1706,"&lt;"&amp;I1706)+COUNTIFS($I$1702:I1706,I1706),COUNTIFS($I$1702:$I$1706,"&gt;0",$J$1702:$J$1706,"&gt;"&amp;J1706)+COUNTIFS($I$1702:I1706,"&gt;0",$J$1702:J1706,J1706))))</x:f>
        <x:v>6</x:v>
      </x:c>
      <x:c r="P1706" s="22" t="n">
        <x:f>IF(T1706="Ready",MIN(U1706,MAX(0,G1706-SUMIFS($U$1702:$U$1706,$O$1702:$O$1706,"&lt;"&amp;O1706))),"n.a.")</x:f>
        <x:v>0</x:v>
      </x:c>
      <x:c r="Q1706" s="22" t="n">
        <x:f>IF(T1706="Ready",ROUND(N1706+P1706,2),"n.a.")</x:f>
        <x:v>0</x:v>
      </x:c>
      <x:c r="R1706" s="22" t="n">
        <x:f>IF(T1706="Ready",ROUND(Q1706-M1706,2),"n.a.")</x:f>
        <x:v>0</x:v>
      </x:c>
      <x:c r="S1706" s="22" t="n">
        <x:f>IF(T1706="Ready",MAX(0,ROUND(I1706+M1706-Q1706,2)),"n.a.")</x:f>
        <x:v>0</x:v>
      </x:c>
      <x:c r="T1706" s="22" t="str">
        <x:f>IF(AND(COUNT($I$1702:$I$1706)=5,COUNT(E1706:F1706)=2),IF(E1706&gt;=F1706,"Ready","Budget below minima"),"Check inputs")</x:f>
        <x:v>Ready</x:v>
      </x:c>
      <x:c r="U1706" s="22" t="n">
        <x:f>IF(COUNT(I1706,M1706,N1706)=3,MAX(0,ROUND(I1706+M1706-N1706,2)),"n.a.")</x:f>
        <x:v>0</x:v>
      </x:c>
    </x:row>
    <x:row r="1707" ht="22" customHeight="1">
      <x:c r="A1707" s="2"/>
      <x:c r="B1707" s="2"/>
      <x:c r="C1707" s="27" t="n">
        <x:f>341</x:f>
        <x:v>341</x:v>
      </x:c>
      <x:c r="D1707" s="28" t="n">
        <x:f>IF(ISNUMBER('Inputs'!$D$7),EDATE('Inputs'!$D$7,340),"n.a.")</x:f>
        <x:v>56674</x:v>
      </x:c>
      <x:c r="E1707" s="26" t="n">
        <x:f>IF('Inputs'!$D$9&lt;&gt;"Ready","n.a.",IF(ISNUMBER('Inputs'!E359),IF('Inputs'!E359&gt;=0,'Inputs'!E359,"n.a."),IF('Inputs'!E359="",'Inputs'!$D$6,"n.a.")))</x:f>
        <x:v>500</x:v>
      </x:c>
      <x:c r="F1707" s="22" t="n">
        <x:f>IF(COUNT($N$1707:$N$1711)=5,SUM($N$1707:$N$1711),"n.a.")</x:f>
        <x:v>0</x:v>
      </x:c>
      <x:c r="G1707" s="22" t="n">
        <x:f>IF(COUNT(E1707:F1707)=2,MAX(0,E1707-F1707),"n.a.")</x:f>
        <x:v>500</x:v>
      </x:c>
      <x:c r="H1707" s="26" t="str">
        <x:f>'Inputs'!C11</x:f>
        <x:v>Card A</x:v>
      </x:c>
      <x:c r="I1707" s="26" t="n">
        <x:f>S1702</x:f>
        <x:v>0</x:v>
      </x:c>
      <x:c r="J1707" s="29" t="n">
        <x:f>IF('Inputs'!$D$9="Ready",'Inputs'!E11,"n.a.")</x:f>
        <x:v>0.24</x:v>
      </x:c>
      <x:c r="K1707" s="26" t="n">
        <x:f>IF('Inputs'!$D$9="Ready",'Inputs'!F11,"n.a.")</x:f>
        <x:v>35</x:v>
      </x:c>
      <x:c r="L1707" s="29" t="n">
        <x:f>IF('Inputs'!$D$9="Ready",'Inputs'!G11,"n.a.")</x:f>
        <x:v>0.02</x:v>
      </x:c>
      <x:c r="M1707" s="22" t="n">
        <x:f>IF(COUNT(I1707:L1707)=4,ROUND(I1707*J1707/12,2),"n.a.")</x:f>
        <x:v>0</x:v>
      </x:c>
      <x:c r="N1707" s="22" t="n">
        <x:f>IF(COUNT(I1707:M1707)=5,MIN(I1707+M1707,ROUND(MAX(K1707,I1707*L1707+M1707),2)),"n.a.")</x:f>
        <x:v>0</x:v>
      </x:c>
      <x:c r="O1707" s="30" t="n">
        <x:f>IF(COUNT($I$1707:$I$1711)&lt;&gt;5,"n.a.",IF(I1707=0,6,IF('Inputs'!$D$5=1,COUNTIFS($I$1707:$I$1711,"&gt;0",$I$1707:$I$1711,"&lt;"&amp;I1707)+COUNTIFS($I$1707:I1707,I1707),COUNTIFS($I$1707:$I$1711,"&gt;0",$J$1707:$J$1711,"&gt;"&amp;J1707)+COUNTIFS($I$1707:I1707,"&gt;0",$J$1707:J1707,J1707))))</x:f>
        <x:v>6</x:v>
      </x:c>
      <x:c r="P1707" s="22" t="n">
        <x:f>IF(T1707="Ready",MIN(U1707,MAX(0,G1707-SUMIFS($U$1707:$U$1711,$O$1707:$O$1711,"&lt;"&amp;O1707))),"n.a.")</x:f>
        <x:v>0</x:v>
      </x:c>
      <x:c r="Q1707" s="22" t="n">
        <x:f>IF(T1707="Ready",ROUND(N1707+P1707,2),"n.a.")</x:f>
        <x:v>0</x:v>
      </x:c>
      <x:c r="R1707" s="22" t="n">
        <x:f>IF(T1707="Ready",ROUND(Q1707-M1707,2),"n.a.")</x:f>
        <x:v>0</x:v>
      </x:c>
      <x:c r="S1707" s="22" t="n">
        <x:f>IF(T1707="Ready",MAX(0,ROUND(I1707+M1707-Q1707,2)),"n.a.")</x:f>
        <x:v>0</x:v>
      </x:c>
      <x:c r="T1707" s="22" t="str">
        <x:f>IF(AND(COUNT($I$1707:$I$1711)=5,COUNT(E1707:F1707)=2),IF(E1707&gt;=F1707,"Ready","Budget below minima"),"Check inputs")</x:f>
        <x:v>Ready</x:v>
      </x:c>
      <x:c r="U1707" s="22" t="n">
        <x:f>IF(COUNT(I1707,M1707,N1707)=3,MAX(0,ROUND(I1707+M1707-N1707,2)),"n.a.")</x:f>
        <x:v>0</x:v>
      </x:c>
    </x:row>
    <x:row r="1708" ht="22" customHeight="1">
      <x:c r="A1708" s="2"/>
      <x:c r="B1708" s="2"/>
      <x:c r="C1708" s="27" t="n">
        <x:f>341</x:f>
        <x:v>341</x:v>
      </x:c>
      <x:c r="D1708" s="28" t="n">
        <x:f>IF(ISNUMBER('Inputs'!$D$7),EDATE('Inputs'!$D$7,340),"n.a.")</x:f>
        <x:v>56674</x:v>
      </x:c>
      <x:c r="E1708" s="26" t="n">
        <x:f>IF('Inputs'!$D$9&lt;&gt;"Ready","n.a.",IF(ISNUMBER('Inputs'!E359),IF('Inputs'!E359&gt;=0,'Inputs'!E359,"n.a."),IF('Inputs'!E359="",'Inputs'!$D$6,"n.a.")))</x:f>
        <x:v>500</x:v>
      </x:c>
      <x:c r="F1708" s="22" t="n">
        <x:f>IF(COUNT($N$1707:$N$1711)=5,SUM($N$1707:$N$1711),"n.a.")</x:f>
        <x:v>0</x:v>
      </x:c>
      <x:c r="G1708" s="22" t="n">
        <x:f>IF(COUNT(E1708:F1708)=2,MAX(0,E1708-F1708),"n.a.")</x:f>
        <x:v>500</x:v>
      </x:c>
      <x:c r="H1708" s="26" t="str">
        <x:f>'Inputs'!C12</x:f>
        <x:v>Card B</x:v>
      </x:c>
      <x:c r="I1708" s="26" t="n">
        <x:f>S1703</x:f>
        <x:v>0</x:v>
      </x:c>
      <x:c r="J1708" s="29" t="n">
        <x:f>IF('Inputs'!$D$9="Ready",'Inputs'!E12,"n.a.")</x:f>
        <x:v>0.18</x:v>
      </x:c>
      <x:c r="K1708" s="26" t="n">
        <x:f>IF('Inputs'!$D$9="Ready",'Inputs'!F12,"n.a.")</x:f>
        <x:v>60</x:v>
      </x:c>
      <x:c r="L1708" s="29" t="n">
        <x:f>IF('Inputs'!$D$9="Ready",'Inputs'!G12,"n.a.")</x:f>
        <x:v>0.02</x:v>
      </x:c>
      <x:c r="M1708" s="22" t="n">
        <x:f>IF(COUNT(I1708:L1708)=4,ROUND(I1708*J1708/12,2),"n.a.")</x:f>
        <x:v>0</x:v>
      </x:c>
      <x:c r="N1708" s="22" t="n">
        <x:f>IF(COUNT(I1708:M1708)=5,MIN(I1708+M1708,ROUND(MAX(K1708,I1708*L1708+M1708),2)),"n.a.")</x:f>
        <x:v>0</x:v>
      </x:c>
      <x:c r="O1708" s="30" t="n">
        <x:f>IF(COUNT($I$1707:$I$1711)&lt;&gt;5,"n.a.",IF(I1708=0,6,IF('Inputs'!$D$5=1,COUNTIFS($I$1707:$I$1711,"&gt;0",$I$1707:$I$1711,"&lt;"&amp;I1708)+COUNTIFS($I$1707:I1708,I1708),COUNTIFS($I$1707:$I$1711,"&gt;0",$J$1707:$J$1711,"&gt;"&amp;J1708)+COUNTIFS($I$1707:I1708,"&gt;0",$J$1707:J1708,J1708))))</x:f>
        <x:v>6</x:v>
      </x:c>
      <x:c r="P1708" s="22" t="n">
        <x:f>IF(T1708="Ready",MIN(U1708,MAX(0,G1708-SUMIFS($U$1707:$U$1711,$O$1707:$O$1711,"&lt;"&amp;O1708))),"n.a.")</x:f>
        <x:v>0</x:v>
      </x:c>
      <x:c r="Q1708" s="22" t="n">
        <x:f>IF(T1708="Ready",ROUND(N1708+P1708,2),"n.a.")</x:f>
        <x:v>0</x:v>
      </x:c>
      <x:c r="R1708" s="22" t="n">
        <x:f>IF(T1708="Ready",ROUND(Q1708-M1708,2),"n.a.")</x:f>
        <x:v>0</x:v>
      </x:c>
      <x:c r="S1708" s="22" t="n">
        <x:f>IF(T1708="Ready",MAX(0,ROUND(I1708+M1708-Q1708,2)),"n.a.")</x:f>
        <x:v>0</x:v>
      </x:c>
      <x:c r="T1708" s="22" t="str">
        <x:f>IF(AND(COUNT($I$1707:$I$1711)=5,COUNT(E1708:F1708)=2),IF(E1708&gt;=F1708,"Ready","Budget below minima"),"Check inputs")</x:f>
        <x:v>Ready</x:v>
      </x:c>
      <x:c r="U1708" s="22" t="n">
        <x:f>IF(COUNT(I1708,M1708,N1708)=3,MAX(0,ROUND(I1708+M1708-N1708,2)),"n.a.")</x:f>
        <x:v>0</x:v>
      </x:c>
    </x:row>
    <x:row r="1709" ht="22" customHeight="1">
      <x:c r="A1709" s="2"/>
      <x:c r="B1709" s="2"/>
      <x:c r="C1709" s="27" t="n">
        <x:f>341</x:f>
        <x:v>341</x:v>
      </x:c>
      <x:c r="D1709" s="28" t="n">
        <x:f>IF(ISNUMBER('Inputs'!$D$7),EDATE('Inputs'!$D$7,340),"n.a.")</x:f>
        <x:v>56674</x:v>
      </x:c>
      <x:c r="E1709" s="26" t="n">
        <x:f>IF('Inputs'!$D$9&lt;&gt;"Ready","n.a.",IF(ISNUMBER('Inputs'!E359),IF('Inputs'!E359&gt;=0,'Inputs'!E359,"n.a."),IF('Inputs'!E359="",'Inputs'!$D$6,"n.a.")))</x:f>
        <x:v>500</x:v>
      </x:c>
      <x:c r="F1709" s="22" t="n">
        <x:f>IF(COUNT($N$1707:$N$1711)=5,SUM($N$1707:$N$1711),"n.a.")</x:f>
        <x:v>0</x:v>
      </x:c>
      <x:c r="G1709" s="22" t="n">
        <x:f>IF(COUNT(E1709:F1709)=2,MAX(0,E1709-F1709),"n.a.")</x:f>
        <x:v>500</x:v>
      </x:c>
      <x:c r="H1709" s="26" t="str">
        <x:f>'Inputs'!C13</x:f>
        <x:v>Loan C</x:v>
      </x:c>
      <x:c r="I1709" s="26" t="n">
        <x:f>S1704</x:f>
        <x:v>0</x:v>
      </x:c>
      <x:c r="J1709" s="29" t="n">
        <x:f>IF('Inputs'!$D$9="Ready",'Inputs'!E13,"n.a.")</x:f>
        <x:v>0.08</x:v>
      </x:c>
      <x:c r="K1709" s="26" t="n">
        <x:f>IF('Inputs'!$D$9="Ready",'Inputs'!F13,"n.a.")</x:f>
        <x:v>150</x:v>
      </x:c>
      <x:c r="L1709" s="29" t="n">
        <x:f>IF('Inputs'!$D$9="Ready",'Inputs'!G13,"n.a.")</x:f>
        <x:v>0</x:v>
      </x:c>
      <x:c r="M1709" s="22" t="n">
        <x:f>IF(COUNT(I1709:L1709)=4,ROUND(I1709*J1709/12,2),"n.a.")</x:f>
        <x:v>0</x:v>
      </x:c>
      <x:c r="N1709" s="22" t="n">
        <x:f>IF(COUNT(I1709:M1709)=5,MIN(I1709+M1709,ROUND(MAX(K1709,I1709*L1709+M1709),2)),"n.a.")</x:f>
        <x:v>0</x:v>
      </x:c>
      <x:c r="O1709" s="30" t="n">
        <x:f>IF(COUNT($I$1707:$I$1711)&lt;&gt;5,"n.a.",IF(I1709=0,6,IF('Inputs'!$D$5=1,COUNTIFS($I$1707:$I$1711,"&gt;0",$I$1707:$I$1711,"&lt;"&amp;I1709)+COUNTIFS($I$1707:I1709,I1709),COUNTIFS($I$1707:$I$1711,"&gt;0",$J$1707:$J$1711,"&gt;"&amp;J1709)+COUNTIFS($I$1707:I1709,"&gt;0",$J$1707:J1709,J1709))))</x:f>
        <x:v>6</x:v>
      </x:c>
      <x:c r="P1709" s="22" t="n">
        <x:f>IF(T1709="Ready",MIN(U1709,MAX(0,G1709-SUMIFS($U$1707:$U$1711,$O$1707:$O$1711,"&lt;"&amp;O1709))),"n.a.")</x:f>
        <x:v>0</x:v>
      </x:c>
      <x:c r="Q1709" s="22" t="n">
        <x:f>IF(T1709="Ready",ROUND(N1709+P1709,2),"n.a.")</x:f>
        <x:v>0</x:v>
      </x:c>
      <x:c r="R1709" s="22" t="n">
        <x:f>IF(T1709="Ready",ROUND(Q1709-M1709,2),"n.a.")</x:f>
        <x:v>0</x:v>
      </x:c>
      <x:c r="S1709" s="22" t="n">
        <x:f>IF(T1709="Ready",MAX(0,ROUND(I1709+M1709-Q1709,2)),"n.a.")</x:f>
        <x:v>0</x:v>
      </x:c>
      <x:c r="T1709" s="22" t="str">
        <x:f>IF(AND(COUNT($I$1707:$I$1711)=5,COUNT(E1709:F1709)=2),IF(E1709&gt;=F1709,"Ready","Budget below minima"),"Check inputs")</x:f>
        <x:v>Ready</x:v>
      </x:c>
      <x:c r="U1709" s="22" t="n">
        <x:f>IF(COUNT(I1709,M1709,N1709)=3,MAX(0,ROUND(I1709+M1709-N1709,2)),"n.a.")</x:f>
        <x:v>0</x:v>
      </x:c>
    </x:row>
    <x:row r="1710" ht="22" customHeight="1">
      <x:c r="A1710" s="2"/>
      <x:c r="B1710" s="2"/>
      <x:c r="C1710" s="27" t="n">
        <x:f>341</x:f>
        <x:v>341</x:v>
      </x:c>
      <x:c r="D1710" s="28" t="n">
        <x:f>IF(ISNUMBER('Inputs'!$D$7),EDATE('Inputs'!$D$7,340),"n.a.")</x:f>
        <x:v>56674</x:v>
      </x:c>
      <x:c r="E1710" s="26" t="n">
        <x:f>IF('Inputs'!$D$9&lt;&gt;"Ready","n.a.",IF(ISNUMBER('Inputs'!E359),IF('Inputs'!E359&gt;=0,'Inputs'!E359,"n.a."),IF('Inputs'!E359="",'Inputs'!$D$6,"n.a.")))</x:f>
        <x:v>500</x:v>
      </x:c>
      <x:c r="F1710" s="22" t="n">
        <x:f>IF(COUNT($N$1707:$N$1711)=5,SUM($N$1707:$N$1711),"n.a.")</x:f>
        <x:v>0</x:v>
      </x:c>
      <x:c r="G1710" s="22" t="n">
        <x:f>IF(COUNT(E1710:F1710)=2,MAX(0,E1710-F1710),"n.a.")</x:f>
        <x:v>500</x:v>
      </x:c>
      <x:c r="H1710" s="26" t="str">
        <x:f>'Inputs'!C14</x:f>
        <x:v>Unused 4</x:v>
      </x:c>
      <x:c r="I1710" s="26" t="n">
        <x:f>S1705</x:f>
        <x:v>0</x:v>
      </x:c>
      <x:c r="J1710" s="29" t="n">
        <x:f>IF('Inputs'!$D$9="Ready",'Inputs'!E14,"n.a.")</x:f>
        <x:v>0</x:v>
      </x:c>
      <x:c r="K1710" s="26" t="n">
        <x:f>IF('Inputs'!$D$9="Ready",'Inputs'!F14,"n.a.")</x:f>
        <x:v>0</x:v>
      </x:c>
      <x:c r="L1710" s="29" t="n">
        <x:f>IF('Inputs'!$D$9="Ready",'Inputs'!G14,"n.a.")</x:f>
        <x:v>0</x:v>
      </x:c>
      <x:c r="M1710" s="22" t="n">
        <x:f>IF(COUNT(I1710:L1710)=4,ROUND(I1710*J1710/12,2),"n.a.")</x:f>
        <x:v>0</x:v>
      </x:c>
      <x:c r="N1710" s="22" t="n">
        <x:f>IF(COUNT(I1710:M1710)=5,MIN(I1710+M1710,ROUND(MAX(K1710,I1710*L1710+M1710),2)),"n.a.")</x:f>
        <x:v>0</x:v>
      </x:c>
      <x:c r="O1710" s="30" t="n">
        <x:f>IF(COUNT($I$1707:$I$1711)&lt;&gt;5,"n.a.",IF(I1710=0,6,IF('Inputs'!$D$5=1,COUNTIFS($I$1707:$I$1711,"&gt;0",$I$1707:$I$1711,"&lt;"&amp;I1710)+COUNTIFS($I$1707:I1710,I1710),COUNTIFS($I$1707:$I$1711,"&gt;0",$J$1707:$J$1711,"&gt;"&amp;J1710)+COUNTIFS($I$1707:I1710,"&gt;0",$J$1707:J1710,J1710))))</x:f>
        <x:v>6</x:v>
      </x:c>
      <x:c r="P1710" s="22" t="n">
        <x:f>IF(T1710="Ready",MIN(U1710,MAX(0,G1710-SUMIFS($U$1707:$U$1711,$O$1707:$O$1711,"&lt;"&amp;O1710))),"n.a.")</x:f>
        <x:v>0</x:v>
      </x:c>
      <x:c r="Q1710" s="22" t="n">
        <x:f>IF(T1710="Ready",ROUND(N1710+P1710,2),"n.a.")</x:f>
        <x:v>0</x:v>
      </x:c>
      <x:c r="R1710" s="22" t="n">
        <x:f>IF(T1710="Ready",ROUND(Q1710-M1710,2),"n.a.")</x:f>
        <x:v>0</x:v>
      </x:c>
      <x:c r="S1710" s="22" t="n">
        <x:f>IF(T1710="Ready",MAX(0,ROUND(I1710+M1710-Q1710,2)),"n.a.")</x:f>
        <x:v>0</x:v>
      </x:c>
      <x:c r="T1710" s="22" t="str">
        <x:f>IF(AND(COUNT($I$1707:$I$1711)=5,COUNT(E1710:F1710)=2),IF(E1710&gt;=F1710,"Ready","Budget below minima"),"Check inputs")</x:f>
        <x:v>Ready</x:v>
      </x:c>
      <x:c r="U1710" s="22" t="n">
        <x:f>IF(COUNT(I1710,M1710,N1710)=3,MAX(0,ROUND(I1710+M1710-N1710,2)),"n.a.")</x:f>
        <x:v>0</x:v>
      </x:c>
    </x:row>
    <x:row r="1711" ht="22" customHeight="1">
      <x:c r="A1711" s="2"/>
      <x:c r="B1711" s="2"/>
      <x:c r="C1711" s="27" t="n">
        <x:f>341</x:f>
        <x:v>341</x:v>
      </x:c>
      <x:c r="D1711" s="28" t="n">
        <x:f>IF(ISNUMBER('Inputs'!$D$7),EDATE('Inputs'!$D$7,340),"n.a.")</x:f>
        <x:v>56674</x:v>
      </x:c>
      <x:c r="E1711" s="26" t="n">
        <x:f>IF('Inputs'!$D$9&lt;&gt;"Ready","n.a.",IF(ISNUMBER('Inputs'!E359),IF('Inputs'!E359&gt;=0,'Inputs'!E359,"n.a."),IF('Inputs'!E359="",'Inputs'!$D$6,"n.a.")))</x:f>
        <x:v>500</x:v>
      </x:c>
      <x:c r="F1711" s="22" t="n">
        <x:f>IF(COUNT($N$1707:$N$1711)=5,SUM($N$1707:$N$1711),"n.a.")</x:f>
        <x:v>0</x:v>
      </x:c>
      <x:c r="G1711" s="22" t="n">
        <x:f>IF(COUNT(E1711:F1711)=2,MAX(0,E1711-F1711),"n.a.")</x:f>
        <x:v>500</x:v>
      </x:c>
      <x:c r="H1711" s="26" t="str">
        <x:f>'Inputs'!C15</x:f>
        <x:v>Unused 5</x:v>
      </x:c>
      <x:c r="I1711" s="26" t="n">
        <x:f>S1706</x:f>
        <x:v>0</x:v>
      </x:c>
      <x:c r="J1711" s="29" t="n">
        <x:f>IF('Inputs'!$D$9="Ready",'Inputs'!E15,"n.a.")</x:f>
        <x:v>0</x:v>
      </x:c>
      <x:c r="K1711" s="26" t="n">
        <x:f>IF('Inputs'!$D$9="Ready",'Inputs'!F15,"n.a.")</x:f>
        <x:v>0</x:v>
      </x:c>
      <x:c r="L1711" s="29" t="n">
        <x:f>IF('Inputs'!$D$9="Ready",'Inputs'!G15,"n.a.")</x:f>
        <x:v>0</x:v>
      </x:c>
      <x:c r="M1711" s="22" t="n">
        <x:f>IF(COUNT(I1711:L1711)=4,ROUND(I1711*J1711/12,2),"n.a.")</x:f>
        <x:v>0</x:v>
      </x:c>
      <x:c r="N1711" s="22" t="n">
        <x:f>IF(COUNT(I1711:M1711)=5,MIN(I1711+M1711,ROUND(MAX(K1711,I1711*L1711+M1711),2)),"n.a.")</x:f>
        <x:v>0</x:v>
      </x:c>
      <x:c r="O1711" s="30" t="n">
        <x:f>IF(COUNT($I$1707:$I$1711)&lt;&gt;5,"n.a.",IF(I1711=0,6,IF('Inputs'!$D$5=1,COUNTIFS($I$1707:$I$1711,"&gt;0",$I$1707:$I$1711,"&lt;"&amp;I1711)+COUNTIFS($I$1707:I1711,I1711),COUNTIFS($I$1707:$I$1711,"&gt;0",$J$1707:$J$1711,"&gt;"&amp;J1711)+COUNTIFS($I$1707:I1711,"&gt;0",$J$1707:J1711,J1711))))</x:f>
        <x:v>6</x:v>
      </x:c>
      <x:c r="P1711" s="22" t="n">
        <x:f>IF(T1711="Ready",MIN(U1711,MAX(0,G1711-SUMIFS($U$1707:$U$1711,$O$1707:$O$1711,"&lt;"&amp;O1711))),"n.a.")</x:f>
        <x:v>0</x:v>
      </x:c>
      <x:c r="Q1711" s="22" t="n">
        <x:f>IF(T1711="Ready",ROUND(N1711+P1711,2),"n.a.")</x:f>
        <x:v>0</x:v>
      </x:c>
      <x:c r="R1711" s="22" t="n">
        <x:f>IF(T1711="Ready",ROUND(Q1711-M1711,2),"n.a.")</x:f>
        <x:v>0</x:v>
      </x:c>
      <x:c r="S1711" s="22" t="n">
        <x:f>IF(T1711="Ready",MAX(0,ROUND(I1711+M1711-Q1711,2)),"n.a.")</x:f>
        <x:v>0</x:v>
      </x:c>
      <x:c r="T1711" s="22" t="str">
        <x:f>IF(AND(COUNT($I$1707:$I$1711)=5,COUNT(E1711:F1711)=2),IF(E1711&gt;=F1711,"Ready","Budget below minima"),"Check inputs")</x:f>
        <x:v>Ready</x:v>
      </x:c>
      <x:c r="U1711" s="22" t="n">
        <x:f>IF(COUNT(I1711,M1711,N1711)=3,MAX(0,ROUND(I1711+M1711-N1711,2)),"n.a.")</x:f>
        <x:v>0</x:v>
      </x:c>
    </x:row>
    <x:row r="1712" ht="22" customHeight="1">
      <x:c r="A1712" s="2"/>
      <x:c r="B1712" s="2"/>
      <x:c r="C1712" s="27" t="n">
        <x:f>342</x:f>
        <x:v>342</x:v>
      </x:c>
      <x:c r="D1712" s="28" t="n">
        <x:f>IF(ISNUMBER('Inputs'!$D$7),EDATE('Inputs'!$D$7,341),"n.a.")</x:f>
        <x:v>56705</x:v>
      </x:c>
      <x:c r="E1712" s="26" t="n">
        <x:f>IF('Inputs'!$D$9&lt;&gt;"Ready","n.a.",IF(ISNUMBER('Inputs'!E360),IF('Inputs'!E360&gt;=0,'Inputs'!E360,"n.a."),IF('Inputs'!E360="",'Inputs'!$D$6,"n.a.")))</x:f>
        <x:v>500</x:v>
      </x:c>
      <x:c r="F1712" s="22" t="n">
        <x:f>IF(COUNT($N$1712:$N$1716)=5,SUM($N$1712:$N$1716),"n.a.")</x:f>
        <x:v>0</x:v>
      </x:c>
      <x:c r="G1712" s="22" t="n">
        <x:f>IF(COUNT(E1712:F1712)=2,MAX(0,E1712-F1712),"n.a.")</x:f>
        <x:v>500</x:v>
      </x:c>
      <x:c r="H1712" s="26" t="str">
        <x:f>'Inputs'!C11</x:f>
        <x:v>Card A</x:v>
      </x:c>
      <x:c r="I1712" s="26" t="n">
        <x:f>S1707</x:f>
        <x:v>0</x:v>
      </x:c>
      <x:c r="J1712" s="29" t="n">
        <x:f>IF('Inputs'!$D$9="Ready",'Inputs'!E11,"n.a.")</x:f>
        <x:v>0.24</x:v>
      </x:c>
      <x:c r="K1712" s="26" t="n">
        <x:f>IF('Inputs'!$D$9="Ready",'Inputs'!F11,"n.a.")</x:f>
        <x:v>35</x:v>
      </x:c>
      <x:c r="L1712" s="29" t="n">
        <x:f>IF('Inputs'!$D$9="Ready",'Inputs'!G11,"n.a.")</x:f>
        <x:v>0.02</x:v>
      </x:c>
      <x:c r="M1712" s="22" t="n">
        <x:f>IF(COUNT(I1712:L1712)=4,ROUND(I1712*J1712/12,2),"n.a.")</x:f>
        <x:v>0</x:v>
      </x:c>
      <x:c r="N1712" s="22" t="n">
        <x:f>IF(COUNT(I1712:M1712)=5,MIN(I1712+M1712,ROUND(MAX(K1712,I1712*L1712+M1712),2)),"n.a.")</x:f>
        <x:v>0</x:v>
      </x:c>
      <x:c r="O1712" s="30" t="n">
        <x:f>IF(COUNT($I$1712:$I$1716)&lt;&gt;5,"n.a.",IF(I1712=0,6,IF('Inputs'!$D$5=1,COUNTIFS($I$1712:$I$1716,"&gt;0",$I$1712:$I$1716,"&lt;"&amp;I1712)+COUNTIFS($I$1712:I1712,I1712),COUNTIFS($I$1712:$I$1716,"&gt;0",$J$1712:$J$1716,"&gt;"&amp;J1712)+COUNTIFS($I$1712:I1712,"&gt;0",$J$1712:J1712,J1712))))</x:f>
        <x:v>6</x:v>
      </x:c>
      <x:c r="P1712" s="22" t="n">
        <x:f>IF(T1712="Ready",MIN(U1712,MAX(0,G1712-SUMIFS($U$1712:$U$1716,$O$1712:$O$1716,"&lt;"&amp;O1712))),"n.a.")</x:f>
        <x:v>0</x:v>
      </x:c>
      <x:c r="Q1712" s="22" t="n">
        <x:f>IF(T1712="Ready",ROUND(N1712+P1712,2),"n.a.")</x:f>
        <x:v>0</x:v>
      </x:c>
      <x:c r="R1712" s="22" t="n">
        <x:f>IF(T1712="Ready",ROUND(Q1712-M1712,2),"n.a.")</x:f>
        <x:v>0</x:v>
      </x:c>
      <x:c r="S1712" s="22" t="n">
        <x:f>IF(T1712="Ready",MAX(0,ROUND(I1712+M1712-Q1712,2)),"n.a.")</x:f>
        <x:v>0</x:v>
      </x:c>
      <x:c r="T1712" s="22" t="str">
        <x:f>IF(AND(COUNT($I$1712:$I$1716)=5,COUNT(E1712:F1712)=2),IF(E1712&gt;=F1712,"Ready","Budget below minima"),"Check inputs")</x:f>
        <x:v>Ready</x:v>
      </x:c>
      <x:c r="U1712" s="22" t="n">
        <x:f>IF(COUNT(I1712,M1712,N1712)=3,MAX(0,ROUND(I1712+M1712-N1712,2)),"n.a.")</x:f>
        <x:v>0</x:v>
      </x:c>
    </x:row>
    <x:row r="1713" ht="22" customHeight="1">
      <x:c r="A1713" s="2"/>
      <x:c r="B1713" s="2"/>
      <x:c r="C1713" s="27" t="n">
        <x:f>342</x:f>
        <x:v>342</x:v>
      </x:c>
      <x:c r="D1713" s="28" t="n">
        <x:f>IF(ISNUMBER('Inputs'!$D$7),EDATE('Inputs'!$D$7,341),"n.a.")</x:f>
        <x:v>56705</x:v>
      </x:c>
      <x:c r="E1713" s="26" t="n">
        <x:f>IF('Inputs'!$D$9&lt;&gt;"Ready","n.a.",IF(ISNUMBER('Inputs'!E360),IF('Inputs'!E360&gt;=0,'Inputs'!E360,"n.a."),IF('Inputs'!E360="",'Inputs'!$D$6,"n.a.")))</x:f>
        <x:v>500</x:v>
      </x:c>
      <x:c r="F1713" s="22" t="n">
        <x:f>IF(COUNT($N$1712:$N$1716)=5,SUM($N$1712:$N$1716),"n.a.")</x:f>
        <x:v>0</x:v>
      </x:c>
      <x:c r="G1713" s="22" t="n">
        <x:f>IF(COUNT(E1713:F1713)=2,MAX(0,E1713-F1713),"n.a.")</x:f>
        <x:v>500</x:v>
      </x:c>
      <x:c r="H1713" s="26" t="str">
        <x:f>'Inputs'!C12</x:f>
        <x:v>Card B</x:v>
      </x:c>
      <x:c r="I1713" s="26" t="n">
        <x:f>S1708</x:f>
        <x:v>0</x:v>
      </x:c>
      <x:c r="J1713" s="29" t="n">
        <x:f>IF('Inputs'!$D$9="Ready",'Inputs'!E12,"n.a.")</x:f>
        <x:v>0.18</x:v>
      </x:c>
      <x:c r="K1713" s="26" t="n">
        <x:f>IF('Inputs'!$D$9="Ready",'Inputs'!F12,"n.a.")</x:f>
        <x:v>60</x:v>
      </x:c>
      <x:c r="L1713" s="29" t="n">
        <x:f>IF('Inputs'!$D$9="Ready",'Inputs'!G12,"n.a.")</x:f>
        <x:v>0.02</x:v>
      </x:c>
      <x:c r="M1713" s="22" t="n">
        <x:f>IF(COUNT(I1713:L1713)=4,ROUND(I1713*J1713/12,2),"n.a.")</x:f>
        <x:v>0</x:v>
      </x:c>
      <x:c r="N1713" s="22" t="n">
        <x:f>IF(COUNT(I1713:M1713)=5,MIN(I1713+M1713,ROUND(MAX(K1713,I1713*L1713+M1713),2)),"n.a.")</x:f>
        <x:v>0</x:v>
      </x:c>
      <x:c r="O1713" s="30" t="n">
        <x:f>IF(COUNT($I$1712:$I$1716)&lt;&gt;5,"n.a.",IF(I1713=0,6,IF('Inputs'!$D$5=1,COUNTIFS($I$1712:$I$1716,"&gt;0",$I$1712:$I$1716,"&lt;"&amp;I1713)+COUNTIFS($I$1712:I1713,I1713),COUNTIFS($I$1712:$I$1716,"&gt;0",$J$1712:$J$1716,"&gt;"&amp;J1713)+COUNTIFS($I$1712:I1713,"&gt;0",$J$1712:J1713,J1713))))</x:f>
        <x:v>6</x:v>
      </x:c>
      <x:c r="P1713" s="22" t="n">
        <x:f>IF(T1713="Ready",MIN(U1713,MAX(0,G1713-SUMIFS($U$1712:$U$1716,$O$1712:$O$1716,"&lt;"&amp;O1713))),"n.a.")</x:f>
        <x:v>0</x:v>
      </x:c>
      <x:c r="Q1713" s="22" t="n">
        <x:f>IF(T1713="Ready",ROUND(N1713+P1713,2),"n.a.")</x:f>
        <x:v>0</x:v>
      </x:c>
      <x:c r="R1713" s="22" t="n">
        <x:f>IF(T1713="Ready",ROUND(Q1713-M1713,2),"n.a.")</x:f>
        <x:v>0</x:v>
      </x:c>
      <x:c r="S1713" s="22" t="n">
        <x:f>IF(T1713="Ready",MAX(0,ROUND(I1713+M1713-Q1713,2)),"n.a.")</x:f>
        <x:v>0</x:v>
      </x:c>
      <x:c r="T1713" s="22" t="str">
        <x:f>IF(AND(COUNT($I$1712:$I$1716)=5,COUNT(E1713:F1713)=2),IF(E1713&gt;=F1713,"Ready","Budget below minima"),"Check inputs")</x:f>
        <x:v>Ready</x:v>
      </x:c>
      <x:c r="U1713" s="22" t="n">
        <x:f>IF(COUNT(I1713,M1713,N1713)=3,MAX(0,ROUND(I1713+M1713-N1713,2)),"n.a.")</x:f>
        <x:v>0</x:v>
      </x:c>
    </x:row>
    <x:row r="1714" ht="22" customHeight="1">
      <x:c r="A1714" s="2"/>
      <x:c r="B1714" s="2"/>
      <x:c r="C1714" s="27" t="n">
        <x:f>342</x:f>
        <x:v>342</x:v>
      </x:c>
      <x:c r="D1714" s="28" t="n">
        <x:f>IF(ISNUMBER('Inputs'!$D$7),EDATE('Inputs'!$D$7,341),"n.a.")</x:f>
        <x:v>56705</x:v>
      </x:c>
      <x:c r="E1714" s="26" t="n">
        <x:f>IF('Inputs'!$D$9&lt;&gt;"Ready","n.a.",IF(ISNUMBER('Inputs'!E360),IF('Inputs'!E360&gt;=0,'Inputs'!E360,"n.a."),IF('Inputs'!E360="",'Inputs'!$D$6,"n.a.")))</x:f>
        <x:v>500</x:v>
      </x:c>
      <x:c r="F1714" s="22" t="n">
        <x:f>IF(COUNT($N$1712:$N$1716)=5,SUM($N$1712:$N$1716),"n.a.")</x:f>
        <x:v>0</x:v>
      </x:c>
      <x:c r="G1714" s="22" t="n">
        <x:f>IF(COUNT(E1714:F1714)=2,MAX(0,E1714-F1714),"n.a.")</x:f>
        <x:v>500</x:v>
      </x:c>
      <x:c r="H1714" s="26" t="str">
        <x:f>'Inputs'!C13</x:f>
        <x:v>Loan C</x:v>
      </x:c>
      <x:c r="I1714" s="26" t="n">
        <x:f>S1709</x:f>
        <x:v>0</x:v>
      </x:c>
      <x:c r="J1714" s="29" t="n">
        <x:f>IF('Inputs'!$D$9="Ready",'Inputs'!E13,"n.a.")</x:f>
        <x:v>0.08</x:v>
      </x:c>
      <x:c r="K1714" s="26" t="n">
        <x:f>IF('Inputs'!$D$9="Ready",'Inputs'!F13,"n.a.")</x:f>
        <x:v>150</x:v>
      </x:c>
      <x:c r="L1714" s="29" t="n">
        <x:f>IF('Inputs'!$D$9="Ready",'Inputs'!G13,"n.a.")</x:f>
        <x:v>0</x:v>
      </x:c>
      <x:c r="M1714" s="22" t="n">
        <x:f>IF(COUNT(I1714:L1714)=4,ROUND(I1714*J1714/12,2),"n.a.")</x:f>
        <x:v>0</x:v>
      </x:c>
      <x:c r="N1714" s="22" t="n">
        <x:f>IF(COUNT(I1714:M1714)=5,MIN(I1714+M1714,ROUND(MAX(K1714,I1714*L1714+M1714),2)),"n.a.")</x:f>
        <x:v>0</x:v>
      </x:c>
      <x:c r="O1714" s="30" t="n">
        <x:f>IF(COUNT($I$1712:$I$1716)&lt;&gt;5,"n.a.",IF(I1714=0,6,IF('Inputs'!$D$5=1,COUNTIFS($I$1712:$I$1716,"&gt;0",$I$1712:$I$1716,"&lt;"&amp;I1714)+COUNTIFS($I$1712:I1714,I1714),COUNTIFS($I$1712:$I$1716,"&gt;0",$J$1712:$J$1716,"&gt;"&amp;J1714)+COUNTIFS($I$1712:I1714,"&gt;0",$J$1712:J1714,J1714))))</x:f>
        <x:v>6</x:v>
      </x:c>
      <x:c r="P1714" s="22" t="n">
        <x:f>IF(T1714="Ready",MIN(U1714,MAX(0,G1714-SUMIFS($U$1712:$U$1716,$O$1712:$O$1716,"&lt;"&amp;O1714))),"n.a.")</x:f>
        <x:v>0</x:v>
      </x:c>
      <x:c r="Q1714" s="22" t="n">
        <x:f>IF(T1714="Ready",ROUND(N1714+P1714,2),"n.a.")</x:f>
        <x:v>0</x:v>
      </x:c>
      <x:c r="R1714" s="22" t="n">
        <x:f>IF(T1714="Ready",ROUND(Q1714-M1714,2),"n.a.")</x:f>
        <x:v>0</x:v>
      </x:c>
      <x:c r="S1714" s="22" t="n">
        <x:f>IF(T1714="Ready",MAX(0,ROUND(I1714+M1714-Q1714,2)),"n.a.")</x:f>
        <x:v>0</x:v>
      </x:c>
      <x:c r="T1714" s="22" t="str">
        <x:f>IF(AND(COUNT($I$1712:$I$1716)=5,COUNT(E1714:F1714)=2),IF(E1714&gt;=F1714,"Ready","Budget below minima"),"Check inputs")</x:f>
        <x:v>Ready</x:v>
      </x:c>
      <x:c r="U1714" s="22" t="n">
        <x:f>IF(COUNT(I1714,M1714,N1714)=3,MAX(0,ROUND(I1714+M1714-N1714,2)),"n.a.")</x:f>
        <x:v>0</x:v>
      </x:c>
    </x:row>
    <x:row r="1715" ht="22" customHeight="1">
      <x:c r="A1715" s="2"/>
      <x:c r="B1715" s="2"/>
      <x:c r="C1715" s="27" t="n">
        <x:f>342</x:f>
        <x:v>342</x:v>
      </x:c>
      <x:c r="D1715" s="28" t="n">
        <x:f>IF(ISNUMBER('Inputs'!$D$7),EDATE('Inputs'!$D$7,341),"n.a.")</x:f>
        <x:v>56705</x:v>
      </x:c>
      <x:c r="E1715" s="26" t="n">
        <x:f>IF('Inputs'!$D$9&lt;&gt;"Ready","n.a.",IF(ISNUMBER('Inputs'!E360),IF('Inputs'!E360&gt;=0,'Inputs'!E360,"n.a."),IF('Inputs'!E360="",'Inputs'!$D$6,"n.a.")))</x:f>
        <x:v>500</x:v>
      </x:c>
      <x:c r="F1715" s="22" t="n">
        <x:f>IF(COUNT($N$1712:$N$1716)=5,SUM($N$1712:$N$1716),"n.a.")</x:f>
        <x:v>0</x:v>
      </x:c>
      <x:c r="G1715" s="22" t="n">
        <x:f>IF(COUNT(E1715:F1715)=2,MAX(0,E1715-F1715),"n.a.")</x:f>
        <x:v>500</x:v>
      </x:c>
      <x:c r="H1715" s="26" t="str">
        <x:f>'Inputs'!C14</x:f>
        <x:v>Unused 4</x:v>
      </x:c>
      <x:c r="I1715" s="26" t="n">
        <x:f>S1710</x:f>
        <x:v>0</x:v>
      </x:c>
      <x:c r="J1715" s="29" t="n">
        <x:f>IF('Inputs'!$D$9="Ready",'Inputs'!E14,"n.a.")</x:f>
        <x:v>0</x:v>
      </x:c>
      <x:c r="K1715" s="26" t="n">
        <x:f>IF('Inputs'!$D$9="Ready",'Inputs'!F14,"n.a.")</x:f>
        <x:v>0</x:v>
      </x:c>
      <x:c r="L1715" s="29" t="n">
        <x:f>IF('Inputs'!$D$9="Ready",'Inputs'!G14,"n.a.")</x:f>
        <x:v>0</x:v>
      </x:c>
      <x:c r="M1715" s="22" t="n">
        <x:f>IF(COUNT(I1715:L1715)=4,ROUND(I1715*J1715/12,2),"n.a.")</x:f>
        <x:v>0</x:v>
      </x:c>
      <x:c r="N1715" s="22" t="n">
        <x:f>IF(COUNT(I1715:M1715)=5,MIN(I1715+M1715,ROUND(MAX(K1715,I1715*L1715+M1715),2)),"n.a.")</x:f>
        <x:v>0</x:v>
      </x:c>
      <x:c r="O1715" s="30" t="n">
        <x:f>IF(COUNT($I$1712:$I$1716)&lt;&gt;5,"n.a.",IF(I1715=0,6,IF('Inputs'!$D$5=1,COUNTIFS($I$1712:$I$1716,"&gt;0",$I$1712:$I$1716,"&lt;"&amp;I1715)+COUNTIFS($I$1712:I1715,I1715),COUNTIFS($I$1712:$I$1716,"&gt;0",$J$1712:$J$1716,"&gt;"&amp;J1715)+COUNTIFS($I$1712:I1715,"&gt;0",$J$1712:J1715,J1715))))</x:f>
        <x:v>6</x:v>
      </x:c>
      <x:c r="P1715" s="22" t="n">
        <x:f>IF(T1715="Ready",MIN(U1715,MAX(0,G1715-SUMIFS($U$1712:$U$1716,$O$1712:$O$1716,"&lt;"&amp;O1715))),"n.a.")</x:f>
        <x:v>0</x:v>
      </x:c>
      <x:c r="Q1715" s="22" t="n">
        <x:f>IF(T1715="Ready",ROUND(N1715+P1715,2),"n.a.")</x:f>
        <x:v>0</x:v>
      </x:c>
      <x:c r="R1715" s="22" t="n">
        <x:f>IF(T1715="Ready",ROUND(Q1715-M1715,2),"n.a.")</x:f>
        <x:v>0</x:v>
      </x:c>
      <x:c r="S1715" s="22" t="n">
        <x:f>IF(T1715="Ready",MAX(0,ROUND(I1715+M1715-Q1715,2)),"n.a.")</x:f>
        <x:v>0</x:v>
      </x:c>
      <x:c r="T1715" s="22" t="str">
        <x:f>IF(AND(COUNT($I$1712:$I$1716)=5,COUNT(E1715:F1715)=2),IF(E1715&gt;=F1715,"Ready","Budget below minima"),"Check inputs")</x:f>
        <x:v>Ready</x:v>
      </x:c>
      <x:c r="U1715" s="22" t="n">
        <x:f>IF(COUNT(I1715,M1715,N1715)=3,MAX(0,ROUND(I1715+M1715-N1715,2)),"n.a.")</x:f>
        <x:v>0</x:v>
      </x:c>
    </x:row>
    <x:row r="1716" ht="22" customHeight="1">
      <x:c r="A1716" s="2"/>
      <x:c r="B1716" s="2"/>
      <x:c r="C1716" s="27" t="n">
        <x:f>342</x:f>
        <x:v>342</x:v>
      </x:c>
      <x:c r="D1716" s="28" t="n">
        <x:f>IF(ISNUMBER('Inputs'!$D$7),EDATE('Inputs'!$D$7,341),"n.a.")</x:f>
        <x:v>56705</x:v>
      </x:c>
      <x:c r="E1716" s="26" t="n">
        <x:f>IF('Inputs'!$D$9&lt;&gt;"Ready","n.a.",IF(ISNUMBER('Inputs'!E360),IF('Inputs'!E360&gt;=0,'Inputs'!E360,"n.a."),IF('Inputs'!E360="",'Inputs'!$D$6,"n.a.")))</x:f>
        <x:v>500</x:v>
      </x:c>
      <x:c r="F1716" s="22" t="n">
        <x:f>IF(COUNT($N$1712:$N$1716)=5,SUM($N$1712:$N$1716),"n.a.")</x:f>
        <x:v>0</x:v>
      </x:c>
      <x:c r="G1716" s="22" t="n">
        <x:f>IF(COUNT(E1716:F1716)=2,MAX(0,E1716-F1716),"n.a.")</x:f>
        <x:v>500</x:v>
      </x:c>
      <x:c r="H1716" s="26" t="str">
        <x:f>'Inputs'!C15</x:f>
        <x:v>Unused 5</x:v>
      </x:c>
      <x:c r="I1716" s="26" t="n">
        <x:f>S1711</x:f>
        <x:v>0</x:v>
      </x:c>
      <x:c r="J1716" s="29" t="n">
        <x:f>IF('Inputs'!$D$9="Ready",'Inputs'!E15,"n.a.")</x:f>
        <x:v>0</x:v>
      </x:c>
      <x:c r="K1716" s="26" t="n">
        <x:f>IF('Inputs'!$D$9="Ready",'Inputs'!F15,"n.a.")</x:f>
        <x:v>0</x:v>
      </x:c>
      <x:c r="L1716" s="29" t="n">
        <x:f>IF('Inputs'!$D$9="Ready",'Inputs'!G15,"n.a.")</x:f>
        <x:v>0</x:v>
      </x:c>
      <x:c r="M1716" s="22" t="n">
        <x:f>IF(COUNT(I1716:L1716)=4,ROUND(I1716*J1716/12,2),"n.a.")</x:f>
        <x:v>0</x:v>
      </x:c>
      <x:c r="N1716" s="22" t="n">
        <x:f>IF(COUNT(I1716:M1716)=5,MIN(I1716+M1716,ROUND(MAX(K1716,I1716*L1716+M1716),2)),"n.a.")</x:f>
        <x:v>0</x:v>
      </x:c>
      <x:c r="O1716" s="30" t="n">
        <x:f>IF(COUNT($I$1712:$I$1716)&lt;&gt;5,"n.a.",IF(I1716=0,6,IF('Inputs'!$D$5=1,COUNTIFS($I$1712:$I$1716,"&gt;0",$I$1712:$I$1716,"&lt;"&amp;I1716)+COUNTIFS($I$1712:I1716,I1716),COUNTIFS($I$1712:$I$1716,"&gt;0",$J$1712:$J$1716,"&gt;"&amp;J1716)+COUNTIFS($I$1712:I1716,"&gt;0",$J$1712:J1716,J1716))))</x:f>
        <x:v>6</x:v>
      </x:c>
      <x:c r="P1716" s="22" t="n">
        <x:f>IF(T1716="Ready",MIN(U1716,MAX(0,G1716-SUMIFS($U$1712:$U$1716,$O$1712:$O$1716,"&lt;"&amp;O1716))),"n.a.")</x:f>
        <x:v>0</x:v>
      </x:c>
      <x:c r="Q1716" s="22" t="n">
        <x:f>IF(T1716="Ready",ROUND(N1716+P1716,2),"n.a.")</x:f>
        <x:v>0</x:v>
      </x:c>
      <x:c r="R1716" s="22" t="n">
        <x:f>IF(T1716="Ready",ROUND(Q1716-M1716,2),"n.a.")</x:f>
        <x:v>0</x:v>
      </x:c>
      <x:c r="S1716" s="22" t="n">
        <x:f>IF(T1716="Ready",MAX(0,ROUND(I1716+M1716-Q1716,2)),"n.a.")</x:f>
        <x:v>0</x:v>
      </x:c>
      <x:c r="T1716" s="22" t="str">
        <x:f>IF(AND(COUNT($I$1712:$I$1716)=5,COUNT(E1716:F1716)=2),IF(E1716&gt;=F1716,"Ready","Budget below minima"),"Check inputs")</x:f>
        <x:v>Ready</x:v>
      </x:c>
      <x:c r="U1716" s="22" t="n">
        <x:f>IF(COUNT(I1716,M1716,N1716)=3,MAX(0,ROUND(I1716+M1716-N1716,2)),"n.a.")</x:f>
        <x:v>0</x:v>
      </x:c>
    </x:row>
    <x:row r="1717" ht="22" customHeight="1">
      <x:c r="A1717" s="2"/>
      <x:c r="B1717" s="2"/>
      <x:c r="C1717" s="27" t="n">
        <x:f>343</x:f>
        <x:v>343</x:v>
      </x:c>
      <x:c r="D1717" s="28" t="n">
        <x:f>IF(ISNUMBER('Inputs'!$D$7),EDATE('Inputs'!$D$7,342),"n.a.")</x:f>
        <x:v>56735</x:v>
      </x:c>
      <x:c r="E1717" s="26" t="n">
        <x:f>IF('Inputs'!$D$9&lt;&gt;"Ready","n.a.",IF(ISNUMBER('Inputs'!E361),IF('Inputs'!E361&gt;=0,'Inputs'!E361,"n.a."),IF('Inputs'!E361="",'Inputs'!$D$6,"n.a.")))</x:f>
        <x:v>500</x:v>
      </x:c>
      <x:c r="F1717" s="22" t="n">
        <x:f>IF(COUNT($N$1717:$N$1721)=5,SUM($N$1717:$N$1721),"n.a.")</x:f>
        <x:v>0</x:v>
      </x:c>
      <x:c r="G1717" s="22" t="n">
        <x:f>IF(COUNT(E1717:F1717)=2,MAX(0,E1717-F1717),"n.a.")</x:f>
        <x:v>500</x:v>
      </x:c>
      <x:c r="H1717" s="26" t="str">
        <x:f>'Inputs'!C11</x:f>
        <x:v>Card A</x:v>
      </x:c>
      <x:c r="I1717" s="26" t="n">
        <x:f>S1712</x:f>
        <x:v>0</x:v>
      </x:c>
      <x:c r="J1717" s="29" t="n">
        <x:f>IF('Inputs'!$D$9="Ready",'Inputs'!E11,"n.a.")</x:f>
        <x:v>0.24</x:v>
      </x:c>
      <x:c r="K1717" s="26" t="n">
        <x:f>IF('Inputs'!$D$9="Ready",'Inputs'!F11,"n.a.")</x:f>
        <x:v>35</x:v>
      </x:c>
      <x:c r="L1717" s="29" t="n">
        <x:f>IF('Inputs'!$D$9="Ready",'Inputs'!G11,"n.a.")</x:f>
        <x:v>0.02</x:v>
      </x:c>
      <x:c r="M1717" s="22" t="n">
        <x:f>IF(COUNT(I1717:L1717)=4,ROUND(I1717*J1717/12,2),"n.a.")</x:f>
        <x:v>0</x:v>
      </x:c>
      <x:c r="N1717" s="22" t="n">
        <x:f>IF(COUNT(I1717:M1717)=5,MIN(I1717+M1717,ROUND(MAX(K1717,I1717*L1717+M1717),2)),"n.a.")</x:f>
        <x:v>0</x:v>
      </x:c>
      <x:c r="O1717" s="30" t="n">
        <x:f>IF(COUNT($I$1717:$I$1721)&lt;&gt;5,"n.a.",IF(I1717=0,6,IF('Inputs'!$D$5=1,COUNTIFS($I$1717:$I$1721,"&gt;0",$I$1717:$I$1721,"&lt;"&amp;I1717)+COUNTIFS($I$1717:I1717,I1717),COUNTIFS($I$1717:$I$1721,"&gt;0",$J$1717:$J$1721,"&gt;"&amp;J1717)+COUNTIFS($I$1717:I1717,"&gt;0",$J$1717:J1717,J1717))))</x:f>
        <x:v>6</x:v>
      </x:c>
      <x:c r="P1717" s="22" t="n">
        <x:f>IF(T1717="Ready",MIN(U1717,MAX(0,G1717-SUMIFS($U$1717:$U$1721,$O$1717:$O$1721,"&lt;"&amp;O1717))),"n.a.")</x:f>
        <x:v>0</x:v>
      </x:c>
      <x:c r="Q1717" s="22" t="n">
        <x:f>IF(T1717="Ready",ROUND(N1717+P1717,2),"n.a.")</x:f>
        <x:v>0</x:v>
      </x:c>
      <x:c r="R1717" s="22" t="n">
        <x:f>IF(T1717="Ready",ROUND(Q1717-M1717,2),"n.a.")</x:f>
        <x:v>0</x:v>
      </x:c>
      <x:c r="S1717" s="22" t="n">
        <x:f>IF(T1717="Ready",MAX(0,ROUND(I1717+M1717-Q1717,2)),"n.a.")</x:f>
        <x:v>0</x:v>
      </x:c>
      <x:c r="T1717" s="22" t="str">
        <x:f>IF(AND(COUNT($I$1717:$I$1721)=5,COUNT(E1717:F1717)=2),IF(E1717&gt;=F1717,"Ready","Budget below minima"),"Check inputs")</x:f>
        <x:v>Ready</x:v>
      </x:c>
      <x:c r="U1717" s="22" t="n">
        <x:f>IF(COUNT(I1717,M1717,N1717)=3,MAX(0,ROUND(I1717+M1717-N1717,2)),"n.a.")</x:f>
        <x:v>0</x:v>
      </x:c>
    </x:row>
    <x:row r="1718" ht="22" customHeight="1">
      <x:c r="A1718" s="2"/>
      <x:c r="B1718" s="2"/>
      <x:c r="C1718" s="27" t="n">
        <x:f>343</x:f>
        <x:v>343</x:v>
      </x:c>
      <x:c r="D1718" s="28" t="n">
        <x:f>IF(ISNUMBER('Inputs'!$D$7),EDATE('Inputs'!$D$7,342),"n.a.")</x:f>
        <x:v>56735</x:v>
      </x:c>
      <x:c r="E1718" s="26" t="n">
        <x:f>IF('Inputs'!$D$9&lt;&gt;"Ready","n.a.",IF(ISNUMBER('Inputs'!E361),IF('Inputs'!E361&gt;=0,'Inputs'!E361,"n.a."),IF('Inputs'!E361="",'Inputs'!$D$6,"n.a.")))</x:f>
        <x:v>500</x:v>
      </x:c>
      <x:c r="F1718" s="22" t="n">
        <x:f>IF(COUNT($N$1717:$N$1721)=5,SUM($N$1717:$N$1721),"n.a.")</x:f>
        <x:v>0</x:v>
      </x:c>
      <x:c r="G1718" s="22" t="n">
        <x:f>IF(COUNT(E1718:F1718)=2,MAX(0,E1718-F1718),"n.a.")</x:f>
        <x:v>500</x:v>
      </x:c>
      <x:c r="H1718" s="26" t="str">
        <x:f>'Inputs'!C12</x:f>
        <x:v>Card B</x:v>
      </x:c>
      <x:c r="I1718" s="26" t="n">
        <x:f>S1713</x:f>
        <x:v>0</x:v>
      </x:c>
      <x:c r="J1718" s="29" t="n">
        <x:f>IF('Inputs'!$D$9="Ready",'Inputs'!E12,"n.a.")</x:f>
        <x:v>0.18</x:v>
      </x:c>
      <x:c r="K1718" s="26" t="n">
        <x:f>IF('Inputs'!$D$9="Ready",'Inputs'!F12,"n.a.")</x:f>
        <x:v>60</x:v>
      </x:c>
      <x:c r="L1718" s="29" t="n">
        <x:f>IF('Inputs'!$D$9="Ready",'Inputs'!G12,"n.a.")</x:f>
        <x:v>0.02</x:v>
      </x:c>
      <x:c r="M1718" s="22" t="n">
        <x:f>IF(COUNT(I1718:L1718)=4,ROUND(I1718*J1718/12,2),"n.a.")</x:f>
        <x:v>0</x:v>
      </x:c>
      <x:c r="N1718" s="22" t="n">
        <x:f>IF(COUNT(I1718:M1718)=5,MIN(I1718+M1718,ROUND(MAX(K1718,I1718*L1718+M1718),2)),"n.a.")</x:f>
        <x:v>0</x:v>
      </x:c>
      <x:c r="O1718" s="30" t="n">
        <x:f>IF(COUNT($I$1717:$I$1721)&lt;&gt;5,"n.a.",IF(I1718=0,6,IF('Inputs'!$D$5=1,COUNTIFS($I$1717:$I$1721,"&gt;0",$I$1717:$I$1721,"&lt;"&amp;I1718)+COUNTIFS($I$1717:I1718,I1718),COUNTIFS($I$1717:$I$1721,"&gt;0",$J$1717:$J$1721,"&gt;"&amp;J1718)+COUNTIFS($I$1717:I1718,"&gt;0",$J$1717:J1718,J1718))))</x:f>
        <x:v>6</x:v>
      </x:c>
      <x:c r="P1718" s="22" t="n">
        <x:f>IF(T1718="Ready",MIN(U1718,MAX(0,G1718-SUMIFS($U$1717:$U$1721,$O$1717:$O$1721,"&lt;"&amp;O1718))),"n.a.")</x:f>
        <x:v>0</x:v>
      </x:c>
      <x:c r="Q1718" s="22" t="n">
        <x:f>IF(T1718="Ready",ROUND(N1718+P1718,2),"n.a.")</x:f>
        <x:v>0</x:v>
      </x:c>
      <x:c r="R1718" s="22" t="n">
        <x:f>IF(T1718="Ready",ROUND(Q1718-M1718,2),"n.a.")</x:f>
        <x:v>0</x:v>
      </x:c>
      <x:c r="S1718" s="22" t="n">
        <x:f>IF(T1718="Ready",MAX(0,ROUND(I1718+M1718-Q1718,2)),"n.a.")</x:f>
        <x:v>0</x:v>
      </x:c>
      <x:c r="T1718" s="22" t="str">
        <x:f>IF(AND(COUNT($I$1717:$I$1721)=5,COUNT(E1718:F1718)=2),IF(E1718&gt;=F1718,"Ready","Budget below minima"),"Check inputs")</x:f>
        <x:v>Ready</x:v>
      </x:c>
      <x:c r="U1718" s="22" t="n">
        <x:f>IF(COUNT(I1718,M1718,N1718)=3,MAX(0,ROUND(I1718+M1718-N1718,2)),"n.a.")</x:f>
        <x:v>0</x:v>
      </x:c>
    </x:row>
    <x:row r="1719" ht="22" customHeight="1">
      <x:c r="A1719" s="2"/>
      <x:c r="B1719" s="2"/>
      <x:c r="C1719" s="27" t="n">
        <x:f>343</x:f>
        <x:v>343</x:v>
      </x:c>
      <x:c r="D1719" s="28" t="n">
        <x:f>IF(ISNUMBER('Inputs'!$D$7),EDATE('Inputs'!$D$7,342),"n.a.")</x:f>
        <x:v>56735</x:v>
      </x:c>
      <x:c r="E1719" s="26" t="n">
        <x:f>IF('Inputs'!$D$9&lt;&gt;"Ready","n.a.",IF(ISNUMBER('Inputs'!E361),IF('Inputs'!E361&gt;=0,'Inputs'!E361,"n.a."),IF('Inputs'!E361="",'Inputs'!$D$6,"n.a.")))</x:f>
        <x:v>500</x:v>
      </x:c>
      <x:c r="F1719" s="22" t="n">
        <x:f>IF(COUNT($N$1717:$N$1721)=5,SUM($N$1717:$N$1721),"n.a.")</x:f>
        <x:v>0</x:v>
      </x:c>
      <x:c r="G1719" s="22" t="n">
        <x:f>IF(COUNT(E1719:F1719)=2,MAX(0,E1719-F1719),"n.a.")</x:f>
        <x:v>500</x:v>
      </x:c>
      <x:c r="H1719" s="26" t="str">
        <x:f>'Inputs'!C13</x:f>
        <x:v>Loan C</x:v>
      </x:c>
      <x:c r="I1719" s="26" t="n">
        <x:f>S1714</x:f>
        <x:v>0</x:v>
      </x:c>
      <x:c r="J1719" s="29" t="n">
        <x:f>IF('Inputs'!$D$9="Ready",'Inputs'!E13,"n.a.")</x:f>
        <x:v>0.08</x:v>
      </x:c>
      <x:c r="K1719" s="26" t="n">
        <x:f>IF('Inputs'!$D$9="Ready",'Inputs'!F13,"n.a.")</x:f>
        <x:v>150</x:v>
      </x:c>
      <x:c r="L1719" s="29" t="n">
        <x:f>IF('Inputs'!$D$9="Ready",'Inputs'!G13,"n.a.")</x:f>
        <x:v>0</x:v>
      </x:c>
      <x:c r="M1719" s="22" t="n">
        <x:f>IF(COUNT(I1719:L1719)=4,ROUND(I1719*J1719/12,2),"n.a.")</x:f>
        <x:v>0</x:v>
      </x:c>
      <x:c r="N1719" s="22" t="n">
        <x:f>IF(COUNT(I1719:M1719)=5,MIN(I1719+M1719,ROUND(MAX(K1719,I1719*L1719+M1719),2)),"n.a.")</x:f>
        <x:v>0</x:v>
      </x:c>
      <x:c r="O1719" s="30" t="n">
        <x:f>IF(COUNT($I$1717:$I$1721)&lt;&gt;5,"n.a.",IF(I1719=0,6,IF('Inputs'!$D$5=1,COUNTIFS($I$1717:$I$1721,"&gt;0",$I$1717:$I$1721,"&lt;"&amp;I1719)+COUNTIFS($I$1717:I1719,I1719),COUNTIFS($I$1717:$I$1721,"&gt;0",$J$1717:$J$1721,"&gt;"&amp;J1719)+COUNTIFS($I$1717:I1719,"&gt;0",$J$1717:J1719,J1719))))</x:f>
        <x:v>6</x:v>
      </x:c>
      <x:c r="P1719" s="22" t="n">
        <x:f>IF(T1719="Ready",MIN(U1719,MAX(0,G1719-SUMIFS($U$1717:$U$1721,$O$1717:$O$1721,"&lt;"&amp;O1719))),"n.a.")</x:f>
        <x:v>0</x:v>
      </x:c>
      <x:c r="Q1719" s="22" t="n">
        <x:f>IF(T1719="Ready",ROUND(N1719+P1719,2),"n.a.")</x:f>
        <x:v>0</x:v>
      </x:c>
      <x:c r="R1719" s="22" t="n">
        <x:f>IF(T1719="Ready",ROUND(Q1719-M1719,2),"n.a.")</x:f>
        <x:v>0</x:v>
      </x:c>
      <x:c r="S1719" s="22" t="n">
        <x:f>IF(T1719="Ready",MAX(0,ROUND(I1719+M1719-Q1719,2)),"n.a.")</x:f>
        <x:v>0</x:v>
      </x:c>
      <x:c r="T1719" s="22" t="str">
        <x:f>IF(AND(COUNT($I$1717:$I$1721)=5,COUNT(E1719:F1719)=2),IF(E1719&gt;=F1719,"Ready","Budget below minima"),"Check inputs")</x:f>
        <x:v>Ready</x:v>
      </x:c>
      <x:c r="U1719" s="22" t="n">
        <x:f>IF(COUNT(I1719,M1719,N1719)=3,MAX(0,ROUND(I1719+M1719-N1719,2)),"n.a.")</x:f>
        <x:v>0</x:v>
      </x:c>
    </x:row>
    <x:row r="1720" ht="22" customHeight="1">
      <x:c r="A1720" s="2"/>
      <x:c r="B1720" s="2"/>
      <x:c r="C1720" s="27" t="n">
        <x:f>343</x:f>
        <x:v>343</x:v>
      </x:c>
      <x:c r="D1720" s="28" t="n">
        <x:f>IF(ISNUMBER('Inputs'!$D$7),EDATE('Inputs'!$D$7,342),"n.a.")</x:f>
        <x:v>56735</x:v>
      </x:c>
      <x:c r="E1720" s="26" t="n">
        <x:f>IF('Inputs'!$D$9&lt;&gt;"Ready","n.a.",IF(ISNUMBER('Inputs'!E361),IF('Inputs'!E361&gt;=0,'Inputs'!E361,"n.a."),IF('Inputs'!E361="",'Inputs'!$D$6,"n.a.")))</x:f>
        <x:v>500</x:v>
      </x:c>
      <x:c r="F1720" s="22" t="n">
        <x:f>IF(COUNT($N$1717:$N$1721)=5,SUM($N$1717:$N$1721),"n.a.")</x:f>
        <x:v>0</x:v>
      </x:c>
      <x:c r="G1720" s="22" t="n">
        <x:f>IF(COUNT(E1720:F1720)=2,MAX(0,E1720-F1720),"n.a.")</x:f>
        <x:v>500</x:v>
      </x:c>
      <x:c r="H1720" s="26" t="str">
        <x:f>'Inputs'!C14</x:f>
        <x:v>Unused 4</x:v>
      </x:c>
      <x:c r="I1720" s="26" t="n">
        <x:f>S1715</x:f>
        <x:v>0</x:v>
      </x:c>
      <x:c r="J1720" s="29" t="n">
        <x:f>IF('Inputs'!$D$9="Ready",'Inputs'!E14,"n.a.")</x:f>
        <x:v>0</x:v>
      </x:c>
      <x:c r="K1720" s="26" t="n">
        <x:f>IF('Inputs'!$D$9="Ready",'Inputs'!F14,"n.a.")</x:f>
        <x:v>0</x:v>
      </x:c>
      <x:c r="L1720" s="29" t="n">
        <x:f>IF('Inputs'!$D$9="Ready",'Inputs'!G14,"n.a.")</x:f>
        <x:v>0</x:v>
      </x:c>
      <x:c r="M1720" s="22" t="n">
        <x:f>IF(COUNT(I1720:L1720)=4,ROUND(I1720*J1720/12,2),"n.a.")</x:f>
        <x:v>0</x:v>
      </x:c>
      <x:c r="N1720" s="22" t="n">
        <x:f>IF(COUNT(I1720:M1720)=5,MIN(I1720+M1720,ROUND(MAX(K1720,I1720*L1720+M1720),2)),"n.a.")</x:f>
        <x:v>0</x:v>
      </x:c>
      <x:c r="O1720" s="30" t="n">
        <x:f>IF(COUNT($I$1717:$I$1721)&lt;&gt;5,"n.a.",IF(I1720=0,6,IF('Inputs'!$D$5=1,COUNTIFS($I$1717:$I$1721,"&gt;0",$I$1717:$I$1721,"&lt;"&amp;I1720)+COUNTIFS($I$1717:I1720,I1720),COUNTIFS($I$1717:$I$1721,"&gt;0",$J$1717:$J$1721,"&gt;"&amp;J1720)+COUNTIFS($I$1717:I1720,"&gt;0",$J$1717:J1720,J1720))))</x:f>
        <x:v>6</x:v>
      </x:c>
      <x:c r="P1720" s="22" t="n">
        <x:f>IF(T1720="Ready",MIN(U1720,MAX(0,G1720-SUMIFS($U$1717:$U$1721,$O$1717:$O$1721,"&lt;"&amp;O1720))),"n.a.")</x:f>
        <x:v>0</x:v>
      </x:c>
      <x:c r="Q1720" s="22" t="n">
        <x:f>IF(T1720="Ready",ROUND(N1720+P1720,2),"n.a.")</x:f>
        <x:v>0</x:v>
      </x:c>
      <x:c r="R1720" s="22" t="n">
        <x:f>IF(T1720="Ready",ROUND(Q1720-M1720,2),"n.a.")</x:f>
        <x:v>0</x:v>
      </x:c>
      <x:c r="S1720" s="22" t="n">
        <x:f>IF(T1720="Ready",MAX(0,ROUND(I1720+M1720-Q1720,2)),"n.a.")</x:f>
        <x:v>0</x:v>
      </x:c>
      <x:c r="T1720" s="22" t="str">
        <x:f>IF(AND(COUNT($I$1717:$I$1721)=5,COUNT(E1720:F1720)=2),IF(E1720&gt;=F1720,"Ready","Budget below minima"),"Check inputs")</x:f>
        <x:v>Ready</x:v>
      </x:c>
      <x:c r="U1720" s="22" t="n">
        <x:f>IF(COUNT(I1720,M1720,N1720)=3,MAX(0,ROUND(I1720+M1720-N1720,2)),"n.a.")</x:f>
        <x:v>0</x:v>
      </x:c>
    </x:row>
    <x:row r="1721" ht="22" customHeight="1">
      <x:c r="A1721" s="2"/>
      <x:c r="B1721" s="2"/>
      <x:c r="C1721" s="27" t="n">
        <x:f>343</x:f>
        <x:v>343</x:v>
      </x:c>
      <x:c r="D1721" s="28" t="n">
        <x:f>IF(ISNUMBER('Inputs'!$D$7),EDATE('Inputs'!$D$7,342),"n.a.")</x:f>
        <x:v>56735</x:v>
      </x:c>
      <x:c r="E1721" s="26" t="n">
        <x:f>IF('Inputs'!$D$9&lt;&gt;"Ready","n.a.",IF(ISNUMBER('Inputs'!E361),IF('Inputs'!E361&gt;=0,'Inputs'!E361,"n.a."),IF('Inputs'!E361="",'Inputs'!$D$6,"n.a.")))</x:f>
        <x:v>500</x:v>
      </x:c>
      <x:c r="F1721" s="22" t="n">
        <x:f>IF(COUNT($N$1717:$N$1721)=5,SUM($N$1717:$N$1721),"n.a.")</x:f>
        <x:v>0</x:v>
      </x:c>
      <x:c r="G1721" s="22" t="n">
        <x:f>IF(COUNT(E1721:F1721)=2,MAX(0,E1721-F1721),"n.a.")</x:f>
        <x:v>500</x:v>
      </x:c>
      <x:c r="H1721" s="26" t="str">
        <x:f>'Inputs'!C15</x:f>
        <x:v>Unused 5</x:v>
      </x:c>
      <x:c r="I1721" s="26" t="n">
        <x:f>S1716</x:f>
        <x:v>0</x:v>
      </x:c>
      <x:c r="J1721" s="29" t="n">
        <x:f>IF('Inputs'!$D$9="Ready",'Inputs'!E15,"n.a.")</x:f>
        <x:v>0</x:v>
      </x:c>
      <x:c r="K1721" s="26" t="n">
        <x:f>IF('Inputs'!$D$9="Ready",'Inputs'!F15,"n.a.")</x:f>
        <x:v>0</x:v>
      </x:c>
      <x:c r="L1721" s="29" t="n">
        <x:f>IF('Inputs'!$D$9="Ready",'Inputs'!G15,"n.a.")</x:f>
        <x:v>0</x:v>
      </x:c>
      <x:c r="M1721" s="22" t="n">
        <x:f>IF(COUNT(I1721:L1721)=4,ROUND(I1721*J1721/12,2),"n.a.")</x:f>
        <x:v>0</x:v>
      </x:c>
      <x:c r="N1721" s="22" t="n">
        <x:f>IF(COUNT(I1721:M1721)=5,MIN(I1721+M1721,ROUND(MAX(K1721,I1721*L1721+M1721),2)),"n.a.")</x:f>
        <x:v>0</x:v>
      </x:c>
      <x:c r="O1721" s="30" t="n">
        <x:f>IF(COUNT($I$1717:$I$1721)&lt;&gt;5,"n.a.",IF(I1721=0,6,IF('Inputs'!$D$5=1,COUNTIFS($I$1717:$I$1721,"&gt;0",$I$1717:$I$1721,"&lt;"&amp;I1721)+COUNTIFS($I$1717:I1721,I1721),COUNTIFS($I$1717:$I$1721,"&gt;0",$J$1717:$J$1721,"&gt;"&amp;J1721)+COUNTIFS($I$1717:I1721,"&gt;0",$J$1717:J1721,J1721))))</x:f>
        <x:v>6</x:v>
      </x:c>
      <x:c r="P1721" s="22" t="n">
        <x:f>IF(T1721="Ready",MIN(U1721,MAX(0,G1721-SUMIFS($U$1717:$U$1721,$O$1717:$O$1721,"&lt;"&amp;O1721))),"n.a.")</x:f>
        <x:v>0</x:v>
      </x:c>
      <x:c r="Q1721" s="22" t="n">
        <x:f>IF(T1721="Ready",ROUND(N1721+P1721,2),"n.a.")</x:f>
        <x:v>0</x:v>
      </x:c>
      <x:c r="R1721" s="22" t="n">
        <x:f>IF(T1721="Ready",ROUND(Q1721-M1721,2),"n.a.")</x:f>
        <x:v>0</x:v>
      </x:c>
      <x:c r="S1721" s="22" t="n">
        <x:f>IF(T1721="Ready",MAX(0,ROUND(I1721+M1721-Q1721,2)),"n.a.")</x:f>
        <x:v>0</x:v>
      </x:c>
      <x:c r="T1721" s="22" t="str">
        <x:f>IF(AND(COUNT($I$1717:$I$1721)=5,COUNT(E1721:F1721)=2),IF(E1721&gt;=F1721,"Ready","Budget below minima"),"Check inputs")</x:f>
        <x:v>Ready</x:v>
      </x:c>
      <x:c r="U1721" s="22" t="n">
        <x:f>IF(COUNT(I1721,M1721,N1721)=3,MAX(0,ROUND(I1721+M1721-N1721,2)),"n.a.")</x:f>
        <x:v>0</x:v>
      </x:c>
    </x:row>
    <x:row r="1722" ht="22" customHeight="1">
      <x:c r="A1722" s="2"/>
      <x:c r="B1722" s="2"/>
      <x:c r="C1722" s="27" t="n">
        <x:f>344</x:f>
        <x:v>344</x:v>
      </x:c>
      <x:c r="D1722" s="28" t="n">
        <x:f>IF(ISNUMBER('Inputs'!$D$7),EDATE('Inputs'!$D$7,343),"n.a.")</x:f>
        <x:v>56766</x:v>
      </x:c>
      <x:c r="E1722" s="26" t="n">
        <x:f>IF('Inputs'!$D$9&lt;&gt;"Ready","n.a.",IF(ISNUMBER('Inputs'!E362),IF('Inputs'!E362&gt;=0,'Inputs'!E362,"n.a."),IF('Inputs'!E362="",'Inputs'!$D$6,"n.a.")))</x:f>
        <x:v>500</x:v>
      </x:c>
      <x:c r="F1722" s="22" t="n">
        <x:f>IF(COUNT($N$1722:$N$1726)=5,SUM($N$1722:$N$1726),"n.a.")</x:f>
        <x:v>0</x:v>
      </x:c>
      <x:c r="G1722" s="22" t="n">
        <x:f>IF(COUNT(E1722:F1722)=2,MAX(0,E1722-F1722),"n.a.")</x:f>
        <x:v>500</x:v>
      </x:c>
      <x:c r="H1722" s="26" t="str">
        <x:f>'Inputs'!C11</x:f>
        <x:v>Card A</x:v>
      </x:c>
      <x:c r="I1722" s="26" t="n">
        <x:f>S1717</x:f>
        <x:v>0</x:v>
      </x:c>
      <x:c r="J1722" s="29" t="n">
        <x:f>IF('Inputs'!$D$9="Ready",'Inputs'!E11,"n.a.")</x:f>
        <x:v>0.24</x:v>
      </x:c>
      <x:c r="K1722" s="26" t="n">
        <x:f>IF('Inputs'!$D$9="Ready",'Inputs'!F11,"n.a.")</x:f>
        <x:v>35</x:v>
      </x:c>
      <x:c r="L1722" s="29" t="n">
        <x:f>IF('Inputs'!$D$9="Ready",'Inputs'!G11,"n.a.")</x:f>
        <x:v>0.02</x:v>
      </x:c>
      <x:c r="M1722" s="22" t="n">
        <x:f>IF(COUNT(I1722:L1722)=4,ROUND(I1722*J1722/12,2),"n.a.")</x:f>
        <x:v>0</x:v>
      </x:c>
      <x:c r="N1722" s="22" t="n">
        <x:f>IF(COUNT(I1722:M1722)=5,MIN(I1722+M1722,ROUND(MAX(K1722,I1722*L1722+M1722),2)),"n.a.")</x:f>
        <x:v>0</x:v>
      </x:c>
      <x:c r="O1722" s="30" t="n">
        <x:f>IF(COUNT($I$1722:$I$1726)&lt;&gt;5,"n.a.",IF(I1722=0,6,IF('Inputs'!$D$5=1,COUNTIFS($I$1722:$I$1726,"&gt;0",$I$1722:$I$1726,"&lt;"&amp;I1722)+COUNTIFS($I$1722:I1722,I1722),COUNTIFS($I$1722:$I$1726,"&gt;0",$J$1722:$J$1726,"&gt;"&amp;J1722)+COUNTIFS($I$1722:I1722,"&gt;0",$J$1722:J1722,J1722))))</x:f>
        <x:v>6</x:v>
      </x:c>
      <x:c r="P1722" s="22" t="n">
        <x:f>IF(T1722="Ready",MIN(U1722,MAX(0,G1722-SUMIFS($U$1722:$U$1726,$O$1722:$O$1726,"&lt;"&amp;O1722))),"n.a.")</x:f>
        <x:v>0</x:v>
      </x:c>
      <x:c r="Q1722" s="22" t="n">
        <x:f>IF(T1722="Ready",ROUND(N1722+P1722,2),"n.a.")</x:f>
        <x:v>0</x:v>
      </x:c>
      <x:c r="R1722" s="22" t="n">
        <x:f>IF(T1722="Ready",ROUND(Q1722-M1722,2),"n.a.")</x:f>
        <x:v>0</x:v>
      </x:c>
      <x:c r="S1722" s="22" t="n">
        <x:f>IF(T1722="Ready",MAX(0,ROUND(I1722+M1722-Q1722,2)),"n.a.")</x:f>
        <x:v>0</x:v>
      </x:c>
      <x:c r="T1722" s="22" t="str">
        <x:f>IF(AND(COUNT($I$1722:$I$1726)=5,COUNT(E1722:F1722)=2),IF(E1722&gt;=F1722,"Ready","Budget below minima"),"Check inputs")</x:f>
        <x:v>Ready</x:v>
      </x:c>
      <x:c r="U1722" s="22" t="n">
        <x:f>IF(COUNT(I1722,M1722,N1722)=3,MAX(0,ROUND(I1722+M1722-N1722,2)),"n.a.")</x:f>
        <x:v>0</x:v>
      </x:c>
    </x:row>
    <x:row r="1723" ht="22" customHeight="1">
      <x:c r="A1723" s="2"/>
      <x:c r="B1723" s="2"/>
      <x:c r="C1723" s="27" t="n">
        <x:f>344</x:f>
        <x:v>344</x:v>
      </x:c>
      <x:c r="D1723" s="28" t="n">
        <x:f>IF(ISNUMBER('Inputs'!$D$7),EDATE('Inputs'!$D$7,343),"n.a.")</x:f>
        <x:v>56766</x:v>
      </x:c>
      <x:c r="E1723" s="26" t="n">
        <x:f>IF('Inputs'!$D$9&lt;&gt;"Ready","n.a.",IF(ISNUMBER('Inputs'!E362),IF('Inputs'!E362&gt;=0,'Inputs'!E362,"n.a."),IF('Inputs'!E362="",'Inputs'!$D$6,"n.a.")))</x:f>
        <x:v>500</x:v>
      </x:c>
      <x:c r="F1723" s="22" t="n">
        <x:f>IF(COUNT($N$1722:$N$1726)=5,SUM($N$1722:$N$1726),"n.a.")</x:f>
        <x:v>0</x:v>
      </x:c>
      <x:c r="G1723" s="22" t="n">
        <x:f>IF(COUNT(E1723:F1723)=2,MAX(0,E1723-F1723),"n.a.")</x:f>
        <x:v>500</x:v>
      </x:c>
      <x:c r="H1723" s="26" t="str">
        <x:f>'Inputs'!C12</x:f>
        <x:v>Card B</x:v>
      </x:c>
      <x:c r="I1723" s="26" t="n">
        <x:f>S1718</x:f>
        <x:v>0</x:v>
      </x:c>
      <x:c r="J1723" s="29" t="n">
        <x:f>IF('Inputs'!$D$9="Ready",'Inputs'!E12,"n.a.")</x:f>
        <x:v>0.18</x:v>
      </x:c>
      <x:c r="K1723" s="26" t="n">
        <x:f>IF('Inputs'!$D$9="Ready",'Inputs'!F12,"n.a.")</x:f>
        <x:v>60</x:v>
      </x:c>
      <x:c r="L1723" s="29" t="n">
        <x:f>IF('Inputs'!$D$9="Ready",'Inputs'!G12,"n.a.")</x:f>
        <x:v>0.02</x:v>
      </x:c>
      <x:c r="M1723" s="22" t="n">
        <x:f>IF(COUNT(I1723:L1723)=4,ROUND(I1723*J1723/12,2),"n.a.")</x:f>
        <x:v>0</x:v>
      </x:c>
      <x:c r="N1723" s="22" t="n">
        <x:f>IF(COUNT(I1723:M1723)=5,MIN(I1723+M1723,ROUND(MAX(K1723,I1723*L1723+M1723),2)),"n.a.")</x:f>
        <x:v>0</x:v>
      </x:c>
      <x:c r="O1723" s="30" t="n">
        <x:f>IF(COUNT($I$1722:$I$1726)&lt;&gt;5,"n.a.",IF(I1723=0,6,IF('Inputs'!$D$5=1,COUNTIFS($I$1722:$I$1726,"&gt;0",$I$1722:$I$1726,"&lt;"&amp;I1723)+COUNTIFS($I$1722:I1723,I1723),COUNTIFS($I$1722:$I$1726,"&gt;0",$J$1722:$J$1726,"&gt;"&amp;J1723)+COUNTIFS($I$1722:I1723,"&gt;0",$J$1722:J1723,J1723))))</x:f>
        <x:v>6</x:v>
      </x:c>
      <x:c r="P1723" s="22" t="n">
        <x:f>IF(T1723="Ready",MIN(U1723,MAX(0,G1723-SUMIFS($U$1722:$U$1726,$O$1722:$O$1726,"&lt;"&amp;O1723))),"n.a.")</x:f>
        <x:v>0</x:v>
      </x:c>
      <x:c r="Q1723" s="22" t="n">
        <x:f>IF(T1723="Ready",ROUND(N1723+P1723,2),"n.a.")</x:f>
        <x:v>0</x:v>
      </x:c>
      <x:c r="R1723" s="22" t="n">
        <x:f>IF(T1723="Ready",ROUND(Q1723-M1723,2),"n.a.")</x:f>
        <x:v>0</x:v>
      </x:c>
      <x:c r="S1723" s="22" t="n">
        <x:f>IF(T1723="Ready",MAX(0,ROUND(I1723+M1723-Q1723,2)),"n.a.")</x:f>
        <x:v>0</x:v>
      </x:c>
      <x:c r="T1723" s="22" t="str">
        <x:f>IF(AND(COUNT($I$1722:$I$1726)=5,COUNT(E1723:F1723)=2),IF(E1723&gt;=F1723,"Ready","Budget below minima"),"Check inputs")</x:f>
        <x:v>Ready</x:v>
      </x:c>
      <x:c r="U1723" s="22" t="n">
        <x:f>IF(COUNT(I1723,M1723,N1723)=3,MAX(0,ROUND(I1723+M1723-N1723,2)),"n.a.")</x:f>
        <x:v>0</x:v>
      </x:c>
    </x:row>
    <x:row r="1724" ht="22" customHeight="1">
      <x:c r="A1724" s="2"/>
      <x:c r="B1724" s="2"/>
      <x:c r="C1724" s="27" t="n">
        <x:f>344</x:f>
        <x:v>344</x:v>
      </x:c>
      <x:c r="D1724" s="28" t="n">
        <x:f>IF(ISNUMBER('Inputs'!$D$7),EDATE('Inputs'!$D$7,343),"n.a.")</x:f>
        <x:v>56766</x:v>
      </x:c>
      <x:c r="E1724" s="26" t="n">
        <x:f>IF('Inputs'!$D$9&lt;&gt;"Ready","n.a.",IF(ISNUMBER('Inputs'!E362),IF('Inputs'!E362&gt;=0,'Inputs'!E362,"n.a."),IF('Inputs'!E362="",'Inputs'!$D$6,"n.a.")))</x:f>
        <x:v>500</x:v>
      </x:c>
      <x:c r="F1724" s="22" t="n">
        <x:f>IF(COUNT($N$1722:$N$1726)=5,SUM($N$1722:$N$1726),"n.a.")</x:f>
        <x:v>0</x:v>
      </x:c>
      <x:c r="G1724" s="22" t="n">
        <x:f>IF(COUNT(E1724:F1724)=2,MAX(0,E1724-F1724),"n.a.")</x:f>
        <x:v>500</x:v>
      </x:c>
      <x:c r="H1724" s="26" t="str">
        <x:f>'Inputs'!C13</x:f>
        <x:v>Loan C</x:v>
      </x:c>
      <x:c r="I1724" s="26" t="n">
        <x:f>S1719</x:f>
        <x:v>0</x:v>
      </x:c>
      <x:c r="J1724" s="29" t="n">
        <x:f>IF('Inputs'!$D$9="Ready",'Inputs'!E13,"n.a.")</x:f>
        <x:v>0.08</x:v>
      </x:c>
      <x:c r="K1724" s="26" t="n">
        <x:f>IF('Inputs'!$D$9="Ready",'Inputs'!F13,"n.a.")</x:f>
        <x:v>150</x:v>
      </x:c>
      <x:c r="L1724" s="29" t="n">
        <x:f>IF('Inputs'!$D$9="Ready",'Inputs'!G13,"n.a.")</x:f>
        <x:v>0</x:v>
      </x:c>
      <x:c r="M1724" s="22" t="n">
        <x:f>IF(COUNT(I1724:L1724)=4,ROUND(I1724*J1724/12,2),"n.a.")</x:f>
        <x:v>0</x:v>
      </x:c>
      <x:c r="N1724" s="22" t="n">
        <x:f>IF(COUNT(I1724:M1724)=5,MIN(I1724+M1724,ROUND(MAX(K1724,I1724*L1724+M1724),2)),"n.a.")</x:f>
        <x:v>0</x:v>
      </x:c>
      <x:c r="O1724" s="30" t="n">
        <x:f>IF(COUNT($I$1722:$I$1726)&lt;&gt;5,"n.a.",IF(I1724=0,6,IF('Inputs'!$D$5=1,COUNTIFS($I$1722:$I$1726,"&gt;0",$I$1722:$I$1726,"&lt;"&amp;I1724)+COUNTIFS($I$1722:I1724,I1724),COUNTIFS($I$1722:$I$1726,"&gt;0",$J$1722:$J$1726,"&gt;"&amp;J1724)+COUNTIFS($I$1722:I1724,"&gt;0",$J$1722:J1724,J1724))))</x:f>
        <x:v>6</x:v>
      </x:c>
      <x:c r="P1724" s="22" t="n">
        <x:f>IF(T1724="Ready",MIN(U1724,MAX(0,G1724-SUMIFS($U$1722:$U$1726,$O$1722:$O$1726,"&lt;"&amp;O1724))),"n.a.")</x:f>
        <x:v>0</x:v>
      </x:c>
      <x:c r="Q1724" s="22" t="n">
        <x:f>IF(T1724="Ready",ROUND(N1724+P1724,2),"n.a.")</x:f>
        <x:v>0</x:v>
      </x:c>
      <x:c r="R1724" s="22" t="n">
        <x:f>IF(T1724="Ready",ROUND(Q1724-M1724,2),"n.a.")</x:f>
        <x:v>0</x:v>
      </x:c>
      <x:c r="S1724" s="22" t="n">
        <x:f>IF(T1724="Ready",MAX(0,ROUND(I1724+M1724-Q1724,2)),"n.a.")</x:f>
        <x:v>0</x:v>
      </x:c>
      <x:c r="T1724" s="22" t="str">
        <x:f>IF(AND(COUNT($I$1722:$I$1726)=5,COUNT(E1724:F1724)=2),IF(E1724&gt;=F1724,"Ready","Budget below minima"),"Check inputs")</x:f>
        <x:v>Ready</x:v>
      </x:c>
      <x:c r="U1724" s="22" t="n">
        <x:f>IF(COUNT(I1724,M1724,N1724)=3,MAX(0,ROUND(I1724+M1724-N1724,2)),"n.a.")</x:f>
        <x:v>0</x:v>
      </x:c>
    </x:row>
    <x:row r="1725" ht="22" customHeight="1">
      <x:c r="A1725" s="2"/>
      <x:c r="B1725" s="2"/>
      <x:c r="C1725" s="27" t="n">
        <x:f>344</x:f>
        <x:v>344</x:v>
      </x:c>
      <x:c r="D1725" s="28" t="n">
        <x:f>IF(ISNUMBER('Inputs'!$D$7),EDATE('Inputs'!$D$7,343),"n.a.")</x:f>
        <x:v>56766</x:v>
      </x:c>
      <x:c r="E1725" s="26" t="n">
        <x:f>IF('Inputs'!$D$9&lt;&gt;"Ready","n.a.",IF(ISNUMBER('Inputs'!E362),IF('Inputs'!E362&gt;=0,'Inputs'!E362,"n.a."),IF('Inputs'!E362="",'Inputs'!$D$6,"n.a.")))</x:f>
        <x:v>500</x:v>
      </x:c>
      <x:c r="F1725" s="22" t="n">
        <x:f>IF(COUNT($N$1722:$N$1726)=5,SUM($N$1722:$N$1726),"n.a.")</x:f>
        <x:v>0</x:v>
      </x:c>
      <x:c r="G1725" s="22" t="n">
        <x:f>IF(COUNT(E1725:F1725)=2,MAX(0,E1725-F1725),"n.a.")</x:f>
        <x:v>500</x:v>
      </x:c>
      <x:c r="H1725" s="26" t="str">
        <x:f>'Inputs'!C14</x:f>
        <x:v>Unused 4</x:v>
      </x:c>
      <x:c r="I1725" s="26" t="n">
        <x:f>S1720</x:f>
        <x:v>0</x:v>
      </x:c>
      <x:c r="J1725" s="29" t="n">
        <x:f>IF('Inputs'!$D$9="Ready",'Inputs'!E14,"n.a.")</x:f>
        <x:v>0</x:v>
      </x:c>
      <x:c r="K1725" s="26" t="n">
        <x:f>IF('Inputs'!$D$9="Ready",'Inputs'!F14,"n.a.")</x:f>
        <x:v>0</x:v>
      </x:c>
      <x:c r="L1725" s="29" t="n">
        <x:f>IF('Inputs'!$D$9="Ready",'Inputs'!G14,"n.a.")</x:f>
        <x:v>0</x:v>
      </x:c>
      <x:c r="M1725" s="22" t="n">
        <x:f>IF(COUNT(I1725:L1725)=4,ROUND(I1725*J1725/12,2),"n.a.")</x:f>
        <x:v>0</x:v>
      </x:c>
      <x:c r="N1725" s="22" t="n">
        <x:f>IF(COUNT(I1725:M1725)=5,MIN(I1725+M1725,ROUND(MAX(K1725,I1725*L1725+M1725),2)),"n.a.")</x:f>
        <x:v>0</x:v>
      </x:c>
      <x:c r="O1725" s="30" t="n">
        <x:f>IF(COUNT($I$1722:$I$1726)&lt;&gt;5,"n.a.",IF(I1725=0,6,IF('Inputs'!$D$5=1,COUNTIFS($I$1722:$I$1726,"&gt;0",$I$1722:$I$1726,"&lt;"&amp;I1725)+COUNTIFS($I$1722:I1725,I1725),COUNTIFS($I$1722:$I$1726,"&gt;0",$J$1722:$J$1726,"&gt;"&amp;J1725)+COUNTIFS($I$1722:I1725,"&gt;0",$J$1722:J1725,J1725))))</x:f>
        <x:v>6</x:v>
      </x:c>
      <x:c r="P1725" s="22" t="n">
        <x:f>IF(T1725="Ready",MIN(U1725,MAX(0,G1725-SUMIFS($U$1722:$U$1726,$O$1722:$O$1726,"&lt;"&amp;O1725))),"n.a.")</x:f>
        <x:v>0</x:v>
      </x:c>
      <x:c r="Q1725" s="22" t="n">
        <x:f>IF(T1725="Ready",ROUND(N1725+P1725,2),"n.a.")</x:f>
        <x:v>0</x:v>
      </x:c>
      <x:c r="R1725" s="22" t="n">
        <x:f>IF(T1725="Ready",ROUND(Q1725-M1725,2),"n.a.")</x:f>
        <x:v>0</x:v>
      </x:c>
      <x:c r="S1725" s="22" t="n">
        <x:f>IF(T1725="Ready",MAX(0,ROUND(I1725+M1725-Q1725,2)),"n.a.")</x:f>
        <x:v>0</x:v>
      </x:c>
      <x:c r="T1725" s="22" t="str">
        <x:f>IF(AND(COUNT($I$1722:$I$1726)=5,COUNT(E1725:F1725)=2),IF(E1725&gt;=F1725,"Ready","Budget below minima"),"Check inputs")</x:f>
        <x:v>Ready</x:v>
      </x:c>
      <x:c r="U1725" s="22" t="n">
        <x:f>IF(COUNT(I1725,M1725,N1725)=3,MAX(0,ROUND(I1725+M1725-N1725,2)),"n.a.")</x:f>
        <x:v>0</x:v>
      </x:c>
    </x:row>
    <x:row r="1726" ht="22" customHeight="1">
      <x:c r="A1726" s="2"/>
      <x:c r="B1726" s="2"/>
      <x:c r="C1726" s="27" t="n">
        <x:f>344</x:f>
        <x:v>344</x:v>
      </x:c>
      <x:c r="D1726" s="28" t="n">
        <x:f>IF(ISNUMBER('Inputs'!$D$7),EDATE('Inputs'!$D$7,343),"n.a.")</x:f>
        <x:v>56766</x:v>
      </x:c>
      <x:c r="E1726" s="26" t="n">
        <x:f>IF('Inputs'!$D$9&lt;&gt;"Ready","n.a.",IF(ISNUMBER('Inputs'!E362),IF('Inputs'!E362&gt;=0,'Inputs'!E362,"n.a."),IF('Inputs'!E362="",'Inputs'!$D$6,"n.a.")))</x:f>
        <x:v>500</x:v>
      </x:c>
      <x:c r="F1726" s="22" t="n">
        <x:f>IF(COUNT($N$1722:$N$1726)=5,SUM($N$1722:$N$1726),"n.a.")</x:f>
        <x:v>0</x:v>
      </x:c>
      <x:c r="G1726" s="22" t="n">
        <x:f>IF(COUNT(E1726:F1726)=2,MAX(0,E1726-F1726),"n.a.")</x:f>
        <x:v>500</x:v>
      </x:c>
      <x:c r="H1726" s="26" t="str">
        <x:f>'Inputs'!C15</x:f>
        <x:v>Unused 5</x:v>
      </x:c>
      <x:c r="I1726" s="26" t="n">
        <x:f>S1721</x:f>
        <x:v>0</x:v>
      </x:c>
      <x:c r="J1726" s="29" t="n">
        <x:f>IF('Inputs'!$D$9="Ready",'Inputs'!E15,"n.a.")</x:f>
        <x:v>0</x:v>
      </x:c>
      <x:c r="K1726" s="26" t="n">
        <x:f>IF('Inputs'!$D$9="Ready",'Inputs'!F15,"n.a.")</x:f>
        <x:v>0</x:v>
      </x:c>
      <x:c r="L1726" s="29" t="n">
        <x:f>IF('Inputs'!$D$9="Ready",'Inputs'!G15,"n.a.")</x:f>
        <x:v>0</x:v>
      </x:c>
      <x:c r="M1726" s="22" t="n">
        <x:f>IF(COUNT(I1726:L1726)=4,ROUND(I1726*J1726/12,2),"n.a.")</x:f>
        <x:v>0</x:v>
      </x:c>
      <x:c r="N1726" s="22" t="n">
        <x:f>IF(COUNT(I1726:M1726)=5,MIN(I1726+M1726,ROUND(MAX(K1726,I1726*L1726+M1726),2)),"n.a.")</x:f>
        <x:v>0</x:v>
      </x:c>
      <x:c r="O1726" s="30" t="n">
        <x:f>IF(COUNT($I$1722:$I$1726)&lt;&gt;5,"n.a.",IF(I1726=0,6,IF('Inputs'!$D$5=1,COUNTIFS($I$1722:$I$1726,"&gt;0",$I$1722:$I$1726,"&lt;"&amp;I1726)+COUNTIFS($I$1722:I1726,I1726),COUNTIFS($I$1722:$I$1726,"&gt;0",$J$1722:$J$1726,"&gt;"&amp;J1726)+COUNTIFS($I$1722:I1726,"&gt;0",$J$1722:J1726,J1726))))</x:f>
        <x:v>6</x:v>
      </x:c>
      <x:c r="P1726" s="22" t="n">
        <x:f>IF(T1726="Ready",MIN(U1726,MAX(0,G1726-SUMIFS($U$1722:$U$1726,$O$1722:$O$1726,"&lt;"&amp;O1726))),"n.a.")</x:f>
        <x:v>0</x:v>
      </x:c>
      <x:c r="Q1726" s="22" t="n">
        <x:f>IF(T1726="Ready",ROUND(N1726+P1726,2),"n.a.")</x:f>
        <x:v>0</x:v>
      </x:c>
      <x:c r="R1726" s="22" t="n">
        <x:f>IF(T1726="Ready",ROUND(Q1726-M1726,2),"n.a.")</x:f>
        <x:v>0</x:v>
      </x:c>
      <x:c r="S1726" s="22" t="n">
        <x:f>IF(T1726="Ready",MAX(0,ROUND(I1726+M1726-Q1726,2)),"n.a.")</x:f>
        <x:v>0</x:v>
      </x:c>
      <x:c r="T1726" s="22" t="str">
        <x:f>IF(AND(COUNT($I$1722:$I$1726)=5,COUNT(E1726:F1726)=2),IF(E1726&gt;=F1726,"Ready","Budget below minima"),"Check inputs")</x:f>
        <x:v>Ready</x:v>
      </x:c>
      <x:c r="U1726" s="22" t="n">
        <x:f>IF(COUNT(I1726,M1726,N1726)=3,MAX(0,ROUND(I1726+M1726-N1726,2)),"n.a.")</x:f>
        <x:v>0</x:v>
      </x:c>
    </x:row>
    <x:row r="1727" ht="22" customHeight="1">
      <x:c r="A1727" s="2"/>
      <x:c r="B1727" s="2"/>
      <x:c r="C1727" s="27" t="n">
        <x:f>345</x:f>
        <x:v>345</x:v>
      </x:c>
      <x:c r="D1727" s="28" t="n">
        <x:f>IF(ISNUMBER('Inputs'!$D$7),EDATE('Inputs'!$D$7,344),"n.a.")</x:f>
        <x:v>56796</x:v>
      </x:c>
      <x:c r="E1727" s="26" t="n">
        <x:f>IF('Inputs'!$D$9&lt;&gt;"Ready","n.a.",IF(ISNUMBER('Inputs'!E363),IF('Inputs'!E363&gt;=0,'Inputs'!E363,"n.a."),IF('Inputs'!E363="",'Inputs'!$D$6,"n.a.")))</x:f>
        <x:v>500</x:v>
      </x:c>
      <x:c r="F1727" s="22" t="n">
        <x:f>IF(COUNT($N$1727:$N$1731)=5,SUM($N$1727:$N$1731),"n.a.")</x:f>
        <x:v>0</x:v>
      </x:c>
      <x:c r="G1727" s="22" t="n">
        <x:f>IF(COUNT(E1727:F1727)=2,MAX(0,E1727-F1727),"n.a.")</x:f>
        <x:v>500</x:v>
      </x:c>
      <x:c r="H1727" s="26" t="str">
        <x:f>'Inputs'!C11</x:f>
        <x:v>Card A</x:v>
      </x:c>
      <x:c r="I1727" s="26" t="n">
        <x:f>S1722</x:f>
        <x:v>0</x:v>
      </x:c>
      <x:c r="J1727" s="29" t="n">
        <x:f>IF('Inputs'!$D$9="Ready",'Inputs'!E11,"n.a.")</x:f>
        <x:v>0.24</x:v>
      </x:c>
      <x:c r="K1727" s="26" t="n">
        <x:f>IF('Inputs'!$D$9="Ready",'Inputs'!F11,"n.a.")</x:f>
        <x:v>35</x:v>
      </x:c>
      <x:c r="L1727" s="29" t="n">
        <x:f>IF('Inputs'!$D$9="Ready",'Inputs'!G11,"n.a.")</x:f>
        <x:v>0.02</x:v>
      </x:c>
      <x:c r="M1727" s="22" t="n">
        <x:f>IF(COUNT(I1727:L1727)=4,ROUND(I1727*J1727/12,2),"n.a.")</x:f>
        <x:v>0</x:v>
      </x:c>
      <x:c r="N1727" s="22" t="n">
        <x:f>IF(COUNT(I1727:M1727)=5,MIN(I1727+M1727,ROUND(MAX(K1727,I1727*L1727+M1727),2)),"n.a.")</x:f>
        <x:v>0</x:v>
      </x:c>
      <x:c r="O1727" s="30" t="n">
        <x:f>IF(COUNT($I$1727:$I$1731)&lt;&gt;5,"n.a.",IF(I1727=0,6,IF('Inputs'!$D$5=1,COUNTIFS($I$1727:$I$1731,"&gt;0",$I$1727:$I$1731,"&lt;"&amp;I1727)+COUNTIFS($I$1727:I1727,I1727),COUNTIFS($I$1727:$I$1731,"&gt;0",$J$1727:$J$1731,"&gt;"&amp;J1727)+COUNTIFS($I$1727:I1727,"&gt;0",$J$1727:J1727,J1727))))</x:f>
        <x:v>6</x:v>
      </x:c>
      <x:c r="P1727" s="22" t="n">
        <x:f>IF(T1727="Ready",MIN(U1727,MAX(0,G1727-SUMIFS($U$1727:$U$1731,$O$1727:$O$1731,"&lt;"&amp;O1727))),"n.a.")</x:f>
        <x:v>0</x:v>
      </x:c>
      <x:c r="Q1727" s="22" t="n">
        <x:f>IF(T1727="Ready",ROUND(N1727+P1727,2),"n.a.")</x:f>
        <x:v>0</x:v>
      </x:c>
      <x:c r="R1727" s="22" t="n">
        <x:f>IF(T1727="Ready",ROUND(Q1727-M1727,2),"n.a.")</x:f>
        <x:v>0</x:v>
      </x:c>
      <x:c r="S1727" s="22" t="n">
        <x:f>IF(T1727="Ready",MAX(0,ROUND(I1727+M1727-Q1727,2)),"n.a.")</x:f>
        <x:v>0</x:v>
      </x:c>
      <x:c r="T1727" s="22" t="str">
        <x:f>IF(AND(COUNT($I$1727:$I$1731)=5,COUNT(E1727:F1727)=2),IF(E1727&gt;=F1727,"Ready","Budget below minima"),"Check inputs")</x:f>
        <x:v>Ready</x:v>
      </x:c>
      <x:c r="U1727" s="22" t="n">
        <x:f>IF(COUNT(I1727,M1727,N1727)=3,MAX(0,ROUND(I1727+M1727-N1727,2)),"n.a.")</x:f>
        <x:v>0</x:v>
      </x:c>
    </x:row>
    <x:row r="1728" ht="22" customHeight="1">
      <x:c r="A1728" s="2"/>
      <x:c r="B1728" s="2"/>
      <x:c r="C1728" s="27" t="n">
        <x:f>345</x:f>
        <x:v>345</x:v>
      </x:c>
      <x:c r="D1728" s="28" t="n">
        <x:f>IF(ISNUMBER('Inputs'!$D$7),EDATE('Inputs'!$D$7,344),"n.a.")</x:f>
        <x:v>56796</x:v>
      </x:c>
      <x:c r="E1728" s="26" t="n">
        <x:f>IF('Inputs'!$D$9&lt;&gt;"Ready","n.a.",IF(ISNUMBER('Inputs'!E363),IF('Inputs'!E363&gt;=0,'Inputs'!E363,"n.a."),IF('Inputs'!E363="",'Inputs'!$D$6,"n.a.")))</x:f>
        <x:v>500</x:v>
      </x:c>
      <x:c r="F1728" s="22" t="n">
        <x:f>IF(COUNT($N$1727:$N$1731)=5,SUM($N$1727:$N$1731),"n.a.")</x:f>
        <x:v>0</x:v>
      </x:c>
      <x:c r="G1728" s="22" t="n">
        <x:f>IF(COUNT(E1728:F1728)=2,MAX(0,E1728-F1728),"n.a.")</x:f>
        <x:v>500</x:v>
      </x:c>
      <x:c r="H1728" s="26" t="str">
        <x:f>'Inputs'!C12</x:f>
        <x:v>Card B</x:v>
      </x:c>
      <x:c r="I1728" s="26" t="n">
        <x:f>S1723</x:f>
        <x:v>0</x:v>
      </x:c>
      <x:c r="J1728" s="29" t="n">
        <x:f>IF('Inputs'!$D$9="Ready",'Inputs'!E12,"n.a.")</x:f>
        <x:v>0.18</x:v>
      </x:c>
      <x:c r="K1728" s="26" t="n">
        <x:f>IF('Inputs'!$D$9="Ready",'Inputs'!F12,"n.a.")</x:f>
        <x:v>60</x:v>
      </x:c>
      <x:c r="L1728" s="29" t="n">
        <x:f>IF('Inputs'!$D$9="Ready",'Inputs'!G12,"n.a.")</x:f>
        <x:v>0.02</x:v>
      </x:c>
      <x:c r="M1728" s="22" t="n">
        <x:f>IF(COUNT(I1728:L1728)=4,ROUND(I1728*J1728/12,2),"n.a.")</x:f>
        <x:v>0</x:v>
      </x:c>
      <x:c r="N1728" s="22" t="n">
        <x:f>IF(COUNT(I1728:M1728)=5,MIN(I1728+M1728,ROUND(MAX(K1728,I1728*L1728+M1728),2)),"n.a.")</x:f>
        <x:v>0</x:v>
      </x:c>
      <x:c r="O1728" s="30" t="n">
        <x:f>IF(COUNT($I$1727:$I$1731)&lt;&gt;5,"n.a.",IF(I1728=0,6,IF('Inputs'!$D$5=1,COUNTIFS($I$1727:$I$1731,"&gt;0",$I$1727:$I$1731,"&lt;"&amp;I1728)+COUNTIFS($I$1727:I1728,I1728),COUNTIFS($I$1727:$I$1731,"&gt;0",$J$1727:$J$1731,"&gt;"&amp;J1728)+COUNTIFS($I$1727:I1728,"&gt;0",$J$1727:J1728,J1728))))</x:f>
        <x:v>6</x:v>
      </x:c>
      <x:c r="P1728" s="22" t="n">
        <x:f>IF(T1728="Ready",MIN(U1728,MAX(0,G1728-SUMIFS($U$1727:$U$1731,$O$1727:$O$1731,"&lt;"&amp;O1728))),"n.a.")</x:f>
        <x:v>0</x:v>
      </x:c>
      <x:c r="Q1728" s="22" t="n">
        <x:f>IF(T1728="Ready",ROUND(N1728+P1728,2),"n.a.")</x:f>
        <x:v>0</x:v>
      </x:c>
      <x:c r="R1728" s="22" t="n">
        <x:f>IF(T1728="Ready",ROUND(Q1728-M1728,2),"n.a.")</x:f>
        <x:v>0</x:v>
      </x:c>
      <x:c r="S1728" s="22" t="n">
        <x:f>IF(T1728="Ready",MAX(0,ROUND(I1728+M1728-Q1728,2)),"n.a.")</x:f>
        <x:v>0</x:v>
      </x:c>
      <x:c r="T1728" s="22" t="str">
        <x:f>IF(AND(COUNT($I$1727:$I$1731)=5,COUNT(E1728:F1728)=2),IF(E1728&gt;=F1728,"Ready","Budget below minima"),"Check inputs")</x:f>
        <x:v>Ready</x:v>
      </x:c>
      <x:c r="U1728" s="22" t="n">
        <x:f>IF(COUNT(I1728,M1728,N1728)=3,MAX(0,ROUND(I1728+M1728-N1728,2)),"n.a.")</x:f>
        <x:v>0</x:v>
      </x:c>
    </x:row>
    <x:row r="1729" ht="22" customHeight="1">
      <x:c r="A1729" s="2"/>
      <x:c r="B1729" s="2"/>
      <x:c r="C1729" s="27" t="n">
        <x:f>345</x:f>
        <x:v>345</x:v>
      </x:c>
      <x:c r="D1729" s="28" t="n">
        <x:f>IF(ISNUMBER('Inputs'!$D$7),EDATE('Inputs'!$D$7,344),"n.a.")</x:f>
        <x:v>56796</x:v>
      </x:c>
      <x:c r="E1729" s="26" t="n">
        <x:f>IF('Inputs'!$D$9&lt;&gt;"Ready","n.a.",IF(ISNUMBER('Inputs'!E363),IF('Inputs'!E363&gt;=0,'Inputs'!E363,"n.a."),IF('Inputs'!E363="",'Inputs'!$D$6,"n.a.")))</x:f>
        <x:v>500</x:v>
      </x:c>
      <x:c r="F1729" s="22" t="n">
        <x:f>IF(COUNT($N$1727:$N$1731)=5,SUM($N$1727:$N$1731),"n.a.")</x:f>
        <x:v>0</x:v>
      </x:c>
      <x:c r="G1729" s="22" t="n">
        <x:f>IF(COUNT(E1729:F1729)=2,MAX(0,E1729-F1729),"n.a.")</x:f>
        <x:v>500</x:v>
      </x:c>
      <x:c r="H1729" s="26" t="str">
        <x:f>'Inputs'!C13</x:f>
        <x:v>Loan C</x:v>
      </x:c>
      <x:c r="I1729" s="26" t="n">
        <x:f>S1724</x:f>
        <x:v>0</x:v>
      </x:c>
      <x:c r="J1729" s="29" t="n">
        <x:f>IF('Inputs'!$D$9="Ready",'Inputs'!E13,"n.a.")</x:f>
        <x:v>0.08</x:v>
      </x:c>
      <x:c r="K1729" s="26" t="n">
        <x:f>IF('Inputs'!$D$9="Ready",'Inputs'!F13,"n.a.")</x:f>
        <x:v>150</x:v>
      </x:c>
      <x:c r="L1729" s="29" t="n">
        <x:f>IF('Inputs'!$D$9="Ready",'Inputs'!G13,"n.a.")</x:f>
        <x:v>0</x:v>
      </x:c>
      <x:c r="M1729" s="22" t="n">
        <x:f>IF(COUNT(I1729:L1729)=4,ROUND(I1729*J1729/12,2),"n.a.")</x:f>
        <x:v>0</x:v>
      </x:c>
      <x:c r="N1729" s="22" t="n">
        <x:f>IF(COUNT(I1729:M1729)=5,MIN(I1729+M1729,ROUND(MAX(K1729,I1729*L1729+M1729),2)),"n.a.")</x:f>
        <x:v>0</x:v>
      </x:c>
      <x:c r="O1729" s="30" t="n">
        <x:f>IF(COUNT($I$1727:$I$1731)&lt;&gt;5,"n.a.",IF(I1729=0,6,IF('Inputs'!$D$5=1,COUNTIFS($I$1727:$I$1731,"&gt;0",$I$1727:$I$1731,"&lt;"&amp;I1729)+COUNTIFS($I$1727:I1729,I1729),COUNTIFS($I$1727:$I$1731,"&gt;0",$J$1727:$J$1731,"&gt;"&amp;J1729)+COUNTIFS($I$1727:I1729,"&gt;0",$J$1727:J1729,J1729))))</x:f>
        <x:v>6</x:v>
      </x:c>
      <x:c r="P1729" s="22" t="n">
        <x:f>IF(T1729="Ready",MIN(U1729,MAX(0,G1729-SUMIFS($U$1727:$U$1731,$O$1727:$O$1731,"&lt;"&amp;O1729))),"n.a.")</x:f>
        <x:v>0</x:v>
      </x:c>
      <x:c r="Q1729" s="22" t="n">
        <x:f>IF(T1729="Ready",ROUND(N1729+P1729,2),"n.a.")</x:f>
        <x:v>0</x:v>
      </x:c>
      <x:c r="R1729" s="22" t="n">
        <x:f>IF(T1729="Ready",ROUND(Q1729-M1729,2),"n.a.")</x:f>
        <x:v>0</x:v>
      </x:c>
      <x:c r="S1729" s="22" t="n">
        <x:f>IF(T1729="Ready",MAX(0,ROUND(I1729+M1729-Q1729,2)),"n.a.")</x:f>
        <x:v>0</x:v>
      </x:c>
      <x:c r="T1729" s="22" t="str">
        <x:f>IF(AND(COUNT($I$1727:$I$1731)=5,COUNT(E1729:F1729)=2),IF(E1729&gt;=F1729,"Ready","Budget below minima"),"Check inputs")</x:f>
        <x:v>Ready</x:v>
      </x:c>
      <x:c r="U1729" s="22" t="n">
        <x:f>IF(COUNT(I1729,M1729,N1729)=3,MAX(0,ROUND(I1729+M1729-N1729,2)),"n.a.")</x:f>
        <x:v>0</x:v>
      </x:c>
    </x:row>
    <x:row r="1730" ht="22" customHeight="1">
      <x:c r="A1730" s="2"/>
      <x:c r="B1730" s="2"/>
      <x:c r="C1730" s="27" t="n">
        <x:f>345</x:f>
        <x:v>345</x:v>
      </x:c>
      <x:c r="D1730" s="28" t="n">
        <x:f>IF(ISNUMBER('Inputs'!$D$7),EDATE('Inputs'!$D$7,344),"n.a.")</x:f>
        <x:v>56796</x:v>
      </x:c>
      <x:c r="E1730" s="26" t="n">
        <x:f>IF('Inputs'!$D$9&lt;&gt;"Ready","n.a.",IF(ISNUMBER('Inputs'!E363),IF('Inputs'!E363&gt;=0,'Inputs'!E363,"n.a."),IF('Inputs'!E363="",'Inputs'!$D$6,"n.a.")))</x:f>
        <x:v>500</x:v>
      </x:c>
      <x:c r="F1730" s="22" t="n">
        <x:f>IF(COUNT($N$1727:$N$1731)=5,SUM($N$1727:$N$1731),"n.a.")</x:f>
        <x:v>0</x:v>
      </x:c>
      <x:c r="G1730" s="22" t="n">
        <x:f>IF(COUNT(E1730:F1730)=2,MAX(0,E1730-F1730),"n.a.")</x:f>
        <x:v>500</x:v>
      </x:c>
      <x:c r="H1730" s="26" t="str">
        <x:f>'Inputs'!C14</x:f>
        <x:v>Unused 4</x:v>
      </x:c>
      <x:c r="I1730" s="26" t="n">
        <x:f>S1725</x:f>
        <x:v>0</x:v>
      </x:c>
      <x:c r="J1730" s="29" t="n">
        <x:f>IF('Inputs'!$D$9="Ready",'Inputs'!E14,"n.a.")</x:f>
        <x:v>0</x:v>
      </x:c>
      <x:c r="K1730" s="26" t="n">
        <x:f>IF('Inputs'!$D$9="Ready",'Inputs'!F14,"n.a.")</x:f>
        <x:v>0</x:v>
      </x:c>
      <x:c r="L1730" s="29" t="n">
        <x:f>IF('Inputs'!$D$9="Ready",'Inputs'!G14,"n.a.")</x:f>
        <x:v>0</x:v>
      </x:c>
      <x:c r="M1730" s="22" t="n">
        <x:f>IF(COUNT(I1730:L1730)=4,ROUND(I1730*J1730/12,2),"n.a.")</x:f>
        <x:v>0</x:v>
      </x:c>
      <x:c r="N1730" s="22" t="n">
        <x:f>IF(COUNT(I1730:M1730)=5,MIN(I1730+M1730,ROUND(MAX(K1730,I1730*L1730+M1730),2)),"n.a.")</x:f>
        <x:v>0</x:v>
      </x:c>
      <x:c r="O1730" s="30" t="n">
        <x:f>IF(COUNT($I$1727:$I$1731)&lt;&gt;5,"n.a.",IF(I1730=0,6,IF('Inputs'!$D$5=1,COUNTIFS($I$1727:$I$1731,"&gt;0",$I$1727:$I$1731,"&lt;"&amp;I1730)+COUNTIFS($I$1727:I1730,I1730),COUNTIFS($I$1727:$I$1731,"&gt;0",$J$1727:$J$1731,"&gt;"&amp;J1730)+COUNTIFS($I$1727:I1730,"&gt;0",$J$1727:J1730,J1730))))</x:f>
        <x:v>6</x:v>
      </x:c>
      <x:c r="P1730" s="22" t="n">
        <x:f>IF(T1730="Ready",MIN(U1730,MAX(0,G1730-SUMIFS($U$1727:$U$1731,$O$1727:$O$1731,"&lt;"&amp;O1730))),"n.a.")</x:f>
        <x:v>0</x:v>
      </x:c>
      <x:c r="Q1730" s="22" t="n">
        <x:f>IF(T1730="Ready",ROUND(N1730+P1730,2),"n.a.")</x:f>
        <x:v>0</x:v>
      </x:c>
      <x:c r="R1730" s="22" t="n">
        <x:f>IF(T1730="Ready",ROUND(Q1730-M1730,2),"n.a.")</x:f>
        <x:v>0</x:v>
      </x:c>
      <x:c r="S1730" s="22" t="n">
        <x:f>IF(T1730="Ready",MAX(0,ROUND(I1730+M1730-Q1730,2)),"n.a.")</x:f>
        <x:v>0</x:v>
      </x:c>
      <x:c r="T1730" s="22" t="str">
        <x:f>IF(AND(COUNT($I$1727:$I$1731)=5,COUNT(E1730:F1730)=2),IF(E1730&gt;=F1730,"Ready","Budget below minima"),"Check inputs")</x:f>
        <x:v>Ready</x:v>
      </x:c>
      <x:c r="U1730" s="22" t="n">
        <x:f>IF(COUNT(I1730,M1730,N1730)=3,MAX(0,ROUND(I1730+M1730-N1730,2)),"n.a.")</x:f>
        <x:v>0</x:v>
      </x:c>
    </x:row>
    <x:row r="1731" ht="22" customHeight="1">
      <x:c r="A1731" s="2"/>
      <x:c r="B1731" s="2"/>
      <x:c r="C1731" s="27" t="n">
        <x:f>345</x:f>
        <x:v>345</x:v>
      </x:c>
      <x:c r="D1731" s="28" t="n">
        <x:f>IF(ISNUMBER('Inputs'!$D$7),EDATE('Inputs'!$D$7,344),"n.a.")</x:f>
        <x:v>56796</x:v>
      </x:c>
      <x:c r="E1731" s="26" t="n">
        <x:f>IF('Inputs'!$D$9&lt;&gt;"Ready","n.a.",IF(ISNUMBER('Inputs'!E363),IF('Inputs'!E363&gt;=0,'Inputs'!E363,"n.a."),IF('Inputs'!E363="",'Inputs'!$D$6,"n.a.")))</x:f>
        <x:v>500</x:v>
      </x:c>
      <x:c r="F1731" s="22" t="n">
        <x:f>IF(COUNT($N$1727:$N$1731)=5,SUM($N$1727:$N$1731),"n.a.")</x:f>
        <x:v>0</x:v>
      </x:c>
      <x:c r="G1731" s="22" t="n">
        <x:f>IF(COUNT(E1731:F1731)=2,MAX(0,E1731-F1731),"n.a.")</x:f>
        <x:v>500</x:v>
      </x:c>
      <x:c r="H1731" s="26" t="str">
        <x:f>'Inputs'!C15</x:f>
        <x:v>Unused 5</x:v>
      </x:c>
      <x:c r="I1731" s="26" t="n">
        <x:f>S1726</x:f>
        <x:v>0</x:v>
      </x:c>
      <x:c r="J1731" s="29" t="n">
        <x:f>IF('Inputs'!$D$9="Ready",'Inputs'!E15,"n.a.")</x:f>
        <x:v>0</x:v>
      </x:c>
      <x:c r="K1731" s="26" t="n">
        <x:f>IF('Inputs'!$D$9="Ready",'Inputs'!F15,"n.a.")</x:f>
        <x:v>0</x:v>
      </x:c>
      <x:c r="L1731" s="29" t="n">
        <x:f>IF('Inputs'!$D$9="Ready",'Inputs'!G15,"n.a.")</x:f>
        <x:v>0</x:v>
      </x:c>
      <x:c r="M1731" s="22" t="n">
        <x:f>IF(COUNT(I1731:L1731)=4,ROUND(I1731*J1731/12,2),"n.a.")</x:f>
        <x:v>0</x:v>
      </x:c>
      <x:c r="N1731" s="22" t="n">
        <x:f>IF(COUNT(I1731:M1731)=5,MIN(I1731+M1731,ROUND(MAX(K1731,I1731*L1731+M1731),2)),"n.a.")</x:f>
        <x:v>0</x:v>
      </x:c>
      <x:c r="O1731" s="30" t="n">
        <x:f>IF(COUNT($I$1727:$I$1731)&lt;&gt;5,"n.a.",IF(I1731=0,6,IF('Inputs'!$D$5=1,COUNTIFS($I$1727:$I$1731,"&gt;0",$I$1727:$I$1731,"&lt;"&amp;I1731)+COUNTIFS($I$1727:I1731,I1731),COUNTIFS($I$1727:$I$1731,"&gt;0",$J$1727:$J$1731,"&gt;"&amp;J1731)+COUNTIFS($I$1727:I1731,"&gt;0",$J$1727:J1731,J1731))))</x:f>
        <x:v>6</x:v>
      </x:c>
      <x:c r="P1731" s="22" t="n">
        <x:f>IF(T1731="Ready",MIN(U1731,MAX(0,G1731-SUMIFS($U$1727:$U$1731,$O$1727:$O$1731,"&lt;"&amp;O1731))),"n.a.")</x:f>
        <x:v>0</x:v>
      </x:c>
      <x:c r="Q1731" s="22" t="n">
        <x:f>IF(T1731="Ready",ROUND(N1731+P1731,2),"n.a.")</x:f>
        <x:v>0</x:v>
      </x:c>
      <x:c r="R1731" s="22" t="n">
        <x:f>IF(T1731="Ready",ROUND(Q1731-M1731,2),"n.a.")</x:f>
        <x:v>0</x:v>
      </x:c>
      <x:c r="S1731" s="22" t="n">
        <x:f>IF(T1731="Ready",MAX(0,ROUND(I1731+M1731-Q1731,2)),"n.a.")</x:f>
        <x:v>0</x:v>
      </x:c>
      <x:c r="T1731" s="22" t="str">
        <x:f>IF(AND(COUNT($I$1727:$I$1731)=5,COUNT(E1731:F1731)=2),IF(E1731&gt;=F1731,"Ready","Budget below minima"),"Check inputs")</x:f>
        <x:v>Ready</x:v>
      </x:c>
      <x:c r="U1731" s="22" t="n">
        <x:f>IF(COUNT(I1731,M1731,N1731)=3,MAX(0,ROUND(I1731+M1731-N1731,2)),"n.a.")</x:f>
        <x:v>0</x:v>
      </x:c>
    </x:row>
    <x:row r="1732" ht="22" customHeight="1">
      <x:c r="A1732" s="2"/>
      <x:c r="B1732" s="2"/>
      <x:c r="C1732" s="27" t="n">
        <x:f>346</x:f>
        <x:v>346</x:v>
      </x:c>
      <x:c r="D1732" s="28" t="n">
        <x:f>IF(ISNUMBER('Inputs'!$D$7),EDATE('Inputs'!$D$7,345),"n.a.")</x:f>
        <x:v>56827</x:v>
      </x:c>
      <x:c r="E1732" s="26" t="n">
        <x:f>IF('Inputs'!$D$9&lt;&gt;"Ready","n.a.",IF(ISNUMBER('Inputs'!E364),IF('Inputs'!E364&gt;=0,'Inputs'!E364,"n.a."),IF('Inputs'!E364="",'Inputs'!$D$6,"n.a.")))</x:f>
        <x:v>500</x:v>
      </x:c>
      <x:c r="F1732" s="22" t="n">
        <x:f>IF(COUNT($N$1732:$N$1736)=5,SUM($N$1732:$N$1736),"n.a.")</x:f>
        <x:v>0</x:v>
      </x:c>
      <x:c r="G1732" s="22" t="n">
        <x:f>IF(COUNT(E1732:F1732)=2,MAX(0,E1732-F1732),"n.a.")</x:f>
        <x:v>500</x:v>
      </x:c>
      <x:c r="H1732" s="26" t="str">
        <x:f>'Inputs'!C11</x:f>
        <x:v>Card A</x:v>
      </x:c>
      <x:c r="I1732" s="26" t="n">
        <x:f>S1727</x:f>
        <x:v>0</x:v>
      </x:c>
      <x:c r="J1732" s="29" t="n">
        <x:f>IF('Inputs'!$D$9="Ready",'Inputs'!E11,"n.a.")</x:f>
        <x:v>0.24</x:v>
      </x:c>
      <x:c r="K1732" s="26" t="n">
        <x:f>IF('Inputs'!$D$9="Ready",'Inputs'!F11,"n.a.")</x:f>
        <x:v>35</x:v>
      </x:c>
      <x:c r="L1732" s="29" t="n">
        <x:f>IF('Inputs'!$D$9="Ready",'Inputs'!G11,"n.a.")</x:f>
        <x:v>0.02</x:v>
      </x:c>
      <x:c r="M1732" s="22" t="n">
        <x:f>IF(COUNT(I1732:L1732)=4,ROUND(I1732*J1732/12,2),"n.a.")</x:f>
        <x:v>0</x:v>
      </x:c>
      <x:c r="N1732" s="22" t="n">
        <x:f>IF(COUNT(I1732:M1732)=5,MIN(I1732+M1732,ROUND(MAX(K1732,I1732*L1732+M1732),2)),"n.a.")</x:f>
        <x:v>0</x:v>
      </x:c>
      <x:c r="O1732" s="30" t="n">
        <x:f>IF(COUNT($I$1732:$I$1736)&lt;&gt;5,"n.a.",IF(I1732=0,6,IF('Inputs'!$D$5=1,COUNTIFS($I$1732:$I$1736,"&gt;0",$I$1732:$I$1736,"&lt;"&amp;I1732)+COUNTIFS($I$1732:I1732,I1732),COUNTIFS($I$1732:$I$1736,"&gt;0",$J$1732:$J$1736,"&gt;"&amp;J1732)+COUNTIFS($I$1732:I1732,"&gt;0",$J$1732:J1732,J1732))))</x:f>
        <x:v>6</x:v>
      </x:c>
      <x:c r="P1732" s="22" t="n">
        <x:f>IF(T1732="Ready",MIN(U1732,MAX(0,G1732-SUMIFS($U$1732:$U$1736,$O$1732:$O$1736,"&lt;"&amp;O1732))),"n.a.")</x:f>
        <x:v>0</x:v>
      </x:c>
      <x:c r="Q1732" s="22" t="n">
        <x:f>IF(T1732="Ready",ROUND(N1732+P1732,2),"n.a.")</x:f>
        <x:v>0</x:v>
      </x:c>
      <x:c r="R1732" s="22" t="n">
        <x:f>IF(T1732="Ready",ROUND(Q1732-M1732,2),"n.a.")</x:f>
        <x:v>0</x:v>
      </x:c>
      <x:c r="S1732" s="22" t="n">
        <x:f>IF(T1732="Ready",MAX(0,ROUND(I1732+M1732-Q1732,2)),"n.a.")</x:f>
        <x:v>0</x:v>
      </x:c>
      <x:c r="T1732" s="22" t="str">
        <x:f>IF(AND(COUNT($I$1732:$I$1736)=5,COUNT(E1732:F1732)=2),IF(E1732&gt;=F1732,"Ready","Budget below minima"),"Check inputs")</x:f>
        <x:v>Ready</x:v>
      </x:c>
      <x:c r="U1732" s="22" t="n">
        <x:f>IF(COUNT(I1732,M1732,N1732)=3,MAX(0,ROUND(I1732+M1732-N1732,2)),"n.a.")</x:f>
        <x:v>0</x:v>
      </x:c>
    </x:row>
    <x:row r="1733" ht="22" customHeight="1">
      <x:c r="A1733" s="2"/>
      <x:c r="B1733" s="2"/>
      <x:c r="C1733" s="27" t="n">
        <x:f>346</x:f>
        <x:v>346</x:v>
      </x:c>
      <x:c r="D1733" s="28" t="n">
        <x:f>IF(ISNUMBER('Inputs'!$D$7),EDATE('Inputs'!$D$7,345),"n.a.")</x:f>
        <x:v>56827</x:v>
      </x:c>
      <x:c r="E1733" s="26" t="n">
        <x:f>IF('Inputs'!$D$9&lt;&gt;"Ready","n.a.",IF(ISNUMBER('Inputs'!E364),IF('Inputs'!E364&gt;=0,'Inputs'!E364,"n.a."),IF('Inputs'!E364="",'Inputs'!$D$6,"n.a.")))</x:f>
        <x:v>500</x:v>
      </x:c>
      <x:c r="F1733" s="22" t="n">
        <x:f>IF(COUNT($N$1732:$N$1736)=5,SUM($N$1732:$N$1736),"n.a.")</x:f>
        <x:v>0</x:v>
      </x:c>
      <x:c r="G1733" s="22" t="n">
        <x:f>IF(COUNT(E1733:F1733)=2,MAX(0,E1733-F1733),"n.a.")</x:f>
        <x:v>500</x:v>
      </x:c>
      <x:c r="H1733" s="26" t="str">
        <x:f>'Inputs'!C12</x:f>
        <x:v>Card B</x:v>
      </x:c>
      <x:c r="I1733" s="26" t="n">
        <x:f>S1728</x:f>
        <x:v>0</x:v>
      </x:c>
      <x:c r="J1733" s="29" t="n">
        <x:f>IF('Inputs'!$D$9="Ready",'Inputs'!E12,"n.a.")</x:f>
        <x:v>0.18</x:v>
      </x:c>
      <x:c r="K1733" s="26" t="n">
        <x:f>IF('Inputs'!$D$9="Ready",'Inputs'!F12,"n.a.")</x:f>
        <x:v>60</x:v>
      </x:c>
      <x:c r="L1733" s="29" t="n">
        <x:f>IF('Inputs'!$D$9="Ready",'Inputs'!G12,"n.a.")</x:f>
        <x:v>0.02</x:v>
      </x:c>
      <x:c r="M1733" s="22" t="n">
        <x:f>IF(COUNT(I1733:L1733)=4,ROUND(I1733*J1733/12,2),"n.a.")</x:f>
        <x:v>0</x:v>
      </x:c>
      <x:c r="N1733" s="22" t="n">
        <x:f>IF(COUNT(I1733:M1733)=5,MIN(I1733+M1733,ROUND(MAX(K1733,I1733*L1733+M1733),2)),"n.a.")</x:f>
        <x:v>0</x:v>
      </x:c>
      <x:c r="O1733" s="30" t="n">
        <x:f>IF(COUNT($I$1732:$I$1736)&lt;&gt;5,"n.a.",IF(I1733=0,6,IF('Inputs'!$D$5=1,COUNTIFS($I$1732:$I$1736,"&gt;0",$I$1732:$I$1736,"&lt;"&amp;I1733)+COUNTIFS($I$1732:I1733,I1733),COUNTIFS($I$1732:$I$1736,"&gt;0",$J$1732:$J$1736,"&gt;"&amp;J1733)+COUNTIFS($I$1732:I1733,"&gt;0",$J$1732:J1733,J1733))))</x:f>
        <x:v>6</x:v>
      </x:c>
      <x:c r="P1733" s="22" t="n">
        <x:f>IF(T1733="Ready",MIN(U1733,MAX(0,G1733-SUMIFS($U$1732:$U$1736,$O$1732:$O$1736,"&lt;"&amp;O1733))),"n.a.")</x:f>
        <x:v>0</x:v>
      </x:c>
      <x:c r="Q1733" s="22" t="n">
        <x:f>IF(T1733="Ready",ROUND(N1733+P1733,2),"n.a.")</x:f>
        <x:v>0</x:v>
      </x:c>
      <x:c r="R1733" s="22" t="n">
        <x:f>IF(T1733="Ready",ROUND(Q1733-M1733,2),"n.a.")</x:f>
        <x:v>0</x:v>
      </x:c>
      <x:c r="S1733" s="22" t="n">
        <x:f>IF(T1733="Ready",MAX(0,ROUND(I1733+M1733-Q1733,2)),"n.a.")</x:f>
        <x:v>0</x:v>
      </x:c>
      <x:c r="T1733" s="22" t="str">
        <x:f>IF(AND(COUNT($I$1732:$I$1736)=5,COUNT(E1733:F1733)=2),IF(E1733&gt;=F1733,"Ready","Budget below minima"),"Check inputs")</x:f>
        <x:v>Ready</x:v>
      </x:c>
      <x:c r="U1733" s="22" t="n">
        <x:f>IF(COUNT(I1733,M1733,N1733)=3,MAX(0,ROUND(I1733+M1733-N1733,2)),"n.a.")</x:f>
        <x:v>0</x:v>
      </x:c>
    </x:row>
    <x:row r="1734" ht="22" customHeight="1">
      <x:c r="A1734" s="2"/>
      <x:c r="B1734" s="2"/>
      <x:c r="C1734" s="27" t="n">
        <x:f>346</x:f>
        <x:v>346</x:v>
      </x:c>
      <x:c r="D1734" s="28" t="n">
        <x:f>IF(ISNUMBER('Inputs'!$D$7),EDATE('Inputs'!$D$7,345),"n.a.")</x:f>
        <x:v>56827</x:v>
      </x:c>
      <x:c r="E1734" s="26" t="n">
        <x:f>IF('Inputs'!$D$9&lt;&gt;"Ready","n.a.",IF(ISNUMBER('Inputs'!E364),IF('Inputs'!E364&gt;=0,'Inputs'!E364,"n.a."),IF('Inputs'!E364="",'Inputs'!$D$6,"n.a.")))</x:f>
        <x:v>500</x:v>
      </x:c>
      <x:c r="F1734" s="22" t="n">
        <x:f>IF(COUNT($N$1732:$N$1736)=5,SUM($N$1732:$N$1736),"n.a.")</x:f>
        <x:v>0</x:v>
      </x:c>
      <x:c r="G1734" s="22" t="n">
        <x:f>IF(COUNT(E1734:F1734)=2,MAX(0,E1734-F1734),"n.a.")</x:f>
        <x:v>500</x:v>
      </x:c>
      <x:c r="H1734" s="26" t="str">
        <x:f>'Inputs'!C13</x:f>
        <x:v>Loan C</x:v>
      </x:c>
      <x:c r="I1734" s="26" t="n">
        <x:f>S1729</x:f>
        <x:v>0</x:v>
      </x:c>
      <x:c r="J1734" s="29" t="n">
        <x:f>IF('Inputs'!$D$9="Ready",'Inputs'!E13,"n.a.")</x:f>
        <x:v>0.08</x:v>
      </x:c>
      <x:c r="K1734" s="26" t="n">
        <x:f>IF('Inputs'!$D$9="Ready",'Inputs'!F13,"n.a.")</x:f>
        <x:v>150</x:v>
      </x:c>
      <x:c r="L1734" s="29" t="n">
        <x:f>IF('Inputs'!$D$9="Ready",'Inputs'!G13,"n.a.")</x:f>
        <x:v>0</x:v>
      </x:c>
      <x:c r="M1734" s="22" t="n">
        <x:f>IF(COUNT(I1734:L1734)=4,ROUND(I1734*J1734/12,2),"n.a.")</x:f>
        <x:v>0</x:v>
      </x:c>
      <x:c r="N1734" s="22" t="n">
        <x:f>IF(COUNT(I1734:M1734)=5,MIN(I1734+M1734,ROUND(MAX(K1734,I1734*L1734+M1734),2)),"n.a.")</x:f>
        <x:v>0</x:v>
      </x:c>
      <x:c r="O1734" s="30" t="n">
        <x:f>IF(COUNT($I$1732:$I$1736)&lt;&gt;5,"n.a.",IF(I1734=0,6,IF('Inputs'!$D$5=1,COUNTIFS($I$1732:$I$1736,"&gt;0",$I$1732:$I$1736,"&lt;"&amp;I1734)+COUNTIFS($I$1732:I1734,I1734),COUNTIFS($I$1732:$I$1736,"&gt;0",$J$1732:$J$1736,"&gt;"&amp;J1734)+COUNTIFS($I$1732:I1734,"&gt;0",$J$1732:J1734,J1734))))</x:f>
        <x:v>6</x:v>
      </x:c>
      <x:c r="P1734" s="22" t="n">
        <x:f>IF(T1734="Ready",MIN(U1734,MAX(0,G1734-SUMIFS($U$1732:$U$1736,$O$1732:$O$1736,"&lt;"&amp;O1734))),"n.a.")</x:f>
        <x:v>0</x:v>
      </x:c>
      <x:c r="Q1734" s="22" t="n">
        <x:f>IF(T1734="Ready",ROUND(N1734+P1734,2),"n.a.")</x:f>
        <x:v>0</x:v>
      </x:c>
      <x:c r="R1734" s="22" t="n">
        <x:f>IF(T1734="Ready",ROUND(Q1734-M1734,2),"n.a.")</x:f>
        <x:v>0</x:v>
      </x:c>
      <x:c r="S1734" s="22" t="n">
        <x:f>IF(T1734="Ready",MAX(0,ROUND(I1734+M1734-Q1734,2)),"n.a.")</x:f>
        <x:v>0</x:v>
      </x:c>
      <x:c r="T1734" s="22" t="str">
        <x:f>IF(AND(COUNT($I$1732:$I$1736)=5,COUNT(E1734:F1734)=2),IF(E1734&gt;=F1734,"Ready","Budget below minima"),"Check inputs")</x:f>
        <x:v>Ready</x:v>
      </x:c>
      <x:c r="U1734" s="22" t="n">
        <x:f>IF(COUNT(I1734,M1734,N1734)=3,MAX(0,ROUND(I1734+M1734-N1734,2)),"n.a.")</x:f>
        <x:v>0</x:v>
      </x:c>
    </x:row>
    <x:row r="1735" ht="22" customHeight="1">
      <x:c r="A1735" s="2"/>
      <x:c r="B1735" s="2"/>
      <x:c r="C1735" s="27" t="n">
        <x:f>346</x:f>
        <x:v>346</x:v>
      </x:c>
      <x:c r="D1735" s="28" t="n">
        <x:f>IF(ISNUMBER('Inputs'!$D$7),EDATE('Inputs'!$D$7,345),"n.a.")</x:f>
        <x:v>56827</x:v>
      </x:c>
      <x:c r="E1735" s="26" t="n">
        <x:f>IF('Inputs'!$D$9&lt;&gt;"Ready","n.a.",IF(ISNUMBER('Inputs'!E364),IF('Inputs'!E364&gt;=0,'Inputs'!E364,"n.a."),IF('Inputs'!E364="",'Inputs'!$D$6,"n.a.")))</x:f>
        <x:v>500</x:v>
      </x:c>
      <x:c r="F1735" s="22" t="n">
        <x:f>IF(COUNT($N$1732:$N$1736)=5,SUM($N$1732:$N$1736),"n.a.")</x:f>
        <x:v>0</x:v>
      </x:c>
      <x:c r="G1735" s="22" t="n">
        <x:f>IF(COUNT(E1735:F1735)=2,MAX(0,E1735-F1735),"n.a.")</x:f>
        <x:v>500</x:v>
      </x:c>
      <x:c r="H1735" s="26" t="str">
        <x:f>'Inputs'!C14</x:f>
        <x:v>Unused 4</x:v>
      </x:c>
      <x:c r="I1735" s="26" t="n">
        <x:f>S1730</x:f>
        <x:v>0</x:v>
      </x:c>
      <x:c r="J1735" s="29" t="n">
        <x:f>IF('Inputs'!$D$9="Ready",'Inputs'!E14,"n.a.")</x:f>
        <x:v>0</x:v>
      </x:c>
      <x:c r="K1735" s="26" t="n">
        <x:f>IF('Inputs'!$D$9="Ready",'Inputs'!F14,"n.a.")</x:f>
        <x:v>0</x:v>
      </x:c>
      <x:c r="L1735" s="29" t="n">
        <x:f>IF('Inputs'!$D$9="Ready",'Inputs'!G14,"n.a.")</x:f>
        <x:v>0</x:v>
      </x:c>
      <x:c r="M1735" s="22" t="n">
        <x:f>IF(COUNT(I1735:L1735)=4,ROUND(I1735*J1735/12,2),"n.a.")</x:f>
        <x:v>0</x:v>
      </x:c>
      <x:c r="N1735" s="22" t="n">
        <x:f>IF(COUNT(I1735:M1735)=5,MIN(I1735+M1735,ROUND(MAX(K1735,I1735*L1735+M1735),2)),"n.a.")</x:f>
        <x:v>0</x:v>
      </x:c>
      <x:c r="O1735" s="30" t="n">
        <x:f>IF(COUNT($I$1732:$I$1736)&lt;&gt;5,"n.a.",IF(I1735=0,6,IF('Inputs'!$D$5=1,COUNTIFS($I$1732:$I$1736,"&gt;0",$I$1732:$I$1736,"&lt;"&amp;I1735)+COUNTIFS($I$1732:I1735,I1735),COUNTIFS($I$1732:$I$1736,"&gt;0",$J$1732:$J$1736,"&gt;"&amp;J1735)+COUNTIFS($I$1732:I1735,"&gt;0",$J$1732:J1735,J1735))))</x:f>
        <x:v>6</x:v>
      </x:c>
      <x:c r="P1735" s="22" t="n">
        <x:f>IF(T1735="Ready",MIN(U1735,MAX(0,G1735-SUMIFS($U$1732:$U$1736,$O$1732:$O$1736,"&lt;"&amp;O1735))),"n.a.")</x:f>
        <x:v>0</x:v>
      </x:c>
      <x:c r="Q1735" s="22" t="n">
        <x:f>IF(T1735="Ready",ROUND(N1735+P1735,2),"n.a.")</x:f>
        <x:v>0</x:v>
      </x:c>
      <x:c r="R1735" s="22" t="n">
        <x:f>IF(T1735="Ready",ROUND(Q1735-M1735,2),"n.a.")</x:f>
        <x:v>0</x:v>
      </x:c>
      <x:c r="S1735" s="22" t="n">
        <x:f>IF(T1735="Ready",MAX(0,ROUND(I1735+M1735-Q1735,2)),"n.a.")</x:f>
        <x:v>0</x:v>
      </x:c>
      <x:c r="T1735" s="22" t="str">
        <x:f>IF(AND(COUNT($I$1732:$I$1736)=5,COUNT(E1735:F1735)=2),IF(E1735&gt;=F1735,"Ready","Budget below minima"),"Check inputs")</x:f>
        <x:v>Ready</x:v>
      </x:c>
      <x:c r="U1735" s="22" t="n">
        <x:f>IF(COUNT(I1735,M1735,N1735)=3,MAX(0,ROUND(I1735+M1735-N1735,2)),"n.a.")</x:f>
        <x:v>0</x:v>
      </x:c>
    </x:row>
    <x:row r="1736" ht="22" customHeight="1">
      <x:c r="A1736" s="2"/>
      <x:c r="B1736" s="2"/>
      <x:c r="C1736" s="27" t="n">
        <x:f>346</x:f>
        <x:v>346</x:v>
      </x:c>
      <x:c r="D1736" s="28" t="n">
        <x:f>IF(ISNUMBER('Inputs'!$D$7),EDATE('Inputs'!$D$7,345),"n.a.")</x:f>
        <x:v>56827</x:v>
      </x:c>
      <x:c r="E1736" s="26" t="n">
        <x:f>IF('Inputs'!$D$9&lt;&gt;"Ready","n.a.",IF(ISNUMBER('Inputs'!E364),IF('Inputs'!E364&gt;=0,'Inputs'!E364,"n.a."),IF('Inputs'!E364="",'Inputs'!$D$6,"n.a.")))</x:f>
        <x:v>500</x:v>
      </x:c>
      <x:c r="F1736" s="22" t="n">
        <x:f>IF(COUNT($N$1732:$N$1736)=5,SUM($N$1732:$N$1736),"n.a.")</x:f>
        <x:v>0</x:v>
      </x:c>
      <x:c r="G1736" s="22" t="n">
        <x:f>IF(COUNT(E1736:F1736)=2,MAX(0,E1736-F1736),"n.a.")</x:f>
        <x:v>500</x:v>
      </x:c>
      <x:c r="H1736" s="26" t="str">
        <x:f>'Inputs'!C15</x:f>
        <x:v>Unused 5</x:v>
      </x:c>
      <x:c r="I1736" s="26" t="n">
        <x:f>S1731</x:f>
        <x:v>0</x:v>
      </x:c>
      <x:c r="J1736" s="29" t="n">
        <x:f>IF('Inputs'!$D$9="Ready",'Inputs'!E15,"n.a.")</x:f>
        <x:v>0</x:v>
      </x:c>
      <x:c r="K1736" s="26" t="n">
        <x:f>IF('Inputs'!$D$9="Ready",'Inputs'!F15,"n.a.")</x:f>
        <x:v>0</x:v>
      </x:c>
      <x:c r="L1736" s="29" t="n">
        <x:f>IF('Inputs'!$D$9="Ready",'Inputs'!G15,"n.a.")</x:f>
        <x:v>0</x:v>
      </x:c>
      <x:c r="M1736" s="22" t="n">
        <x:f>IF(COUNT(I1736:L1736)=4,ROUND(I1736*J1736/12,2),"n.a.")</x:f>
        <x:v>0</x:v>
      </x:c>
      <x:c r="N1736" s="22" t="n">
        <x:f>IF(COUNT(I1736:M1736)=5,MIN(I1736+M1736,ROUND(MAX(K1736,I1736*L1736+M1736),2)),"n.a.")</x:f>
        <x:v>0</x:v>
      </x:c>
      <x:c r="O1736" s="30" t="n">
        <x:f>IF(COUNT($I$1732:$I$1736)&lt;&gt;5,"n.a.",IF(I1736=0,6,IF('Inputs'!$D$5=1,COUNTIFS($I$1732:$I$1736,"&gt;0",$I$1732:$I$1736,"&lt;"&amp;I1736)+COUNTIFS($I$1732:I1736,I1736),COUNTIFS($I$1732:$I$1736,"&gt;0",$J$1732:$J$1736,"&gt;"&amp;J1736)+COUNTIFS($I$1732:I1736,"&gt;0",$J$1732:J1736,J1736))))</x:f>
        <x:v>6</x:v>
      </x:c>
      <x:c r="P1736" s="22" t="n">
        <x:f>IF(T1736="Ready",MIN(U1736,MAX(0,G1736-SUMIFS($U$1732:$U$1736,$O$1732:$O$1736,"&lt;"&amp;O1736))),"n.a.")</x:f>
        <x:v>0</x:v>
      </x:c>
      <x:c r="Q1736" s="22" t="n">
        <x:f>IF(T1736="Ready",ROUND(N1736+P1736,2),"n.a.")</x:f>
        <x:v>0</x:v>
      </x:c>
      <x:c r="R1736" s="22" t="n">
        <x:f>IF(T1736="Ready",ROUND(Q1736-M1736,2),"n.a.")</x:f>
        <x:v>0</x:v>
      </x:c>
      <x:c r="S1736" s="22" t="n">
        <x:f>IF(T1736="Ready",MAX(0,ROUND(I1736+M1736-Q1736,2)),"n.a.")</x:f>
        <x:v>0</x:v>
      </x:c>
      <x:c r="T1736" s="22" t="str">
        <x:f>IF(AND(COUNT($I$1732:$I$1736)=5,COUNT(E1736:F1736)=2),IF(E1736&gt;=F1736,"Ready","Budget below minima"),"Check inputs")</x:f>
        <x:v>Ready</x:v>
      </x:c>
      <x:c r="U1736" s="22" t="n">
        <x:f>IF(COUNT(I1736,M1736,N1736)=3,MAX(0,ROUND(I1736+M1736-N1736,2)),"n.a.")</x:f>
        <x:v>0</x:v>
      </x:c>
    </x:row>
    <x:row r="1737" ht="22" customHeight="1">
      <x:c r="A1737" s="2"/>
      <x:c r="B1737" s="2"/>
      <x:c r="C1737" s="27" t="n">
        <x:f>347</x:f>
        <x:v>347</x:v>
      </x:c>
      <x:c r="D1737" s="28" t="n">
        <x:f>IF(ISNUMBER('Inputs'!$D$7),EDATE('Inputs'!$D$7,346),"n.a.")</x:f>
        <x:v>56858</x:v>
      </x:c>
      <x:c r="E1737" s="26" t="n">
        <x:f>IF('Inputs'!$D$9&lt;&gt;"Ready","n.a.",IF(ISNUMBER('Inputs'!E365),IF('Inputs'!E365&gt;=0,'Inputs'!E365,"n.a."),IF('Inputs'!E365="",'Inputs'!$D$6,"n.a.")))</x:f>
        <x:v>500</x:v>
      </x:c>
      <x:c r="F1737" s="22" t="n">
        <x:f>IF(COUNT($N$1737:$N$1741)=5,SUM($N$1737:$N$1741),"n.a.")</x:f>
        <x:v>0</x:v>
      </x:c>
      <x:c r="G1737" s="22" t="n">
        <x:f>IF(COUNT(E1737:F1737)=2,MAX(0,E1737-F1737),"n.a.")</x:f>
        <x:v>500</x:v>
      </x:c>
      <x:c r="H1737" s="26" t="str">
        <x:f>'Inputs'!C11</x:f>
        <x:v>Card A</x:v>
      </x:c>
      <x:c r="I1737" s="26" t="n">
        <x:f>S1732</x:f>
        <x:v>0</x:v>
      </x:c>
      <x:c r="J1737" s="29" t="n">
        <x:f>IF('Inputs'!$D$9="Ready",'Inputs'!E11,"n.a.")</x:f>
        <x:v>0.24</x:v>
      </x:c>
      <x:c r="K1737" s="26" t="n">
        <x:f>IF('Inputs'!$D$9="Ready",'Inputs'!F11,"n.a.")</x:f>
        <x:v>35</x:v>
      </x:c>
      <x:c r="L1737" s="29" t="n">
        <x:f>IF('Inputs'!$D$9="Ready",'Inputs'!G11,"n.a.")</x:f>
        <x:v>0.02</x:v>
      </x:c>
      <x:c r="M1737" s="22" t="n">
        <x:f>IF(COUNT(I1737:L1737)=4,ROUND(I1737*J1737/12,2),"n.a.")</x:f>
        <x:v>0</x:v>
      </x:c>
      <x:c r="N1737" s="22" t="n">
        <x:f>IF(COUNT(I1737:M1737)=5,MIN(I1737+M1737,ROUND(MAX(K1737,I1737*L1737+M1737),2)),"n.a.")</x:f>
        <x:v>0</x:v>
      </x:c>
      <x:c r="O1737" s="30" t="n">
        <x:f>IF(COUNT($I$1737:$I$1741)&lt;&gt;5,"n.a.",IF(I1737=0,6,IF('Inputs'!$D$5=1,COUNTIFS($I$1737:$I$1741,"&gt;0",$I$1737:$I$1741,"&lt;"&amp;I1737)+COUNTIFS($I$1737:I1737,I1737),COUNTIFS($I$1737:$I$1741,"&gt;0",$J$1737:$J$1741,"&gt;"&amp;J1737)+COUNTIFS($I$1737:I1737,"&gt;0",$J$1737:J1737,J1737))))</x:f>
        <x:v>6</x:v>
      </x:c>
      <x:c r="P1737" s="22" t="n">
        <x:f>IF(T1737="Ready",MIN(U1737,MAX(0,G1737-SUMIFS($U$1737:$U$1741,$O$1737:$O$1741,"&lt;"&amp;O1737))),"n.a.")</x:f>
        <x:v>0</x:v>
      </x:c>
      <x:c r="Q1737" s="22" t="n">
        <x:f>IF(T1737="Ready",ROUND(N1737+P1737,2),"n.a.")</x:f>
        <x:v>0</x:v>
      </x:c>
      <x:c r="R1737" s="22" t="n">
        <x:f>IF(T1737="Ready",ROUND(Q1737-M1737,2),"n.a.")</x:f>
        <x:v>0</x:v>
      </x:c>
      <x:c r="S1737" s="22" t="n">
        <x:f>IF(T1737="Ready",MAX(0,ROUND(I1737+M1737-Q1737,2)),"n.a.")</x:f>
        <x:v>0</x:v>
      </x:c>
      <x:c r="T1737" s="22" t="str">
        <x:f>IF(AND(COUNT($I$1737:$I$1741)=5,COUNT(E1737:F1737)=2),IF(E1737&gt;=F1737,"Ready","Budget below minima"),"Check inputs")</x:f>
        <x:v>Ready</x:v>
      </x:c>
      <x:c r="U1737" s="22" t="n">
        <x:f>IF(COUNT(I1737,M1737,N1737)=3,MAX(0,ROUND(I1737+M1737-N1737,2)),"n.a.")</x:f>
        <x:v>0</x:v>
      </x:c>
    </x:row>
    <x:row r="1738" ht="22" customHeight="1">
      <x:c r="A1738" s="2"/>
      <x:c r="B1738" s="2"/>
      <x:c r="C1738" s="27" t="n">
        <x:f>347</x:f>
        <x:v>347</x:v>
      </x:c>
      <x:c r="D1738" s="28" t="n">
        <x:f>IF(ISNUMBER('Inputs'!$D$7),EDATE('Inputs'!$D$7,346),"n.a.")</x:f>
        <x:v>56858</x:v>
      </x:c>
      <x:c r="E1738" s="26" t="n">
        <x:f>IF('Inputs'!$D$9&lt;&gt;"Ready","n.a.",IF(ISNUMBER('Inputs'!E365),IF('Inputs'!E365&gt;=0,'Inputs'!E365,"n.a."),IF('Inputs'!E365="",'Inputs'!$D$6,"n.a.")))</x:f>
        <x:v>500</x:v>
      </x:c>
      <x:c r="F1738" s="22" t="n">
        <x:f>IF(COUNT($N$1737:$N$1741)=5,SUM($N$1737:$N$1741),"n.a.")</x:f>
        <x:v>0</x:v>
      </x:c>
      <x:c r="G1738" s="22" t="n">
        <x:f>IF(COUNT(E1738:F1738)=2,MAX(0,E1738-F1738),"n.a.")</x:f>
        <x:v>500</x:v>
      </x:c>
      <x:c r="H1738" s="26" t="str">
        <x:f>'Inputs'!C12</x:f>
        <x:v>Card B</x:v>
      </x:c>
      <x:c r="I1738" s="26" t="n">
        <x:f>S1733</x:f>
        <x:v>0</x:v>
      </x:c>
      <x:c r="J1738" s="29" t="n">
        <x:f>IF('Inputs'!$D$9="Ready",'Inputs'!E12,"n.a.")</x:f>
        <x:v>0.18</x:v>
      </x:c>
      <x:c r="K1738" s="26" t="n">
        <x:f>IF('Inputs'!$D$9="Ready",'Inputs'!F12,"n.a.")</x:f>
        <x:v>60</x:v>
      </x:c>
      <x:c r="L1738" s="29" t="n">
        <x:f>IF('Inputs'!$D$9="Ready",'Inputs'!G12,"n.a.")</x:f>
        <x:v>0.02</x:v>
      </x:c>
      <x:c r="M1738" s="22" t="n">
        <x:f>IF(COUNT(I1738:L1738)=4,ROUND(I1738*J1738/12,2),"n.a.")</x:f>
        <x:v>0</x:v>
      </x:c>
      <x:c r="N1738" s="22" t="n">
        <x:f>IF(COUNT(I1738:M1738)=5,MIN(I1738+M1738,ROUND(MAX(K1738,I1738*L1738+M1738),2)),"n.a.")</x:f>
        <x:v>0</x:v>
      </x:c>
      <x:c r="O1738" s="30" t="n">
        <x:f>IF(COUNT($I$1737:$I$1741)&lt;&gt;5,"n.a.",IF(I1738=0,6,IF('Inputs'!$D$5=1,COUNTIFS($I$1737:$I$1741,"&gt;0",$I$1737:$I$1741,"&lt;"&amp;I1738)+COUNTIFS($I$1737:I1738,I1738),COUNTIFS($I$1737:$I$1741,"&gt;0",$J$1737:$J$1741,"&gt;"&amp;J1738)+COUNTIFS($I$1737:I1738,"&gt;0",$J$1737:J1738,J1738))))</x:f>
        <x:v>6</x:v>
      </x:c>
      <x:c r="P1738" s="22" t="n">
        <x:f>IF(T1738="Ready",MIN(U1738,MAX(0,G1738-SUMIFS($U$1737:$U$1741,$O$1737:$O$1741,"&lt;"&amp;O1738))),"n.a.")</x:f>
        <x:v>0</x:v>
      </x:c>
      <x:c r="Q1738" s="22" t="n">
        <x:f>IF(T1738="Ready",ROUND(N1738+P1738,2),"n.a.")</x:f>
        <x:v>0</x:v>
      </x:c>
      <x:c r="R1738" s="22" t="n">
        <x:f>IF(T1738="Ready",ROUND(Q1738-M1738,2),"n.a.")</x:f>
        <x:v>0</x:v>
      </x:c>
      <x:c r="S1738" s="22" t="n">
        <x:f>IF(T1738="Ready",MAX(0,ROUND(I1738+M1738-Q1738,2)),"n.a.")</x:f>
        <x:v>0</x:v>
      </x:c>
      <x:c r="T1738" s="22" t="str">
        <x:f>IF(AND(COUNT($I$1737:$I$1741)=5,COUNT(E1738:F1738)=2),IF(E1738&gt;=F1738,"Ready","Budget below minima"),"Check inputs")</x:f>
        <x:v>Ready</x:v>
      </x:c>
      <x:c r="U1738" s="22" t="n">
        <x:f>IF(COUNT(I1738,M1738,N1738)=3,MAX(0,ROUND(I1738+M1738-N1738,2)),"n.a.")</x:f>
        <x:v>0</x:v>
      </x:c>
    </x:row>
    <x:row r="1739" ht="22" customHeight="1">
      <x:c r="A1739" s="2"/>
      <x:c r="B1739" s="2"/>
      <x:c r="C1739" s="27" t="n">
        <x:f>347</x:f>
        <x:v>347</x:v>
      </x:c>
      <x:c r="D1739" s="28" t="n">
        <x:f>IF(ISNUMBER('Inputs'!$D$7),EDATE('Inputs'!$D$7,346),"n.a.")</x:f>
        <x:v>56858</x:v>
      </x:c>
      <x:c r="E1739" s="26" t="n">
        <x:f>IF('Inputs'!$D$9&lt;&gt;"Ready","n.a.",IF(ISNUMBER('Inputs'!E365),IF('Inputs'!E365&gt;=0,'Inputs'!E365,"n.a."),IF('Inputs'!E365="",'Inputs'!$D$6,"n.a.")))</x:f>
        <x:v>500</x:v>
      </x:c>
      <x:c r="F1739" s="22" t="n">
        <x:f>IF(COUNT($N$1737:$N$1741)=5,SUM($N$1737:$N$1741),"n.a.")</x:f>
        <x:v>0</x:v>
      </x:c>
      <x:c r="G1739" s="22" t="n">
        <x:f>IF(COUNT(E1739:F1739)=2,MAX(0,E1739-F1739),"n.a.")</x:f>
        <x:v>500</x:v>
      </x:c>
      <x:c r="H1739" s="26" t="str">
        <x:f>'Inputs'!C13</x:f>
        <x:v>Loan C</x:v>
      </x:c>
      <x:c r="I1739" s="26" t="n">
        <x:f>S1734</x:f>
        <x:v>0</x:v>
      </x:c>
      <x:c r="J1739" s="29" t="n">
        <x:f>IF('Inputs'!$D$9="Ready",'Inputs'!E13,"n.a.")</x:f>
        <x:v>0.08</x:v>
      </x:c>
      <x:c r="K1739" s="26" t="n">
        <x:f>IF('Inputs'!$D$9="Ready",'Inputs'!F13,"n.a.")</x:f>
        <x:v>150</x:v>
      </x:c>
      <x:c r="L1739" s="29" t="n">
        <x:f>IF('Inputs'!$D$9="Ready",'Inputs'!G13,"n.a.")</x:f>
        <x:v>0</x:v>
      </x:c>
      <x:c r="M1739" s="22" t="n">
        <x:f>IF(COUNT(I1739:L1739)=4,ROUND(I1739*J1739/12,2),"n.a.")</x:f>
        <x:v>0</x:v>
      </x:c>
      <x:c r="N1739" s="22" t="n">
        <x:f>IF(COUNT(I1739:M1739)=5,MIN(I1739+M1739,ROUND(MAX(K1739,I1739*L1739+M1739),2)),"n.a.")</x:f>
        <x:v>0</x:v>
      </x:c>
      <x:c r="O1739" s="30" t="n">
        <x:f>IF(COUNT($I$1737:$I$1741)&lt;&gt;5,"n.a.",IF(I1739=0,6,IF('Inputs'!$D$5=1,COUNTIFS($I$1737:$I$1741,"&gt;0",$I$1737:$I$1741,"&lt;"&amp;I1739)+COUNTIFS($I$1737:I1739,I1739),COUNTIFS($I$1737:$I$1741,"&gt;0",$J$1737:$J$1741,"&gt;"&amp;J1739)+COUNTIFS($I$1737:I1739,"&gt;0",$J$1737:J1739,J1739))))</x:f>
        <x:v>6</x:v>
      </x:c>
      <x:c r="P1739" s="22" t="n">
        <x:f>IF(T1739="Ready",MIN(U1739,MAX(0,G1739-SUMIFS($U$1737:$U$1741,$O$1737:$O$1741,"&lt;"&amp;O1739))),"n.a.")</x:f>
        <x:v>0</x:v>
      </x:c>
      <x:c r="Q1739" s="22" t="n">
        <x:f>IF(T1739="Ready",ROUND(N1739+P1739,2),"n.a.")</x:f>
        <x:v>0</x:v>
      </x:c>
      <x:c r="R1739" s="22" t="n">
        <x:f>IF(T1739="Ready",ROUND(Q1739-M1739,2),"n.a.")</x:f>
        <x:v>0</x:v>
      </x:c>
      <x:c r="S1739" s="22" t="n">
        <x:f>IF(T1739="Ready",MAX(0,ROUND(I1739+M1739-Q1739,2)),"n.a.")</x:f>
        <x:v>0</x:v>
      </x:c>
      <x:c r="T1739" s="22" t="str">
        <x:f>IF(AND(COUNT($I$1737:$I$1741)=5,COUNT(E1739:F1739)=2),IF(E1739&gt;=F1739,"Ready","Budget below minima"),"Check inputs")</x:f>
        <x:v>Ready</x:v>
      </x:c>
      <x:c r="U1739" s="22" t="n">
        <x:f>IF(COUNT(I1739,M1739,N1739)=3,MAX(0,ROUND(I1739+M1739-N1739,2)),"n.a.")</x:f>
        <x:v>0</x:v>
      </x:c>
    </x:row>
    <x:row r="1740" ht="22" customHeight="1">
      <x:c r="A1740" s="2"/>
      <x:c r="B1740" s="2"/>
      <x:c r="C1740" s="27" t="n">
        <x:f>347</x:f>
        <x:v>347</x:v>
      </x:c>
      <x:c r="D1740" s="28" t="n">
        <x:f>IF(ISNUMBER('Inputs'!$D$7),EDATE('Inputs'!$D$7,346),"n.a.")</x:f>
        <x:v>56858</x:v>
      </x:c>
      <x:c r="E1740" s="26" t="n">
        <x:f>IF('Inputs'!$D$9&lt;&gt;"Ready","n.a.",IF(ISNUMBER('Inputs'!E365),IF('Inputs'!E365&gt;=0,'Inputs'!E365,"n.a."),IF('Inputs'!E365="",'Inputs'!$D$6,"n.a.")))</x:f>
        <x:v>500</x:v>
      </x:c>
      <x:c r="F1740" s="22" t="n">
        <x:f>IF(COUNT($N$1737:$N$1741)=5,SUM($N$1737:$N$1741),"n.a.")</x:f>
        <x:v>0</x:v>
      </x:c>
      <x:c r="G1740" s="22" t="n">
        <x:f>IF(COUNT(E1740:F1740)=2,MAX(0,E1740-F1740),"n.a.")</x:f>
        <x:v>500</x:v>
      </x:c>
      <x:c r="H1740" s="26" t="str">
        <x:f>'Inputs'!C14</x:f>
        <x:v>Unused 4</x:v>
      </x:c>
      <x:c r="I1740" s="26" t="n">
        <x:f>S1735</x:f>
        <x:v>0</x:v>
      </x:c>
      <x:c r="J1740" s="29" t="n">
        <x:f>IF('Inputs'!$D$9="Ready",'Inputs'!E14,"n.a.")</x:f>
        <x:v>0</x:v>
      </x:c>
      <x:c r="K1740" s="26" t="n">
        <x:f>IF('Inputs'!$D$9="Ready",'Inputs'!F14,"n.a.")</x:f>
        <x:v>0</x:v>
      </x:c>
      <x:c r="L1740" s="29" t="n">
        <x:f>IF('Inputs'!$D$9="Ready",'Inputs'!G14,"n.a.")</x:f>
        <x:v>0</x:v>
      </x:c>
      <x:c r="M1740" s="22" t="n">
        <x:f>IF(COUNT(I1740:L1740)=4,ROUND(I1740*J1740/12,2),"n.a.")</x:f>
        <x:v>0</x:v>
      </x:c>
      <x:c r="N1740" s="22" t="n">
        <x:f>IF(COUNT(I1740:M1740)=5,MIN(I1740+M1740,ROUND(MAX(K1740,I1740*L1740+M1740),2)),"n.a.")</x:f>
        <x:v>0</x:v>
      </x:c>
      <x:c r="O1740" s="30" t="n">
        <x:f>IF(COUNT($I$1737:$I$1741)&lt;&gt;5,"n.a.",IF(I1740=0,6,IF('Inputs'!$D$5=1,COUNTIFS($I$1737:$I$1741,"&gt;0",$I$1737:$I$1741,"&lt;"&amp;I1740)+COUNTIFS($I$1737:I1740,I1740),COUNTIFS($I$1737:$I$1741,"&gt;0",$J$1737:$J$1741,"&gt;"&amp;J1740)+COUNTIFS($I$1737:I1740,"&gt;0",$J$1737:J1740,J1740))))</x:f>
        <x:v>6</x:v>
      </x:c>
      <x:c r="P1740" s="22" t="n">
        <x:f>IF(T1740="Ready",MIN(U1740,MAX(0,G1740-SUMIFS($U$1737:$U$1741,$O$1737:$O$1741,"&lt;"&amp;O1740))),"n.a.")</x:f>
        <x:v>0</x:v>
      </x:c>
      <x:c r="Q1740" s="22" t="n">
        <x:f>IF(T1740="Ready",ROUND(N1740+P1740,2),"n.a.")</x:f>
        <x:v>0</x:v>
      </x:c>
      <x:c r="R1740" s="22" t="n">
        <x:f>IF(T1740="Ready",ROUND(Q1740-M1740,2),"n.a.")</x:f>
        <x:v>0</x:v>
      </x:c>
      <x:c r="S1740" s="22" t="n">
        <x:f>IF(T1740="Ready",MAX(0,ROUND(I1740+M1740-Q1740,2)),"n.a.")</x:f>
        <x:v>0</x:v>
      </x:c>
      <x:c r="T1740" s="22" t="str">
        <x:f>IF(AND(COUNT($I$1737:$I$1741)=5,COUNT(E1740:F1740)=2),IF(E1740&gt;=F1740,"Ready","Budget below minima"),"Check inputs")</x:f>
        <x:v>Ready</x:v>
      </x:c>
      <x:c r="U1740" s="22" t="n">
        <x:f>IF(COUNT(I1740,M1740,N1740)=3,MAX(0,ROUND(I1740+M1740-N1740,2)),"n.a.")</x:f>
        <x:v>0</x:v>
      </x:c>
    </x:row>
    <x:row r="1741" ht="22" customHeight="1">
      <x:c r="A1741" s="2"/>
      <x:c r="B1741" s="2"/>
      <x:c r="C1741" s="27" t="n">
        <x:f>347</x:f>
        <x:v>347</x:v>
      </x:c>
      <x:c r="D1741" s="28" t="n">
        <x:f>IF(ISNUMBER('Inputs'!$D$7),EDATE('Inputs'!$D$7,346),"n.a.")</x:f>
        <x:v>56858</x:v>
      </x:c>
      <x:c r="E1741" s="26" t="n">
        <x:f>IF('Inputs'!$D$9&lt;&gt;"Ready","n.a.",IF(ISNUMBER('Inputs'!E365),IF('Inputs'!E365&gt;=0,'Inputs'!E365,"n.a."),IF('Inputs'!E365="",'Inputs'!$D$6,"n.a.")))</x:f>
        <x:v>500</x:v>
      </x:c>
      <x:c r="F1741" s="22" t="n">
        <x:f>IF(COUNT($N$1737:$N$1741)=5,SUM($N$1737:$N$1741),"n.a.")</x:f>
        <x:v>0</x:v>
      </x:c>
      <x:c r="G1741" s="22" t="n">
        <x:f>IF(COUNT(E1741:F1741)=2,MAX(0,E1741-F1741),"n.a.")</x:f>
        <x:v>500</x:v>
      </x:c>
      <x:c r="H1741" s="26" t="str">
        <x:f>'Inputs'!C15</x:f>
        <x:v>Unused 5</x:v>
      </x:c>
      <x:c r="I1741" s="26" t="n">
        <x:f>S1736</x:f>
        <x:v>0</x:v>
      </x:c>
      <x:c r="J1741" s="29" t="n">
        <x:f>IF('Inputs'!$D$9="Ready",'Inputs'!E15,"n.a.")</x:f>
        <x:v>0</x:v>
      </x:c>
      <x:c r="K1741" s="26" t="n">
        <x:f>IF('Inputs'!$D$9="Ready",'Inputs'!F15,"n.a.")</x:f>
        <x:v>0</x:v>
      </x:c>
      <x:c r="L1741" s="29" t="n">
        <x:f>IF('Inputs'!$D$9="Ready",'Inputs'!G15,"n.a.")</x:f>
        <x:v>0</x:v>
      </x:c>
      <x:c r="M1741" s="22" t="n">
        <x:f>IF(COUNT(I1741:L1741)=4,ROUND(I1741*J1741/12,2),"n.a.")</x:f>
        <x:v>0</x:v>
      </x:c>
      <x:c r="N1741" s="22" t="n">
        <x:f>IF(COUNT(I1741:M1741)=5,MIN(I1741+M1741,ROUND(MAX(K1741,I1741*L1741+M1741),2)),"n.a.")</x:f>
        <x:v>0</x:v>
      </x:c>
      <x:c r="O1741" s="30" t="n">
        <x:f>IF(COUNT($I$1737:$I$1741)&lt;&gt;5,"n.a.",IF(I1741=0,6,IF('Inputs'!$D$5=1,COUNTIFS($I$1737:$I$1741,"&gt;0",$I$1737:$I$1741,"&lt;"&amp;I1741)+COUNTIFS($I$1737:I1741,I1741),COUNTIFS($I$1737:$I$1741,"&gt;0",$J$1737:$J$1741,"&gt;"&amp;J1741)+COUNTIFS($I$1737:I1741,"&gt;0",$J$1737:J1741,J1741))))</x:f>
        <x:v>6</x:v>
      </x:c>
      <x:c r="P1741" s="22" t="n">
        <x:f>IF(T1741="Ready",MIN(U1741,MAX(0,G1741-SUMIFS($U$1737:$U$1741,$O$1737:$O$1741,"&lt;"&amp;O1741))),"n.a.")</x:f>
        <x:v>0</x:v>
      </x:c>
      <x:c r="Q1741" s="22" t="n">
        <x:f>IF(T1741="Ready",ROUND(N1741+P1741,2),"n.a.")</x:f>
        <x:v>0</x:v>
      </x:c>
      <x:c r="R1741" s="22" t="n">
        <x:f>IF(T1741="Ready",ROUND(Q1741-M1741,2),"n.a.")</x:f>
        <x:v>0</x:v>
      </x:c>
      <x:c r="S1741" s="22" t="n">
        <x:f>IF(T1741="Ready",MAX(0,ROUND(I1741+M1741-Q1741,2)),"n.a.")</x:f>
        <x:v>0</x:v>
      </x:c>
      <x:c r="T1741" s="22" t="str">
        <x:f>IF(AND(COUNT($I$1737:$I$1741)=5,COUNT(E1741:F1741)=2),IF(E1741&gt;=F1741,"Ready","Budget below minima"),"Check inputs")</x:f>
        <x:v>Ready</x:v>
      </x:c>
      <x:c r="U1741" s="22" t="n">
        <x:f>IF(COUNT(I1741,M1741,N1741)=3,MAX(0,ROUND(I1741+M1741-N1741,2)),"n.a.")</x:f>
        <x:v>0</x:v>
      </x:c>
    </x:row>
    <x:row r="1742" ht="22" customHeight="1">
      <x:c r="A1742" s="2"/>
      <x:c r="B1742" s="2"/>
      <x:c r="C1742" s="27" t="n">
        <x:f>348</x:f>
        <x:v>348</x:v>
      </x:c>
      <x:c r="D1742" s="28" t="n">
        <x:f>IF(ISNUMBER('Inputs'!$D$7),EDATE('Inputs'!$D$7,347),"n.a.")</x:f>
        <x:v>56888</x:v>
      </x:c>
      <x:c r="E1742" s="26" t="n">
        <x:f>IF('Inputs'!$D$9&lt;&gt;"Ready","n.a.",IF(ISNUMBER('Inputs'!E366),IF('Inputs'!E366&gt;=0,'Inputs'!E366,"n.a."),IF('Inputs'!E366="",'Inputs'!$D$6,"n.a.")))</x:f>
        <x:v>500</x:v>
      </x:c>
      <x:c r="F1742" s="22" t="n">
        <x:f>IF(COUNT($N$1742:$N$1746)=5,SUM($N$1742:$N$1746),"n.a.")</x:f>
        <x:v>0</x:v>
      </x:c>
      <x:c r="G1742" s="22" t="n">
        <x:f>IF(COUNT(E1742:F1742)=2,MAX(0,E1742-F1742),"n.a.")</x:f>
        <x:v>500</x:v>
      </x:c>
      <x:c r="H1742" s="26" t="str">
        <x:f>'Inputs'!C11</x:f>
        <x:v>Card A</x:v>
      </x:c>
      <x:c r="I1742" s="26" t="n">
        <x:f>S1737</x:f>
        <x:v>0</x:v>
      </x:c>
      <x:c r="J1742" s="29" t="n">
        <x:f>IF('Inputs'!$D$9="Ready",'Inputs'!E11,"n.a.")</x:f>
        <x:v>0.24</x:v>
      </x:c>
      <x:c r="K1742" s="26" t="n">
        <x:f>IF('Inputs'!$D$9="Ready",'Inputs'!F11,"n.a.")</x:f>
        <x:v>35</x:v>
      </x:c>
      <x:c r="L1742" s="29" t="n">
        <x:f>IF('Inputs'!$D$9="Ready",'Inputs'!G11,"n.a.")</x:f>
        <x:v>0.02</x:v>
      </x:c>
      <x:c r="M1742" s="22" t="n">
        <x:f>IF(COUNT(I1742:L1742)=4,ROUND(I1742*J1742/12,2),"n.a.")</x:f>
        <x:v>0</x:v>
      </x:c>
      <x:c r="N1742" s="22" t="n">
        <x:f>IF(COUNT(I1742:M1742)=5,MIN(I1742+M1742,ROUND(MAX(K1742,I1742*L1742+M1742),2)),"n.a.")</x:f>
        <x:v>0</x:v>
      </x:c>
      <x:c r="O1742" s="30" t="n">
        <x:f>IF(COUNT($I$1742:$I$1746)&lt;&gt;5,"n.a.",IF(I1742=0,6,IF('Inputs'!$D$5=1,COUNTIFS($I$1742:$I$1746,"&gt;0",$I$1742:$I$1746,"&lt;"&amp;I1742)+COUNTIFS($I$1742:I1742,I1742),COUNTIFS($I$1742:$I$1746,"&gt;0",$J$1742:$J$1746,"&gt;"&amp;J1742)+COUNTIFS($I$1742:I1742,"&gt;0",$J$1742:J1742,J1742))))</x:f>
        <x:v>6</x:v>
      </x:c>
      <x:c r="P1742" s="22" t="n">
        <x:f>IF(T1742="Ready",MIN(U1742,MAX(0,G1742-SUMIFS($U$1742:$U$1746,$O$1742:$O$1746,"&lt;"&amp;O1742))),"n.a.")</x:f>
        <x:v>0</x:v>
      </x:c>
      <x:c r="Q1742" s="22" t="n">
        <x:f>IF(T1742="Ready",ROUND(N1742+P1742,2),"n.a.")</x:f>
        <x:v>0</x:v>
      </x:c>
      <x:c r="R1742" s="22" t="n">
        <x:f>IF(T1742="Ready",ROUND(Q1742-M1742,2),"n.a.")</x:f>
        <x:v>0</x:v>
      </x:c>
      <x:c r="S1742" s="22" t="n">
        <x:f>IF(T1742="Ready",MAX(0,ROUND(I1742+M1742-Q1742,2)),"n.a.")</x:f>
        <x:v>0</x:v>
      </x:c>
      <x:c r="T1742" s="22" t="str">
        <x:f>IF(AND(COUNT($I$1742:$I$1746)=5,COUNT(E1742:F1742)=2),IF(E1742&gt;=F1742,"Ready","Budget below minima"),"Check inputs")</x:f>
        <x:v>Ready</x:v>
      </x:c>
      <x:c r="U1742" s="22" t="n">
        <x:f>IF(COUNT(I1742,M1742,N1742)=3,MAX(0,ROUND(I1742+M1742-N1742,2)),"n.a.")</x:f>
        <x:v>0</x:v>
      </x:c>
    </x:row>
    <x:row r="1743" ht="22" customHeight="1">
      <x:c r="A1743" s="2"/>
      <x:c r="B1743" s="2"/>
      <x:c r="C1743" s="27" t="n">
        <x:f>348</x:f>
        <x:v>348</x:v>
      </x:c>
      <x:c r="D1743" s="28" t="n">
        <x:f>IF(ISNUMBER('Inputs'!$D$7),EDATE('Inputs'!$D$7,347),"n.a.")</x:f>
        <x:v>56888</x:v>
      </x:c>
      <x:c r="E1743" s="26" t="n">
        <x:f>IF('Inputs'!$D$9&lt;&gt;"Ready","n.a.",IF(ISNUMBER('Inputs'!E366),IF('Inputs'!E366&gt;=0,'Inputs'!E366,"n.a."),IF('Inputs'!E366="",'Inputs'!$D$6,"n.a.")))</x:f>
        <x:v>500</x:v>
      </x:c>
      <x:c r="F1743" s="22" t="n">
        <x:f>IF(COUNT($N$1742:$N$1746)=5,SUM($N$1742:$N$1746),"n.a.")</x:f>
        <x:v>0</x:v>
      </x:c>
      <x:c r="G1743" s="22" t="n">
        <x:f>IF(COUNT(E1743:F1743)=2,MAX(0,E1743-F1743),"n.a.")</x:f>
        <x:v>500</x:v>
      </x:c>
      <x:c r="H1743" s="26" t="str">
        <x:f>'Inputs'!C12</x:f>
        <x:v>Card B</x:v>
      </x:c>
      <x:c r="I1743" s="26" t="n">
        <x:f>S1738</x:f>
        <x:v>0</x:v>
      </x:c>
      <x:c r="J1743" s="29" t="n">
        <x:f>IF('Inputs'!$D$9="Ready",'Inputs'!E12,"n.a.")</x:f>
        <x:v>0.18</x:v>
      </x:c>
      <x:c r="K1743" s="26" t="n">
        <x:f>IF('Inputs'!$D$9="Ready",'Inputs'!F12,"n.a.")</x:f>
        <x:v>60</x:v>
      </x:c>
      <x:c r="L1743" s="29" t="n">
        <x:f>IF('Inputs'!$D$9="Ready",'Inputs'!G12,"n.a.")</x:f>
        <x:v>0.02</x:v>
      </x:c>
      <x:c r="M1743" s="22" t="n">
        <x:f>IF(COUNT(I1743:L1743)=4,ROUND(I1743*J1743/12,2),"n.a.")</x:f>
        <x:v>0</x:v>
      </x:c>
      <x:c r="N1743" s="22" t="n">
        <x:f>IF(COUNT(I1743:M1743)=5,MIN(I1743+M1743,ROUND(MAX(K1743,I1743*L1743+M1743),2)),"n.a.")</x:f>
        <x:v>0</x:v>
      </x:c>
      <x:c r="O1743" s="30" t="n">
        <x:f>IF(COUNT($I$1742:$I$1746)&lt;&gt;5,"n.a.",IF(I1743=0,6,IF('Inputs'!$D$5=1,COUNTIFS($I$1742:$I$1746,"&gt;0",$I$1742:$I$1746,"&lt;"&amp;I1743)+COUNTIFS($I$1742:I1743,I1743),COUNTIFS($I$1742:$I$1746,"&gt;0",$J$1742:$J$1746,"&gt;"&amp;J1743)+COUNTIFS($I$1742:I1743,"&gt;0",$J$1742:J1743,J1743))))</x:f>
        <x:v>6</x:v>
      </x:c>
      <x:c r="P1743" s="22" t="n">
        <x:f>IF(T1743="Ready",MIN(U1743,MAX(0,G1743-SUMIFS($U$1742:$U$1746,$O$1742:$O$1746,"&lt;"&amp;O1743))),"n.a.")</x:f>
        <x:v>0</x:v>
      </x:c>
      <x:c r="Q1743" s="22" t="n">
        <x:f>IF(T1743="Ready",ROUND(N1743+P1743,2),"n.a.")</x:f>
        <x:v>0</x:v>
      </x:c>
      <x:c r="R1743" s="22" t="n">
        <x:f>IF(T1743="Ready",ROUND(Q1743-M1743,2),"n.a.")</x:f>
        <x:v>0</x:v>
      </x:c>
      <x:c r="S1743" s="22" t="n">
        <x:f>IF(T1743="Ready",MAX(0,ROUND(I1743+M1743-Q1743,2)),"n.a.")</x:f>
        <x:v>0</x:v>
      </x:c>
      <x:c r="T1743" s="22" t="str">
        <x:f>IF(AND(COUNT($I$1742:$I$1746)=5,COUNT(E1743:F1743)=2),IF(E1743&gt;=F1743,"Ready","Budget below minima"),"Check inputs")</x:f>
        <x:v>Ready</x:v>
      </x:c>
      <x:c r="U1743" s="22" t="n">
        <x:f>IF(COUNT(I1743,M1743,N1743)=3,MAX(0,ROUND(I1743+M1743-N1743,2)),"n.a.")</x:f>
        <x:v>0</x:v>
      </x:c>
    </x:row>
    <x:row r="1744" ht="22" customHeight="1">
      <x:c r="A1744" s="2"/>
      <x:c r="B1744" s="2"/>
      <x:c r="C1744" s="27" t="n">
        <x:f>348</x:f>
        <x:v>348</x:v>
      </x:c>
      <x:c r="D1744" s="28" t="n">
        <x:f>IF(ISNUMBER('Inputs'!$D$7),EDATE('Inputs'!$D$7,347),"n.a.")</x:f>
        <x:v>56888</x:v>
      </x:c>
      <x:c r="E1744" s="26" t="n">
        <x:f>IF('Inputs'!$D$9&lt;&gt;"Ready","n.a.",IF(ISNUMBER('Inputs'!E366),IF('Inputs'!E366&gt;=0,'Inputs'!E366,"n.a."),IF('Inputs'!E366="",'Inputs'!$D$6,"n.a.")))</x:f>
        <x:v>500</x:v>
      </x:c>
      <x:c r="F1744" s="22" t="n">
        <x:f>IF(COUNT($N$1742:$N$1746)=5,SUM($N$1742:$N$1746),"n.a.")</x:f>
        <x:v>0</x:v>
      </x:c>
      <x:c r="G1744" s="22" t="n">
        <x:f>IF(COUNT(E1744:F1744)=2,MAX(0,E1744-F1744),"n.a.")</x:f>
        <x:v>500</x:v>
      </x:c>
      <x:c r="H1744" s="26" t="str">
        <x:f>'Inputs'!C13</x:f>
        <x:v>Loan C</x:v>
      </x:c>
      <x:c r="I1744" s="26" t="n">
        <x:f>S1739</x:f>
        <x:v>0</x:v>
      </x:c>
      <x:c r="J1744" s="29" t="n">
        <x:f>IF('Inputs'!$D$9="Ready",'Inputs'!E13,"n.a.")</x:f>
        <x:v>0.08</x:v>
      </x:c>
      <x:c r="K1744" s="26" t="n">
        <x:f>IF('Inputs'!$D$9="Ready",'Inputs'!F13,"n.a.")</x:f>
        <x:v>150</x:v>
      </x:c>
      <x:c r="L1744" s="29" t="n">
        <x:f>IF('Inputs'!$D$9="Ready",'Inputs'!G13,"n.a.")</x:f>
        <x:v>0</x:v>
      </x:c>
      <x:c r="M1744" s="22" t="n">
        <x:f>IF(COUNT(I1744:L1744)=4,ROUND(I1744*J1744/12,2),"n.a.")</x:f>
        <x:v>0</x:v>
      </x:c>
      <x:c r="N1744" s="22" t="n">
        <x:f>IF(COUNT(I1744:M1744)=5,MIN(I1744+M1744,ROUND(MAX(K1744,I1744*L1744+M1744),2)),"n.a.")</x:f>
        <x:v>0</x:v>
      </x:c>
      <x:c r="O1744" s="30" t="n">
        <x:f>IF(COUNT($I$1742:$I$1746)&lt;&gt;5,"n.a.",IF(I1744=0,6,IF('Inputs'!$D$5=1,COUNTIFS($I$1742:$I$1746,"&gt;0",$I$1742:$I$1746,"&lt;"&amp;I1744)+COUNTIFS($I$1742:I1744,I1744),COUNTIFS($I$1742:$I$1746,"&gt;0",$J$1742:$J$1746,"&gt;"&amp;J1744)+COUNTIFS($I$1742:I1744,"&gt;0",$J$1742:J1744,J1744))))</x:f>
        <x:v>6</x:v>
      </x:c>
      <x:c r="P1744" s="22" t="n">
        <x:f>IF(T1744="Ready",MIN(U1744,MAX(0,G1744-SUMIFS($U$1742:$U$1746,$O$1742:$O$1746,"&lt;"&amp;O1744))),"n.a.")</x:f>
        <x:v>0</x:v>
      </x:c>
      <x:c r="Q1744" s="22" t="n">
        <x:f>IF(T1744="Ready",ROUND(N1744+P1744,2),"n.a.")</x:f>
        <x:v>0</x:v>
      </x:c>
      <x:c r="R1744" s="22" t="n">
        <x:f>IF(T1744="Ready",ROUND(Q1744-M1744,2),"n.a.")</x:f>
        <x:v>0</x:v>
      </x:c>
      <x:c r="S1744" s="22" t="n">
        <x:f>IF(T1744="Ready",MAX(0,ROUND(I1744+M1744-Q1744,2)),"n.a.")</x:f>
        <x:v>0</x:v>
      </x:c>
      <x:c r="T1744" s="22" t="str">
        <x:f>IF(AND(COUNT($I$1742:$I$1746)=5,COUNT(E1744:F1744)=2),IF(E1744&gt;=F1744,"Ready","Budget below minima"),"Check inputs")</x:f>
        <x:v>Ready</x:v>
      </x:c>
      <x:c r="U1744" s="22" t="n">
        <x:f>IF(COUNT(I1744,M1744,N1744)=3,MAX(0,ROUND(I1744+M1744-N1744,2)),"n.a.")</x:f>
        <x:v>0</x:v>
      </x:c>
    </x:row>
    <x:row r="1745" ht="22" customHeight="1">
      <x:c r="A1745" s="2"/>
      <x:c r="B1745" s="2"/>
      <x:c r="C1745" s="27" t="n">
        <x:f>348</x:f>
        <x:v>348</x:v>
      </x:c>
      <x:c r="D1745" s="28" t="n">
        <x:f>IF(ISNUMBER('Inputs'!$D$7),EDATE('Inputs'!$D$7,347),"n.a.")</x:f>
        <x:v>56888</x:v>
      </x:c>
      <x:c r="E1745" s="26" t="n">
        <x:f>IF('Inputs'!$D$9&lt;&gt;"Ready","n.a.",IF(ISNUMBER('Inputs'!E366),IF('Inputs'!E366&gt;=0,'Inputs'!E366,"n.a."),IF('Inputs'!E366="",'Inputs'!$D$6,"n.a.")))</x:f>
        <x:v>500</x:v>
      </x:c>
      <x:c r="F1745" s="22" t="n">
        <x:f>IF(COUNT($N$1742:$N$1746)=5,SUM($N$1742:$N$1746),"n.a.")</x:f>
        <x:v>0</x:v>
      </x:c>
      <x:c r="G1745" s="22" t="n">
        <x:f>IF(COUNT(E1745:F1745)=2,MAX(0,E1745-F1745),"n.a.")</x:f>
        <x:v>500</x:v>
      </x:c>
      <x:c r="H1745" s="26" t="str">
        <x:f>'Inputs'!C14</x:f>
        <x:v>Unused 4</x:v>
      </x:c>
      <x:c r="I1745" s="26" t="n">
        <x:f>S1740</x:f>
        <x:v>0</x:v>
      </x:c>
      <x:c r="J1745" s="29" t="n">
        <x:f>IF('Inputs'!$D$9="Ready",'Inputs'!E14,"n.a.")</x:f>
        <x:v>0</x:v>
      </x:c>
      <x:c r="K1745" s="26" t="n">
        <x:f>IF('Inputs'!$D$9="Ready",'Inputs'!F14,"n.a.")</x:f>
        <x:v>0</x:v>
      </x:c>
      <x:c r="L1745" s="29" t="n">
        <x:f>IF('Inputs'!$D$9="Ready",'Inputs'!G14,"n.a.")</x:f>
        <x:v>0</x:v>
      </x:c>
      <x:c r="M1745" s="22" t="n">
        <x:f>IF(COUNT(I1745:L1745)=4,ROUND(I1745*J1745/12,2),"n.a.")</x:f>
        <x:v>0</x:v>
      </x:c>
      <x:c r="N1745" s="22" t="n">
        <x:f>IF(COUNT(I1745:M1745)=5,MIN(I1745+M1745,ROUND(MAX(K1745,I1745*L1745+M1745),2)),"n.a.")</x:f>
        <x:v>0</x:v>
      </x:c>
      <x:c r="O1745" s="30" t="n">
        <x:f>IF(COUNT($I$1742:$I$1746)&lt;&gt;5,"n.a.",IF(I1745=0,6,IF('Inputs'!$D$5=1,COUNTIFS($I$1742:$I$1746,"&gt;0",$I$1742:$I$1746,"&lt;"&amp;I1745)+COUNTIFS($I$1742:I1745,I1745),COUNTIFS($I$1742:$I$1746,"&gt;0",$J$1742:$J$1746,"&gt;"&amp;J1745)+COUNTIFS($I$1742:I1745,"&gt;0",$J$1742:J1745,J1745))))</x:f>
        <x:v>6</x:v>
      </x:c>
      <x:c r="P1745" s="22" t="n">
        <x:f>IF(T1745="Ready",MIN(U1745,MAX(0,G1745-SUMIFS($U$1742:$U$1746,$O$1742:$O$1746,"&lt;"&amp;O1745))),"n.a.")</x:f>
        <x:v>0</x:v>
      </x:c>
      <x:c r="Q1745" s="22" t="n">
        <x:f>IF(T1745="Ready",ROUND(N1745+P1745,2),"n.a.")</x:f>
        <x:v>0</x:v>
      </x:c>
      <x:c r="R1745" s="22" t="n">
        <x:f>IF(T1745="Ready",ROUND(Q1745-M1745,2),"n.a.")</x:f>
        <x:v>0</x:v>
      </x:c>
      <x:c r="S1745" s="22" t="n">
        <x:f>IF(T1745="Ready",MAX(0,ROUND(I1745+M1745-Q1745,2)),"n.a.")</x:f>
        <x:v>0</x:v>
      </x:c>
      <x:c r="T1745" s="22" t="str">
        <x:f>IF(AND(COUNT($I$1742:$I$1746)=5,COUNT(E1745:F1745)=2),IF(E1745&gt;=F1745,"Ready","Budget below minima"),"Check inputs")</x:f>
        <x:v>Ready</x:v>
      </x:c>
      <x:c r="U1745" s="22" t="n">
        <x:f>IF(COUNT(I1745,M1745,N1745)=3,MAX(0,ROUND(I1745+M1745-N1745,2)),"n.a.")</x:f>
        <x:v>0</x:v>
      </x:c>
    </x:row>
    <x:row r="1746" ht="22" customHeight="1">
      <x:c r="A1746" s="2"/>
      <x:c r="B1746" s="2"/>
      <x:c r="C1746" s="27" t="n">
        <x:f>348</x:f>
        <x:v>348</x:v>
      </x:c>
      <x:c r="D1746" s="28" t="n">
        <x:f>IF(ISNUMBER('Inputs'!$D$7),EDATE('Inputs'!$D$7,347),"n.a.")</x:f>
        <x:v>56888</x:v>
      </x:c>
      <x:c r="E1746" s="26" t="n">
        <x:f>IF('Inputs'!$D$9&lt;&gt;"Ready","n.a.",IF(ISNUMBER('Inputs'!E366),IF('Inputs'!E366&gt;=0,'Inputs'!E366,"n.a."),IF('Inputs'!E366="",'Inputs'!$D$6,"n.a.")))</x:f>
        <x:v>500</x:v>
      </x:c>
      <x:c r="F1746" s="22" t="n">
        <x:f>IF(COUNT($N$1742:$N$1746)=5,SUM($N$1742:$N$1746),"n.a.")</x:f>
        <x:v>0</x:v>
      </x:c>
      <x:c r="G1746" s="22" t="n">
        <x:f>IF(COUNT(E1746:F1746)=2,MAX(0,E1746-F1746),"n.a.")</x:f>
        <x:v>500</x:v>
      </x:c>
      <x:c r="H1746" s="26" t="str">
        <x:f>'Inputs'!C15</x:f>
        <x:v>Unused 5</x:v>
      </x:c>
      <x:c r="I1746" s="26" t="n">
        <x:f>S1741</x:f>
        <x:v>0</x:v>
      </x:c>
      <x:c r="J1746" s="29" t="n">
        <x:f>IF('Inputs'!$D$9="Ready",'Inputs'!E15,"n.a.")</x:f>
        <x:v>0</x:v>
      </x:c>
      <x:c r="K1746" s="26" t="n">
        <x:f>IF('Inputs'!$D$9="Ready",'Inputs'!F15,"n.a.")</x:f>
        <x:v>0</x:v>
      </x:c>
      <x:c r="L1746" s="29" t="n">
        <x:f>IF('Inputs'!$D$9="Ready",'Inputs'!G15,"n.a.")</x:f>
        <x:v>0</x:v>
      </x:c>
      <x:c r="M1746" s="22" t="n">
        <x:f>IF(COUNT(I1746:L1746)=4,ROUND(I1746*J1746/12,2),"n.a.")</x:f>
        <x:v>0</x:v>
      </x:c>
      <x:c r="N1746" s="22" t="n">
        <x:f>IF(COUNT(I1746:M1746)=5,MIN(I1746+M1746,ROUND(MAX(K1746,I1746*L1746+M1746),2)),"n.a.")</x:f>
        <x:v>0</x:v>
      </x:c>
      <x:c r="O1746" s="30" t="n">
        <x:f>IF(COUNT($I$1742:$I$1746)&lt;&gt;5,"n.a.",IF(I1746=0,6,IF('Inputs'!$D$5=1,COUNTIFS($I$1742:$I$1746,"&gt;0",$I$1742:$I$1746,"&lt;"&amp;I1746)+COUNTIFS($I$1742:I1746,I1746),COUNTIFS($I$1742:$I$1746,"&gt;0",$J$1742:$J$1746,"&gt;"&amp;J1746)+COUNTIFS($I$1742:I1746,"&gt;0",$J$1742:J1746,J1746))))</x:f>
        <x:v>6</x:v>
      </x:c>
      <x:c r="P1746" s="22" t="n">
        <x:f>IF(T1746="Ready",MIN(U1746,MAX(0,G1746-SUMIFS($U$1742:$U$1746,$O$1742:$O$1746,"&lt;"&amp;O1746))),"n.a.")</x:f>
        <x:v>0</x:v>
      </x:c>
      <x:c r="Q1746" s="22" t="n">
        <x:f>IF(T1746="Ready",ROUND(N1746+P1746,2),"n.a.")</x:f>
        <x:v>0</x:v>
      </x:c>
      <x:c r="R1746" s="22" t="n">
        <x:f>IF(T1746="Ready",ROUND(Q1746-M1746,2),"n.a.")</x:f>
        <x:v>0</x:v>
      </x:c>
      <x:c r="S1746" s="22" t="n">
        <x:f>IF(T1746="Ready",MAX(0,ROUND(I1746+M1746-Q1746,2)),"n.a.")</x:f>
        <x:v>0</x:v>
      </x:c>
      <x:c r="T1746" s="22" t="str">
        <x:f>IF(AND(COUNT($I$1742:$I$1746)=5,COUNT(E1746:F1746)=2),IF(E1746&gt;=F1746,"Ready","Budget below minima"),"Check inputs")</x:f>
        <x:v>Ready</x:v>
      </x:c>
      <x:c r="U1746" s="22" t="n">
        <x:f>IF(COUNT(I1746,M1746,N1746)=3,MAX(0,ROUND(I1746+M1746-N1746,2)),"n.a.")</x:f>
        <x:v>0</x:v>
      </x:c>
    </x:row>
    <x:row r="1747" ht="22" customHeight="1">
      <x:c r="A1747" s="2"/>
      <x:c r="B1747" s="2"/>
      <x:c r="C1747" s="27" t="n">
        <x:f>349</x:f>
        <x:v>349</x:v>
      </x:c>
      <x:c r="D1747" s="28" t="n">
        <x:f>IF(ISNUMBER('Inputs'!$D$7),EDATE('Inputs'!$D$7,348),"n.a.")</x:f>
        <x:v>56919</x:v>
      </x:c>
      <x:c r="E1747" s="26" t="n">
        <x:f>IF('Inputs'!$D$9&lt;&gt;"Ready","n.a.",IF(ISNUMBER('Inputs'!E367),IF('Inputs'!E367&gt;=0,'Inputs'!E367,"n.a."),IF('Inputs'!E367="",'Inputs'!$D$6,"n.a.")))</x:f>
        <x:v>500</x:v>
      </x:c>
      <x:c r="F1747" s="22" t="n">
        <x:f>IF(COUNT($N$1747:$N$1751)=5,SUM($N$1747:$N$1751),"n.a.")</x:f>
        <x:v>0</x:v>
      </x:c>
      <x:c r="G1747" s="22" t="n">
        <x:f>IF(COUNT(E1747:F1747)=2,MAX(0,E1747-F1747),"n.a.")</x:f>
        <x:v>500</x:v>
      </x:c>
      <x:c r="H1747" s="26" t="str">
        <x:f>'Inputs'!C11</x:f>
        <x:v>Card A</x:v>
      </x:c>
      <x:c r="I1747" s="26" t="n">
        <x:f>S1742</x:f>
        <x:v>0</x:v>
      </x:c>
      <x:c r="J1747" s="29" t="n">
        <x:f>IF('Inputs'!$D$9="Ready",'Inputs'!E11,"n.a.")</x:f>
        <x:v>0.24</x:v>
      </x:c>
      <x:c r="K1747" s="26" t="n">
        <x:f>IF('Inputs'!$D$9="Ready",'Inputs'!F11,"n.a.")</x:f>
        <x:v>35</x:v>
      </x:c>
      <x:c r="L1747" s="29" t="n">
        <x:f>IF('Inputs'!$D$9="Ready",'Inputs'!G11,"n.a.")</x:f>
        <x:v>0.02</x:v>
      </x:c>
      <x:c r="M1747" s="22" t="n">
        <x:f>IF(COUNT(I1747:L1747)=4,ROUND(I1747*J1747/12,2),"n.a.")</x:f>
        <x:v>0</x:v>
      </x:c>
      <x:c r="N1747" s="22" t="n">
        <x:f>IF(COUNT(I1747:M1747)=5,MIN(I1747+M1747,ROUND(MAX(K1747,I1747*L1747+M1747),2)),"n.a.")</x:f>
        <x:v>0</x:v>
      </x:c>
      <x:c r="O1747" s="30" t="n">
        <x:f>IF(COUNT($I$1747:$I$1751)&lt;&gt;5,"n.a.",IF(I1747=0,6,IF('Inputs'!$D$5=1,COUNTIFS($I$1747:$I$1751,"&gt;0",$I$1747:$I$1751,"&lt;"&amp;I1747)+COUNTIFS($I$1747:I1747,I1747),COUNTIFS($I$1747:$I$1751,"&gt;0",$J$1747:$J$1751,"&gt;"&amp;J1747)+COUNTIFS($I$1747:I1747,"&gt;0",$J$1747:J1747,J1747))))</x:f>
        <x:v>6</x:v>
      </x:c>
      <x:c r="P1747" s="22" t="n">
        <x:f>IF(T1747="Ready",MIN(U1747,MAX(0,G1747-SUMIFS($U$1747:$U$1751,$O$1747:$O$1751,"&lt;"&amp;O1747))),"n.a.")</x:f>
        <x:v>0</x:v>
      </x:c>
      <x:c r="Q1747" s="22" t="n">
        <x:f>IF(T1747="Ready",ROUND(N1747+P1747,2),"n.a.")</x:f>
        <x:v>0</x:v>
      </x:c>
      <x:c r="R1747" s="22" t="n">
        <x:f>IF(T1747="Ready",ROUND(Q1747-M1747,2),"n.a.")</x:f>
        <x:v>0</x:v>
      </x:c>
      <x:c r="S1747" s="22" t="n">
        <x:f>IF(T1747="Ready",MAX(0,ROUND(I1747+M1747-Q1747,2)),"n.a.")</x:f>
        <x:v>0</x:v>
      </x:c>
      <x:c r="T1747" s="22" t="str">
        <x:f>IF(AND(COUNT($I$1747:$I$1751)=5,COUNT(E1747:F1747)=2),IF(E1747&gt;=F1747,"Ready","Budget below minima"),"Check inputs")</x:f>
        <x:v>Ready</x:v>
      </x:c>
      <x:c r="U1747" s="22" t="n">
        <x:f>IF(COUNT(I1747,M1747,N1747)=3,MAX(0,ROUND(I1747+M1747-N1747,2)),"n.a.")</x:f>
        <x:v>0</x:v>
      </x:c>
    </x:row>
    <x:row r="1748" ht="22" customHeight="1">
      <x:c r="A1748" s="2"/>
      <x:c r="B1748" s="2"/>
      <x:c r="C1748" s="27" t="n">
        <x:f>349</x:f>
        <x:v>349</x:v>
      </x:c>
      <x:c r="D1748" s="28" t="n">
        <x:f>IF(ISNUMBER('Inputs'!$D$7),EDATE('Inputs'!$D$7,348),"n.a.")</x:f>
        <x:v>56919</x:v>
      </x:c>
      <x:c r="E1748" s="26" t="n">
        <x:f>IF('Inputs'!$D$9&lt;&gt;"Ready","n.a.",IF(ISNUMBER('Inputs'!E367),IF('Inputs'!E367&gt;=0,'Inputs'!E367,"n.a."),IF('Inputs'!E367="",'Inputs'!$D$6,"n.a.")))</x:f>
        <x:v>500</x:v>
      </x:c>
      <x:c r="F1748" s="22" t="n">
        <x:f>IF(COUNT($N$1747:$N$1751)=5,SUM($N$1747:$N$1751),"n.a.")</x:f>
        <x:v>0</x:v>
      </x:c>
      <x:c r="G1748" s="22" t="n">
        <x:f>IF(COUNT(E1748:F1748)=2,MAX(0,E1748-F1748),"n.a.")</x:f>
        <x:v>500</x:v>
      </x:c>
      <x:c r="H1748" s="26" t="str">
        <x:f>'Inputs'!C12</x:f>
        <x:v>Card B</x:v>
      </x:c>
      <x:c r="I1748" s="26" t="n">
        <x:f>S1743</x:f>
        <x:v>0</x:v>
      </x:c>
      <x:c r="J1748" s="29" t="n">
        <x:f>IF('Inputs'!$D$9="Ready",'Inputs'!E12,"n.a.")</x:f>
        <x:v>0.18</x:v>
      </x:c>
      <x:c r="K1748" s="26" t="n">
        <x:f>IF('Inputs'!$D$9="Ready",'Inputs'!F12,"n.a.")</x:f>
        <x:v>60</x:v>
      </x:c>
      <x:c r="L1748" s="29" t="n">
        <x:f>IF('Inputs'!$D$9="Ready",'Inputs'!G12,"n.a.")</x:f>
        <x:v>0.02</x:v>
      </x:c>
      <x:c r="M1748" s="22" t="n">
        <x:f>IF(COUNT(I1748:L1748)=4,ROUND(I1748*J1748/12,2),"n.a.")</x:f>
        <x:v>0</x:v>
      </x:c>
      <x:c r="N1748" s="22" t="n">
        <x:f>IF(COUNT(I1748:M1748)=5,MIN(I1748+M1748,ROUND(MAX(K1748,I1748*L1748+M1748),2)),"n.a.")</x:f>
        <x:v>0</x:v>
      </x:c>
      <x:c r="O1748" s="30" t="n">
        <x:f>IF(COUNT($I$1747:$I$1751)&lt;&gt;5,"n.a.",IF(I1748=0,6,IF('Inputs'!$D$5=1,COUNTIFS($I$1747:$I$1751,"&gt;0",$I$1747:$I$1751,"&lt;"&amp;I1748)+COUNTIFS($I$1747:I1748,I1748),COUNTIFS($I$1747:$I$1751,"&gt;0",$J$1747:$J$1751,"&gt;"&amp;J1748)+COUNTIFS($I$1747:I1748,"&gt;0",$J$1747:J1748,J1748))))</x:f>
        <x:v>6</x:v>
      </x:c>
      <x:c r="P1748" s="22" t="n">
        <x:f>IF(T1748="Ready",MIN(U1748,MAX(0,G1748-SUMIFS($U$1747:$U$1751,$O$1747:$O$1751,"&lt;"&amp;O1748))),"n.a.")</x:f>
        <x:v>0</x:v>
      </x:c>
      <x:c r="Q1748" s="22" t="n">
        <x:f>IF(T1748="Ready",ROUND(N1748+P1748,2),"n.a.")</x:f>
        <x:v>0</x:v>
      </x:c>
      <x:c r="R1748" s="22" t="n">
        <x:f>IF(T1748="Ready",ROUND(Q1748-M1748,2),"n.a.")</x:f>
        <x:v>0</x:v>
      </x:c>
      <x:c r="S1748" s="22" t="n">
        <x:f>IF(T1748="Ready",MAX(0,ROUND(I1748+M1748-Q1748,2)),"n.a.")</x:f>
        <x:v>0</x:v>
      </x:c>
      <x:c r="T1748" s="22" t="str">
        <x:f>IF(AND(COUNT($I$1747:$I$1751)=5,COUNT(E1748:F1748)=2),IF(E1748&gt;=F1748,"Ready","Budget below minima"),"Check inputs")</x:f>
        <x:v>Ready</x:v>
      </x:c>
      <x:c r="U1748" s="22" t="n">
        <x:f>IF(COUNT(I1748,M1748,N1748)=3,MAX(0,ROUND(I1748+M1748-N1748,2)),"n.a.")</x:f>
        <x:v>0</x:v>
      </x:c>
    </x:row>
    <x:row r="1749" ht="22" customHeight="1">
      <x:c r="A1749" s="2"/>
      <x:c r="B1749" s="2"/>
      <x:c r="C1749" s="27" t="n">
        <x:f>349</x:f>
        <x:v>349</x:v>
      </x:c>
      <x:c r="D1749" s="28" t="n">
        <x:f>IF(ISNUMBER('Inputs'!$D$7),EDATE('Inputs'!$D$7,348),"n.a.")</x:f>
        <x:v>56919</x:v>
      </x:c>
      <x:c r="E1749" s="26" t="n">
        <x:f>IF('Inputs'!$D$9&lt;&gt;"Ready","n.a.",IF(ISNUMBER('Inputs'!E367),IF('Inputs'!E367&gt;=0,'Inputs'!E367,"n.a."),IF('Inputs'!E367="",'Inputs'!$D$6,"n.a.")))</x:f>
        <x:v>500</x:v>
      </x:c>
      <x:c r="F1749" s="22" t="n">
        <x:f>IF(COUNT($N$1747:$N$1751)=5,SUM($N$1747:$N$1751),"n.a.")</x:f>
        <x:v>0</x:v>
      </x:c>
      <x:c r="G1749" s="22" t="n">
        <x:f>IF(COUNT(E1749:F1749)=2,MAX(0,E1749-F1749),"n.a.")</x:f>
        <x:v>500</x:v>
      </x:c>
      <x:c r="H1749" s="26" t="str">
        <x:f>'Inputs'!C13</x:f>
        <x:v>Loan C</x:v>
      </x:c>
      <x:c r="I1749" s="26" t="n">
        <x:f>S1744</x:f>
        <x:v>0</x:v>
      </x:c>
      <x:c r="J1749" s="29" t="n">
        <x:f>IF('Inputs'!$D$9="Ready",'Inputs'!E13,"n.a.")</x:f>
        <x:v>0.08</x:v>
      </x:c>
      <x:c r="K1749" s="26" t="n">
        <x:f>IF('Inputs'!$D$9="Ready",'Inputs'!F13,"n.a.")</x:f>
        <x:v>150</x:v>
      </x:c>
      <x:c r="L1749" s="29" t="n">
        <x:f>IF('Inputs'!$D$9="Ready",'Inputs'!G13,"n.a.")</x:f>
        <x:v>0</x:v>
      </x:c>
      <x:c r="M1749" s="22" t="n">
        <x:f>IF(COUNT(I1749:L1749)=4,ROUND(I1749*J1749/12,2),"n.a.")</x:f>
        <x:v>0</x:v>
      </x:c>
      <x:c r="N1749" s="22" t="n">
        <x:f>IF(COUNT(I1749:M1749)=5,MIN(I1749+M1749,ROUND(MAX(K1749,I1749*L1749+M1749),2)),"n.a.")</x:f>
        <x:v>0</x:v>
      </x:c>
      <x:c r="O1749" s="30" t="n">
        <x:f>IF(COUNT($I$1747:$I$1751)&lt;&gt;5,"n.a.",IF(I1749=0,6,IF('Inputs'!$D$5=1,COUNTIFS($I$1747:$I$1751,"&gt;0",$I$1747:$I$1751,"&lt;"&amp;I1749)+COUNTIFS($I$1747:I1749,I1749),COUNTIFS($I$1747:$I$1751,"&gt;0",$J$1747:$J$1751,"&gt;"&amp;J1749)+COUNTIFS($I$1747:I1749,"&gt;0",$J$1747:J1749,J1749))))</x:f>
        <x:v>6</x:v>
      </x:c>
      <x:c r="P1749" s="22" t="n">
        <x:f>IF(T1749="Ready",MIN(U1749,MAX(0,G1749-SUMIFS($U$1747:$U$1751,$O$1747:$O$1751,"&lt;"&amp;O1749))),"n.a.")</x:f>
        <x:v>0</x:v>
      </x:c>
      <x:c r="Q1749" s="22" t="n">
        <x:f>IF(T1749="Ready",ROUND(N1749+P1749,2),"n.a.")</x:f>
        <x:v>0</x:v>
      </x:c>
      <x:c r="R1749" s="22" t="n">
        <x:f>IF(T1749="Ready",ROUND(Q1749-M1749,2),"n.a.")</x:f>
        <x:v>0</x:v>
      </x:c>
      <x:c r="S1749" s="22" t="n">
        <x:f>IF(T1749="Ready",MAX(0,ROUND(I1749+M1749-Q1749,2)),"n.a.")</x:f>
        <x:v>0</x:v>
      </x:c>
      <x:c r="T1749" s="22" t="str">
        <x:f>IF(AND(COUNT($I$1747:$I$1751)=5,COUNT(E1749:F1749)=2),IF(E1749&gt;=F1749,"Ready","Budget below minima"),"Check inputs")</x:f>
        <x:v>Ready</x:v>
      </x:c>
      <x:c r="U1749" s="22" t="n">
        <x:f>IF(COUNT(I1749,M1749,N1749)=3,MAX(0,ROUND(I1749+M1749-N1749,2)),"n.a.")</x:f>
        <x:v>0</x:v>
      </x:c>
    </x:row>
    <x:row r="1750" ht="22" customHeight="1">
      <x:c r="A1750" s="2"/>
      <x:c r="B1750" s="2"/>
      <x:c r="C1750" s="27" t="n">
        <x:f>349</x:f>
        <x:v>349</x:v>
      </x:c>
      <x:c r="D1750" s="28" t="n">
        <x:f>IF(ISNUMBER('Inputs'!$D$7),EDATE('Inputs'!$D$7,348),"n.a.")</x:f>
        <x:v>56919</x:v>
      </x:c>
      <x:c r="E1750" s="26" t="n">
        <x:f>IF('Inputs'!$D$9&lt;&gt;"Ready","n.a.",IF(ISNUMBER('Inputs'!E367),IF('Inputs'!E367&gt;=0,'Inputs'!E367,"n.a."),IF('Inputs'!E367="",'Inputs'!$D$6,"n.a.")))</x:f>
        <x:v>500</x:v>
      </x:c>
      <x:c r="F1750" s="22" t="n">
        <x:f>IF(COUNT($N$1747:$N$1751)=5,SUM($N$1747:$N$1751),"n.a.")</x:f>
        <x:v>0</x:v>
      </x:c>
      <x:c r="G1750" s="22" t="n">
        <x:f>IF(COUNT(E1750:F1750)=2,MAX(0,E1750-F1750),"n.a.")</x:f>
        <x:v>500</x:v>
      </x:c>
      <x:c r="H1750" s="26" t="str">
        <x:f>'Inputs'!C14</x:f>
        <x:v>Unused 4</x:v>
      </x:c>
      <x:c r="I1750" s="26" t="n">
        <x:f>S1745</x:f>
        <x:v>0</x:v>
      </x:c>
      <x:c r="J1750" s="29" t="n">
        <x:f>IF('Inputs'!$D$9="Ready",'Inputs'!E14,"n.a.")</x:f>
        <x:v>0</x:v>
      </x:c>
      <x:c r="K1750" s="26" t="n">
        <x:f>IF('Inputs'!$D$9="Ready",'Inputs'!F14,"n.a.")</x:f>
        <x:v>0</x:v>
      </x:c>
      <x:c r="L1750" s="29" t="n">
        <x:f>IF('Inputs'!$D$9="Ready",'Inputs'!G14,"n.a.")</x:f>
        <x:v>0</x:v>
      </x:c>
      <x:c r="M1750" s="22" t="n">
        <x:f>IF(COUNT(I1750:L1750)=4,ROUND(I1750*J1750/12,2),"n.a.")</x:f>
        <x:v>0</x:v>
      </x:c>
      <x:c r="N1750" s="22" t="n">
        <x:f>IF(COUNT(I1750:M1750)=5,MIN(I1750+M1750,ROUND(MAX(K1750,I1750*L1750+M1750),2)),"n.a.")</x:f>
        <x:v>0</x:v>
      </x:c>
      <x:c r="O1750" s="30" t="n">
        <x:f>IF(COUNT($I$1747:$I$1751)&lt;&gt;5,"n.a.",IF(I1750=0,6,IF('Inputs'!$D$5=1,COUNTIFS($I$1747:$I$1751,"&gt;0",$I$1747:$I$1751,"&lt;"&amp;I1750)+COUNTIFS($I$1747:I1750,I1750),COUNTIFS($I$1747:$I$1751,"&gt;0",$J$1747:$J$1751,"&gt;"&amp;J1750)+COUNTIFS($I$1747:I1750,"&gt;0",$J$1747:J1750,J1750))))</x:f>
        <x:v>6</x:v>
      </x:c>
      <x:c r="P1750" s="22" t="n">
        <x:f>IF(T1750="Ready",MIN(U1750,MAX(0,G1750-SUMIFS($U$1747:$U$1751,$O$1747:$O$1751,"&lt;"&amp;O1750))),"n.a.")</x:f>
        <x:v>0</x:v>
      </x:c>
      <x:c r="Q1750" s="22" t="n">
        <x:f>IF(T1750="Ready",ROUND(N1750+P1750,2),"n.a.")</x:f>
        <x:v>0</x:v>
      </x:c>
      <x:c r="R1750" s="22" t="n">
        <x:f>IF(T1750="Ready",ROUND(Q1750-M1750,2),"n.a.")</x:f>
        <x:v>0</x:v>
      </x:c>
      <x:c r="S1750" s="22" t="n">
        <x:f>IF(T1750="Ready",MAX(0,ROUND(I1750+M1750-Q1750,2)),"n.a.")</x:f>
        <x:v>0</x:v>
      </x:c>
      <x:c r="T1750" s="22" t="str">
        <x:f>IF(AND(COUNT($I$1747:$I$1751)=5,COUNT(E1750:F1750)=2),IF(E1750&gt;=F1750,"Ready","Budget below minima"),"Check inputs")</x:f>
        <x:v>Ready</x:v>
      </x:c>
      <x:c r="U1750" s="22" t="n">
        <x:f>IF(COUNT(I1750,M1750,N1750)=3,MAX(0,ROUND(I1750+M1750-N1750,2)),"n.a.")</x:f>
        <x:v>0</x:v>
      </x:c>
    </x:row>
    <x:row r="1751" ht="22" customHeight="1">
      <x:c r="A1751" s="2"/>
      <x:c r="B1751" s="2"/>
      <x:c r="C1751" s="27" t="n">
        <x:f>349</x:f>
        <x:v>349</x:v>
      </x:c>
      <x:c r="D1751" s="28" t="n">
        <x:f>IF(ISNUMBER('Inputs'!$D$7),EDATE('Inputs'!$D$7,348),"n.a.")</x:f>
        <x:v>56919</x:v>
      </x:c>
      <x:c r="E1751" s="26" t="n">
        <x:f>IF('Inputs'!$D$9&lt;&gt;"Ready","n.a.",IF(ISNUMBER('Inputs'!E367),IF('Inputs'!E367&gt;=0,'Inputs'!E367,"n.a."),IF('Inputs'!E367="",'Inputs'!$D$6,"n.a.")))</x:f>
        <x:v>500</x:v>
      </x:c>
      <x:c r="F1751" s="22" t="n">
        <x:f>IF(COUNT($N$1747:$N$1751)=5,SUM($N$1747:$N$1751),"n.a.")</x:f>
        <x:v>0</x:v>
      </x:c>
      <x:c r="G1751" s="22" t="n">
        <x:f>IF(COUNT(E1751:F1751)=2,MAX(0,E1751-F1751),"n.a.")</x:f>
        <x:v>500</x:v>
      </x:c>
      <x:c r="H1751" s="26" t="str">
        <x:f>'Inputs'!C15</x:f>
        <x:v>Unused 5</x:v>
      </x:c>
      <x:c r="I1751" s="26" t="n">
        <x:f>S1746</x:f>
        <x:v>0</x:v>
      </x:c>
      <x:c r="J1751" s="29" t="n">
        <x:f>IF('Inputs'!$D$9="Ready",'Inputs'!E15,"n.a.")</x:f>
        <x:v>0</x:v>
      </x:c>
      <x:c r="K1751" s="26" t="n">
        <x:f>IF('Inputs'!$D$9="Ready",'Inputs'!F15,"n.a.")</x:f>
        <x:v>0</x:v>
      </x:c>
      <x:c r="L1751" s="29" t="n">
        <x:f>IF('Inputs'!$D$9="Ready",'Inputs'!G15,"n.a.")</x:f>
        <x:v>0</x:v>
      </x:c>
      <x:c r="M1751" s="22" t="n">
        <x:f>IF(COUNT(I1751:L1751)=4,ROUND(I1751*J1751/12,2),"n.a.")</x:f>
        <x:v>0</x:v>
      </x:c>
      <x:c r="N1751" s="22" t="n">
        <x:f>IF(COUNT(I1751:M1751)=5,MIN(I1751+M1751,ROUND(MAX(K1751,I1751*L1751+M1751),2)),"n.a.")</x:f>
        <x:v>0</x:v>
      </x:c>
      <x:c r="O1751" s="30" t="n">
        <x:f>IF(COUNT($I$1747:$I$1751)&lt;&gt;5,"n.a.",IF(I1751=0,6,IF('Inputs'!$D$5=1,COUNTIFS($I$1747:$I$1751,"&gt;0",$I$1747:$I$1751,"&lt;"&amp;I1751)+COUNTIFS($I$1747:I1751,I1751),COUNTIFS($I$1747:$I$1751,"&gt;0",$J$1747:$J$1751,"&gt;"&amp;J1751)+COUNTIFS($I$1747:I1751,"&gt;0",$J$1747:J1751,J1751))))</x:f>
        <x:v>6</x:v>
      </x:c>
      <x:c r="P1751" s="22" t="n">
        <x:f>IF(T1751="Ready",MIN(U1751,MAX(0,G1751-SUMIFS($U$1747:$U$1751,$O$1747:$O$1751,"&lt;"&amp;O1751))),"n.a.")</x:f>
        <x:v>0</x:v>
      </x:c>
      <x:c r="Q1751" s="22" t="n">
        <x:f>IF(T1751="Ready",ROUND(N1751+P1751,2),"n.a.")</x:f>
        <x:v>0</x:v>
      </x:c>
      <x:c r="R1751" s="22" t="n">
        <x:f>IF(T1751="Ready",ROUND(Q1751-M1751,2),"n.a.")</x:f>
        <x:v>0</x:v>
      </x:c>
      <x:c r="S1751" s="22" t="n">
        <x:f>IF(T1751="Ready",MAX(0,ROUND(I1751+M1751-Q1751,2)),"n.a.")</x:f>
        <x:v>0</x:v>
      </x:c>
      <x:c r="T1751" s="22" t="str">
        <x:f>IF(AND(COUNT($I$1747:$I$1751)=5,COUNT(E1751:F1751)=2),IF(E1751&gt;=F1751,"Ready","Budget below minima"),"Check inputs")</x:f>
        <x:v>Ready</x:v>
      </x:c>
      <x:c r="U1751" s="22" t="n">
        <x:f>IF(COUNT(I1751,M1751,N1751)=3,MAX(0,ROUND(I1751+M1751-N1751,2)),"n.a.")</x:f>
        <x:v>0</x:v>
      </x:c>
    </x:row>
    <x:row r="1752" ht="22" customHeight="1">
      <x:c r="A1752" s="2"/>
      <x:c r="B1752" s="2"/>
      <x:c r="C1752" s="27" t="n">
        <x:f>350</x:f>
        <x:v>350</x:v>
      </x:c>
      <x:c r="D1752" s="28" t="n">
        <x:f>IF(ISNUMBER('Inputs'!$D$7),EDATE('Inputs'!$D$7,349),"n.a.")</x:f>
        <x:v>56949</x:v>
      </x:c>
      <x:c r="E1752" s="26" t="n">
        <x:f>IF('Inputs'!$D$9&lt;&gt;"Ready","n.a.",IF(ISNUMBER('Inputs'!E368),IF('Inputs'!E368&gt;=0,'Inputs'!E368,"n.a."),IF('Inputs'!E368="",'Inputs'!$D$6,"n.a.")))</x:f>
        <x:v>500</x:v>
      </x:c>
      <x:c r="F1752" s="22" t="n">
        <x:f>IF(COUNT($N$1752:$N$1756)=5,SUM($N$1752:$N$1756),"n.a.")</x:f>
        <x:v>0</x:v>
      </x:c>
      <x:c r="G1752" s="22" t="n">
        <x:f>IF(COUNT(E1752:F1752)=2,MAX(0,E1752-F1752),"n.a.")</x:f>
        <x:v>500</x:v>
      </x:c>
      <x:c r="H1752" s="26" t="str">
        <x:f>'Inputs'!C11</x:f>
        <x:v>Card A</x:v>
      </x:c>
      <x:c r="I1752" s="26" t="n">
        <x:f>S1747</x:f>
        <x:v>0</x:v>
      </x:c>
      <x:c r="J1752" s="29" t="n">
        <x:f>IF('Inputs'!$D$9="Ready",'Inputs'!E11,"n.a.")</x:f>
        <x:v>0.24</x:v>
      </x:c>
      <x:c r="K1752" s="26" t="n">
        <x:f>IF('Inputs'!$D$9="Ready",'Inputs'!F11,"n.a.")</x:f>
        <x:v>35</x:v>
      </x:c>
      <x:c r="L1752" s="29" t="n">
        <x:f>IF('Inputs'!$D$9="Ready",'Inputs'!G11,"n.a.")</x:f>
        <x:v>0.02</x:v>
      </x:c>
      <x:c r="M1752" s="22" t="n">
        <x:f>IF(COUNT(I1752:L1752)=4,ROUND(I1752*J1752/12,2),"n.a.")</x:f>
        <x:v>0</x:v>
      </x:c>
      <x:c r="N1752" s="22" t="n">
        <x:f>IF(COUNT(I1752:M1752)=5,MIN(I1752+M1752,ROUND(MAX(K1752,I1752*L1752+M1752),2)),"n.a.")</x:f>
        <x:v>0</x:v>
      </x:c>
      <x:c r="O1752" s="30" t="n">
        <x:f>IF(COUNT($I$1752:$I$1756)&lt;&gt;5,"n.a.",IF(I1752=0,6,IF('Inputs'!$D$5=1,COUNTIFS($I$1752:$I$1756,"&gt;0",$I$1752:$I$1756,"&lt;"&amp;I1752)+COUNTIFS($I$1752:I1752,I1752),COUNTIFS($I$1752:$I$1756,"&gt;0",$J$1752:$J$1756,"&gt;"&amp;J1752)+COUNTIFS($I$1752:I1752,"&gt;0",$J$1752:J1752,J1752))))</x:f>
        <x:v>6</x:v>
      </x:c>
      <x:c r="P1752" s="22" t="n">
        <x:f>IF(T1752="Ready",MIN(U1752,MAX(0,G1752-SUMIFS($U$1752:$U$1756,$O$1752:$O$1756,"&lt;"&amp;O1752))),"n.a.")</x:f>
        <x:v>0</x:v>
      </x:c>
      <x:c r="Q1752" s="22" t="n">
        <x:f>IF(T1752="Ready",ROUND(N1752+P1752,2),"n.a.")</x:f>
        <x:v>0</x:v>
      </x:c>
      <x:c r="R1752" s="22" t="n">
        <x:f>IF(T1752="Ready",ROUND(Q1752-M1752,2),"n.a.")</x:f>
        <x:v>0</x:v>
      </x:c>
      <x:c r="S1752" s="22" t="n">
        <x:f>IF(T1752="Ready",MAX(0,ROUND(I1752+M1752-Q1752,2)),"n.a.")</x:f>
        <x:v>0</x:v>
      </x:c>
      <x:c r="T1752" s="22" t="str">
        <x:f>IF(AND(COUNT($I$1752:$I$1756)=5,COUNT(E1752:F1752)=2),IF(E1752&gt;=F1752,"Ready","Budget below minima"),"Check inputs")</x:f>
        <x:v>Ready</x:v>
      </x:c>
      <x:c r="U1752" s="22" t="n">
        <x:f>IF(COUNT(I1752,M1752,N1752)=3,MAX(0,ROUND(I1752+M1752-N1752,2)),"n.a.")</x:f>
        <x:v>0</x:v>
      </x:c>
    </x:row>
    <x:row r="1753" ht="22" customHeight="1">
      <x:c r="A1753" s="2"/>
      <x:c r="B1753" s="2"/>
      <x:c r="C1753" s="27" t="n">
        <x:f>350</x:f>
        <x:v>350</x:v>
      </x:c>
      <x:c r="D1753" s="28" t="n">
        <x:f>IF(ISNUMBER('Inputs'!$D$7),EDATE('Inputs'!$D$7,349),"n.a.")</x:f>
        <x:v>56949</x:v>
      </x:c>
      <x:c r="E1753" s="26" t="n">
        <x:f>IF('Inputs'!$D$9&lt;&gt;"Ready","n.a.",IF(ISNUMBER('Inputs'!E368),IF('Inputs'!E368&gt;=0,'Inputs'!E368,"n.a."),IF('Inputs'!E368="",'Inputs'!$D$6,"n.a.")))</x:f>
        <x:v>500</x:v>
      </x:c>
      <x:c r="F1753" s="22" t="n">
        <x:f>IF(COUNT($N$1752:$N$1756)=5,SUM($N$1752:$N$1756),"n.a.")</x:f>
        <x:v>0</x:v>
      </x:c>
      <x:c r="G1753" s="22" t="n">
        <x:f>IF(COUNT(E1753:F1753)=2,MAX(0,E1753-F1753),"n.a.")</x:f>
        <x:v>500</x:v>
      </x:c>
      <x:c r="H1753" s="26" t="str">
        <x:f>'Inputs'!C12</x:f>
        <x:v>Card B</x:v>
      </x:c>
      <x:c r="I1753" s="26" t="n">
        <x:f>S1748</x:f>
        <x:v>0</x:v>
      </x:c>
      <x:c r="J1753" s="29" t="n">
        <x:f>IF('Inputs'!$D$9="Ready",'Inputs'!E12,"n.a.")</x:f>
        <x:v>0.18</x:v>
      </x:c>
      <x:c r="K1753" s="26" t="n">
        <x:f>IF('Inputs'!$D$9="Ready",'Inputs'!F12,"n.a.")</x:f>
        <x:v>60</x:v>
      </x:c>
      <x:c r="L1753" s="29" t="n">
        <x:f>IF('Inputs'!$D$9="Ready",'Inputs'!G12,"n.a.")</x:f>
        <x:v>0.02</x:v>
      </x:c>
      <x:c r="M1753" s="22" t="n">
        <x:f>IF(COUNT(I1753:L1753)=4,ROUND(I1753*J1753/12,2),"n.a.")</x:f>
        <x:v>0</x:v>
      </x:c>
      <x:c r="N1753" s="22" t="n">
        <x:f>IF(COUNT(I1753:M1753)=5,MIN(I1753+M1753,ROUND(MAX(K1753,I1753*L1753+M1753),2)),"n.a.")</x:f>
        <x:v>0</x:v>
      </x:c>
      <x:c r="O1753" s="30" t="n">
        <x:f>IF(COUNT($I$1752:$I$1756)&lt;&gt;5,"n.a.",IF(I1753=0,6,IF('Inputs'!$D$5=1,COUNTIFS($I$1752:$I$1756,"&gt;0",$I$1752:$I$1756,"&lt;"&amp;I1753)+COUNTIFS($I$1752:I1753,I1753),COUNTIFS($I$1752:$I$1756,"&gt;0",$J$1752:$J$1756,"&gt;"&amp;J1753)+COUNTIFS($I$1752:I1753,"&gt;0",$J$1752:J1753,J1753))))</x:f>
        <x:v>6</x:v>
      </x:c>
      <x:c r="P1753" s="22" t="n">
        <x:f>IF(T1753="Ready",MIN(U1753,MAX(0,G1753-SUMIFS($U$1752:$U$1756,$O$1752:$O$1756,"&lt;"&amp;O1753))),"n.a.")</x:f>
        <x:v>0</x:v>
      </x:c>
      <x:c r="Q1753" s="22" t="n">
        <x:f>IF(T1753="Ready",ROUND(N1753+P1753,2),"n.a.")</x:f>
        <x:v>0</x:v>
      </x:c>
      <x:c r="R1753" s="22" t="n">
        <x:f>IF(T1753="Ready",ROUND(Q1753-M1753,2),"n.a.")</x:f>
        <x:v>0</x:v>
      </x:c>
      <x:c r="S1753" s="22" t="n">
        <x:f>IF(T1753="Ready",MAX(0,ROUND(I1753+M1753-Q1753,2)),"n.a.")</x:f>
        <x:v>0</x:v>
      </x:c>
      <x:c r="T1753" s="22" t="str">
        <x:f>IF(AND(COUNT($I$1752:$I$1756)=5,COUNT(E1753:F1753)=2),IF(E1753&gt;=F1753,"Ready","Budget below minima"),"Check inputs")</x:f>
        <x:v>Ready</x:v>
      </x:c>
      <x:c r="U1753" s="22" t="n">
        <x:f>IF(COUNT(I1753,M1753,N1753)=3,MAX(0,ROUND(I1753+M1753-N1753,2)),"n.a.")</x:f>
        <x:v>0</x:v>
      </x:c>
    </x:row>
    <x:row r="1754" ht="22" customHeight="1">
      <x:c r="A1754" s="2"/>
      <x:c r="B1754" s="2"/>
      <x:c r="C1754" s="27" t="n">
        <x:f>350</x:f>
        <x:v>350</x:v>
      </x:c>
      <x:c r="D1754" s="28" t="n">
        <x:f>IF(ISNUMBER('Inputs'!$D$7),EDATE('Inputs'!$D$7,349),"n.a.")</x:f>
        <x:v>56949</x:v>
      </x:c>
      <x:c r="E1754" s="26" t="n">
        <x:f>IF('Inputs'!$D$9&lt;&gt;"Ready","n.a.",IF(ISNUMBER('Inputs'!E368),IF('Inputs'!E368&gt;=0,'Inputs'!E368,"n.a."),IF('Inputs'!E368="",'Inputs'!$D$6,"n.a.")))</x:f>
        <x:v>500</x:v>
      </x:c>
      <x:c r="F1754" s="22" t="n">
        <x:f>IF(COUNT($N$1752:$N$1756)=5,SUM($N$1752:$N$1756),"n.a.")</x:f>
        <x:v>0</x:v>
      </x:c>
      <x:c r="G1754" s="22" t="n">
        <x:f>IF(COUNT(E1754:F1754)=2,MAX(0,E1754-F1754),"n.a.")</x:f>
        <x:v>500</x:v>
      </x:c>
      <x:c r="H1754" s="26" t="str">
        <x:f>'Inputs'!C13</x:f>
        <x:v>Loan C</x:v>
      </x:c>
      <x:c r="I1754" s="26" t="n">
        <x:f>S1749</x:f>
        <x:v>0</x:v>
      </x:c>
      <x:c r="J1754" s="29" t="n">
        <x:f>IF('Inputs'!$D$9="Ready",'Inputs'!E13,"n.a.")</x:f>
        <x:v>0.08</x:v>
      </x:c>
      <x:c r="K1754" s="26" t="n">
        <x:f>IF('Inputs'!$D$9="Ready",'Inputs'!F13,"n.a.")</x:f>
        <x:v>150</x:v>
      </x:c>
      <x:c r="L1754" s="29" t="n">
        <x:f>IF('Inputs'!$D$9="Ready",'Inputs'!G13,"n.a.")</x:f>
        <x:v>0</x:v>
      </x:c>
      <x:c r="M1754" s="22" t="n">
        <x:f>IF(COUNT(I1754:L1754)=4,ROUND(I1754*J1754/12,2),"n.a.")</x:f>
        <x:v>0</x:v>
      </x:c>
      <x:c r="N1754" s="22" t="n">
        <x:f>IF(COUNT(I1754:M1754)=5,MIN(I1754+M1754,ROUND(MAX(K1754,I1754*L1754+M1754),2)),"n.a.")</x:f>
        <x:v>0</x:v>
      </x:c>
      <x:c r="O1754" s="30" t="n">
        <x:f>IF(COUNT($I$1752:$I$1756)&lt;&gt;5,"n.a.",IF(I1754=0,6,IF('Inputs'!$D$5=1,COUNTIFS($I$1752:$I$1756,"&gt;0",$I$1752:$I$1756,"&lt;"&amp;I1754)+COUNTIFS($I$1752:I1754,I1754),COUNTIFS($I$1752:$I$1756,"&gt;0",$J$1752:$J$1756,"&gt;"&amp;J1754)+COUNTIFS($I$1752:I1754,"&gt;0",$J$1752:J1754,J1754))))</x:f>
        <x:v>6</x:v>
      </x:c>
      <x:c r="P1754" s="22" t="n">
        <x:f>IF(T1754="Ready",MIN(U1754,MAX(0,G1754-SUMIFS($U$1752:$U$1756,$O$1752:$O$1756,"&lt;"&amp;O1754))),"n.a.")</x:f>
        <x:v>0</x:v>
      </x:c>
      <x:c r="Q1754" s="22" t="n">
        <x:f>IF(T1754="Ready",ROUND(N1754+P1754,2),"n.a.")</x:f>
        <x:v>0</x:v>
      </x:c>
      <x:c r="R1754" s="22" t="n">
        <x:f>IF(T1754="Ready",ROUND(Q1754-M1754,2),"n.a.")</x:f>
        <x:v>0</x:v>
      </x:c>
      <x:c r="S1754" s="22" t="n">
        <x:f>IF(T1754="Ready",MAX(0,ROUND(I1754+M1754-Q1754,2)),"n.a.")</x:f>
        <x:v>0</x:v>
      </x:c>
      <x:c r="T1754" s="22" t="str">
        <x:f>IF(AND(COUNT($I$1752:$I$1756)=5,COUNT(E1754:F1754)=2),IF(E1754&gt;=F1754,"Ready","Budget below minima"),"Check inputs")</x:f>
        <x:v>Ready</x:v>
      </x:c>
      <x:c r="U1754" s="22" t="n">
        <x:f>IF(COUNT(I1754,M1754,N1754)=3,MAX(0,ROUND(I1754+M1754-N1754,2)),"n.a.")</x:f>
        <x:v>0</x:v>
      </x:c>
    </x:row>
    <x:row r="1755" ht="22" customHeight="1">
      <x:c r="A1755" s="2"/>
      <x:c r="B1755" s="2"/>
      <x:c r="C1755" s="27" t="n">
        <x:f>350</x:f>
        <x:v>350</x:v>
      </x:c>
      <x:c r="D1755" s="28" t="n">
        <x:f>IF(ISNUMBER('Inputs'!$D$7),EDATE('Inputs'!$D$7,349),"n.a.")</x:f>
        <x:v>56949</x:v>
      </x:c>
      <x:c r="E1755" s="26" t="n">
        <x:f>IF('Inputs'!$D$9&lt;&gt;"Ready","n.a.",IF(ISNUMBER('Inputs'!E368),IF('Inputs'!E368&gt;=0,'Inputs'!E368,"n.a."),IF('Inputs'!E368="",'Inputs'!$D$6,"n.a.")))</x:f>
        <x:v>500</x:v>
      </x:c>
      <x:c r="F1755" s="22" t="n">
        <x:f>IF(COUNT($N$1752:$N$1756)=5,SUM($N$1752:$N$1756),"n.a.")</x:f>
        <x:v>0</x:v>
      </x:c>
      <x:c r="G1755" s="22" t="n">
        <x:f>IF(COUNT(E1755:F1755)=2,MAX(0,E1755-F1755),"n.a.")</x:f>
        <x:v>500</x:v>
      </x:c>
      <x:c r="H1755" s="26" t="str">
        <x:f>'Inputs'!C14</x:f>
        <x:v>Unused 4</x:v>
      </x:c>
      <x:c r="I1755" s="26" t="n">
        <x:f>S1750</x:f>
        <x:v>0</x:v>
      </x:c>
      <x:c r="J1755" s="29" t="n">
        <x:f>IF('Inputs'!$D$9="Ready",'Inputs'!E14,"n.a.")</x:f>
        <x:v>0</x:v>
      </x:c>
      <x:c r="K1755" s="26" t="n">
        <x:f>IF('Inputs'!$D$9="Ready",'Inputs'!F14,"n.a.")</x:f>
        <x:v>0</x:v>
      </x:c>
      <x:c r="L1755" s="29" t="n">
        <x:f>IF('Inputs'!$D$9="Ready",'Inputs'!G14,"n.a.")</x:f>
        <x:v>0</x:v>
      </x:c>
      <x:c r="M1755" s="22" t="n">
        <x:f>IF(COUNT(I1755:L1755)=4,ROUND(I1755*J1755/12,2),"n.a.")</x:f>
        <x:v>0</x:v>
      </x:c>
      <x:c r="N1755" s="22" t="n">
        <x:f>IF(COUNT(I1755:M1755)=5,MIN(I1755+M1755,ROUND(MAX(K1755,I1755*L1755+M1755),2)),"n.a.")</x:f>
        <x:v>0</x:v>
      </x:c>
      <x:c r="O1755" s="30" t="n">
        <x:f>IF(COUNT($I$1752:$I$1756)&lt;&gt;5,"n.a.",IF(I1755=0,6,IF('Inputs'!$D$5=1,COUNTIFS($I$1752:$I$1756,"&gt;0",$I$1752:$I$1756,"&lt;"&amp;I1755)+COUNTIFS($I$1752:I1755,I1755),COUNTIFS($I$1752:$I$1756,"&gt;0",$J$1752:$J$1756,"&gt;"&amp;J1755)+COUNTIFS($I$1752:I1755,"&gt;0",$J$1752:J1755,J1755))))</x:f>
        <x:v>6</x:v>
      </x:c>
      <x:c r="P1755" s="22" t="n">
        <x:f>IF(T1755="Ready",MIN(U1755,MAX(0,G1755-SUMIFS($U$1752:$U$1756,$O$1752:$O$1756,"&lt;"&amp;O1755))),"n.a.")</x:f>
        <x:v>0</x:v>
      </x:c>
      <x:c r="Q1755" s="22" t="n">
        <x:f>IF(T1755="Ready",ROUND(N1755+P1755,2),"n.a.")</x:f>
        <x:v>0</x:v>
      </x:c>
      <x:c r="R1755" s="22" t="n">
        <x:f>IF(T1755="Ready",ROUND(Q1755-M1755,2),"n.a.")</x:f>
        <x:v>0</x:v>
      </x:c>
      <x:c r="S1755" s="22" t="n">
        <x:f>IF(T1755="Ready",MAX(0,ROUND(I1755+M1755-Q1755,2)),"n.a.")</x:f>
        <x:v>0</x:v>
      </x:c>
      <x:c r="T1755" s="22" t="str">
        <x:f>IF(AND(COUNT($I$1752:$I$1756)=5,COUNT(E1755:F1755)=2),IF(E1755&gt;=F1755,"Ready","Budget below minima"),"Check inputs")</x:f>
        <x:v>Ready</x:v>
      </x:c>
      <x:c r="U1755" s="22" t="n">
        <x:f>IF(COUNT(I1755,M1755,N1755)=3,MAX(0,ROUND(I1755+M1755-N1755,2)),"n.a.")</x:f>
        <x:v>0</x:v>
      </x:c>
    </x:row>
    <x:row r="1756" ht="22" customHeight="1">
      <x:c r="A1756" s="2"/>
      <x:c r="B1756" s="2"/>
      <x:c r="C1756" s="27" t="n">
        <x:f>350</x:f>
        <x:v>350</x:v>
      </x:c>
      <x:c r="D1756" s="28" t="n">
        <x:f>IF(ISNUMBER('Inputs'!$D$7),EDATE('Inputs'!$D$7,349),"n.a.")</x:f>
        <x:v>56949</x:v>
      </x:c>
      <x:c r="E1756" s="26" t="n">
        <x:f>IF('Inputs'!$D$9&lt;&gt;"Ready","n.a.",IF(ISNUMBER('Inputs'!E368),IF('Inputs'!E368&gt;=0,'Inputs'!E368,"n.a."),IF('Inputs'!E368="",'Inputs'!$D$6,"n.a.")))</x:f>
        <x:v>500</x:v>
      </x:c>
      <x:c r="F1756" s="22" t="n">
        <x:f>IF(COUNT($N$1752:$N$1756)=5,SUM($N$1752:$N$1756),"n.a.")</x:f>
        <x:v>0</x:v>
      </x:c>
      <x:c r="G1756" s="22" t="n">
        <x:f>IF(COUNT(E1756:F1756)=2,MAX(0,E1756-F1756),"n.a.")</x:f>
        <x:v>500</x:v>
      </x:c>
      <x:c r="H1756" s="26" t="str">
        <x:f>'Inputs'!C15</x:f>
        <x:v>Unused 5</x:v>
      </x:c>
      <x:c r="I1756" s="26" t="n">
        <x:f>S1751</x:f>
        <x:v>0</x:v>
      </x:c>
      <x:c r="J1756" s="29" t="n">
        <x:f>IF('Inputs'!$D$9="Ready",'Inputs'!E15,"n.a.")</x:f>
        <x:v>0</x:v>
      </x:c>
      <x:c r="K1756" s="26" t="n">
        <x:f>IF('Inputs'!$D$9="Ready",'Inputs'!F15,"n.a.")</x:f>
        <x:v>0</x:v>
      </x:c>
      <x:c r="L1756" s="29" t="n">
        <x:f>IF('Inputs'!$D$9="Ready",'Inputs'!G15,"n.a.")</x:f>
        <x:v>0</x:v>
      </x:c>
      <x:c r="M1756" s="22" t="n">
        <x:f>IF(COUNT(I1756:L1756)=4,ROUND(I1756*J1756/12,2),"n.a.")</x:f>
        <x:v>0</x:v>
      </x:c>
      <x:c r="N1756" s="22" t="n">
        <x:f>IF(COUNT(I1756:M1756)=5,MIN(I1756+M1756,ROUND(MAX(K1756,I1756*L1756+M1756),2)),"n.a.")</x:f>
        <x:v>0</x:v>
      </x:c>
      <x:c r="O1756" s="30" t="n">
        <x:f>IF(COUNT($I$1752:$I$1756)&lt;&gt;5,"n.a.",IF(I1756=0,6,IF('Inputs'!$D$5=1,COUNTIFS($I$1752:$I$1756,"&gt;0",$I$1752:$I$1756,"&lt;"&amp;I1756)+COUNTIFS($I$1752:I1756,I1756),COUNTIFS($I$1752:$I$1756,"&gt;0",$J$1752:$J$1756,"&gt;"&amp;J1756)+COUNTIFS($I$1752:I1756,"&gt;0",$J$1752:J1756,J1756))))</x:f>
        <x:v>6</x:v>
      </x:c>
      <x:c r="P1756" s="22" t="n">
        <x:f>IF(T1756="Ready",MIN(U1756,MAX(0,G1756-SUMIFS($U$1752:$U$1756,$O$1752:$O$1756,"&lt;"&amp;O1756))),"n.a.")</x:f>
        <x:v>0</x:v>
      </x:c>
      <x:c r="Q1756" s="22" t="n">
        <x:f>IF(T1756="Ready",ROUND(N1756+P1756,2),"n.a.")</x:f>
        <x:v>0</x:v>
      </x:c>
      <x:c r="R1756" s="22" t="n">
        <x:f>IF(T1756="Ready",ROUND(Q1756-M1756,2),"n.a.")</x:f>
        <x:v>0</x:v>
      </x:c>
      <x:c r="S1756" s="22" t="n">
        <x:f>IF(T1756="Ready",MAX(0,ROUND(I1756+M1756-Q1756,2)),"n.a.")</x:f>
        <x:v>0</x:v>
      </x:c>
      <x:c r="T1756" s="22" t="str">
        <x:f>IF(AND(COUNT($I$1752:$I$1756)=5,COUNT(E1756:F1756)=2),IF(E1756&gt;=F1756,"Ready","Budget below minima"),"Check inputs")</x:f>
        <x:v>Ready</x:v>
      </x:c>
      <x:c r="U1756" s="22" t="n">
        <x:f>IF(COUNT(I1756,M1756,N1756)=3,MAX(0,ROUND(I1756+M1756-N1756,2)),"n.a.")</x:f>
        <x:v>0</x:v>
      </x:c>
    </x:row>
    <x:row r="1757" ht="22" customHeight="1">
      <x:c r="A1757" s="2"/>
      <x:c r="B1757" s="2"/>
      <x:c r="C1757" s="27" t="n">
        <x:f>351</x:f>
        <x:v>351</x:v>
      </x:c>
      <x:c r="D1757" s="28" t="n">
        <x:f>IF(ISNUMBER('Inputs'!$D$7),EDATE('Inputs'!$D$7,350),"n.a.")</x:f>
        <x:v>56980</x:v>
      </x:c>
      <x:c r="E1757" s="26" t="n">
        <x:f>IF('Inputs'!$D$9&lt;&gt;"Ready","n.a.",IF(ISNUMBER('Inputs'!E369),IF('Inputs'!E369&gt;=0,'Inputs'!E369,"n.a."),IF('Inputs'!E369="",'Inputs'!$D$6,"n.a.")))</x:f>
        <x:v>500</x:v>
      </x:c>
      <x:c r="F1757" s="22" t="n">
        <x:f>IF(COUNT($N$1757:$N$1761)=5,SUM($N$1757:$N$1761),"n.a.")</x:f>
        <x:v>0</x:v>
      </x:c>
      <x:c r="G1757" s="22" t="n">
        <x:f>IF(COUNT(E1757:F1757)=2,MAX(0,E1757-F1757),"n.a.")</x:f>
        <x:v>500</x:v>
      </x:c>
      <x:c r="H1757" s="26" t="str">
        <x:f>'Inputs'!C11</x:f>
        <x:v>Card A</x:v>
      </x:c>
      <x:c r="I1757" s="26" t="n">
        <x:f>S1752</x:f>
        <x:v>0</x:v>
      </x:c>
      <x:c r="J1757" s="29" t="n">
        <x:f>IF('Inputs'!$D$9="Ready",'Inputs'!E11,"n.a.")</x:f>
        <x:v>0.24</x:v>
      </x:c>
      <x:c r="K1757" s="26" t="n">
        <x:f>IF('Inputs'!$D$9="Ready",'Inputs'!F11,"n.a.")</x:f>
        <x:v>35</x:v>
      </x:c>
      <x:c r="L1757" s="29" t="n">
        <x:f>IF('Inputs'!$D$9="Ready",'Inputs'!G11,"n.a.")</x:f>
        <x:v>0.02</x:v>
      </x:c>
      <x:c r="M1757" s="22" t="n">
        <x:f>IF(COUNT(I1757:L1757)=4,ROUND(I1757*J1757/12,2),"n.a.")</x:f>
        <x:v>0</x:v>
      </x:c>
      <x:c r="N1757" s="22" t="n">
        <x:f>IF(COUNT(I1757:M1757)=5,MIN(I1757+M1757,ROUND(MAX(K1757,I1757*L1757+M1757),2)),"n.a.")</x:f>
        <x:v>0</x:v>
      </x:c>
      <x:c r="O1757" s="30" t="n">
        <x:f>IF(COUNT($I$1757:$I$1761)&lt;&gt;5,"n.a.",IF(I1757=0,6,IF('Inputs'!$D$5=1,COUNTIFS($I$1757:$I$1761,"&gt;0",$I$1757:$I$1761,"&lt;"&amp;I1757)+COUNTIFS($I$1757:I1757,I1757),COUNTIFS($I$1757:$I$1761,"&gt;0",$J$1757:$J$1761,"&gt;"&amp;J1757)+COUNTIFS($I$1757:I1757,"&gt;0",$J$1757:J1757,J1757))))</x:f>
        <x:v>6</x:v>
      </x:c>
      <x:c r="P1757" s="22" t="n">
        <x:f>IF(T1757="Ready",MIN(U1757,MAX(0,G1757-SUMIFS($U$1757:$U$1761,$O$1757:$O$1761,"&lt;"&amp;O1757))),"n.a.")</x:f>
        <x:v>0</x:v>
      </x:c>
      <x:c r="Q1757" s="22" t="n">
        <x:f>IF(T1757="Ready",ROUND(N1757+P1757,2),"n.a.")</x:f>
        <x:v>0</x:v>
      </x:c>
      <x:c r="R1757" s="22" t="n">
        <x:f>IF(T1757="Ready",ROUND(Q1757-M1757,2),"n.a.")</x:f>
        <x:v>0</x:v>
      </x:c>
      <x:c r="S1757" s="22" t="n">
        <x:f>IF(T1757="Ready",MAX(0,ROUND(I1757+M1757-Q1757,2)),"n.a.")</x:f>
        <x:v>0</x:v>
      </x:c>
      <x:c r="T1757" s="22" t="str">
        <x:f>IF(AND(COUNT($I$1757:$I$1761)=5,COUNT(E1757:F1757)=2),IF(E1757&gt;=F1757,"Ready","Budget below minima"),"Check inputs")</x:f>
        <x:v>Ready</x:v>
      </x:c>
      <x:c r="U1757" s="22" t="n">
        <x:f>IF(COUNT(I1757,M1757,N1757)=3,MAX(0,ROUND(I1757+M1757-N1757,2)),"n.a.")</x:f>
        <x:v>0</x:v>
      </x:c>
    </x:row>
    <x:row r="1758" ht="22" customHeight="1">
      <x:c r="A1758" s="2"/>
      <x:c r="B1758" s="2"/>
      <x:c r="C1758" s="27" t="n">
        <x:f>351</x:f>
        <x:v>351</x:v>
      </x:c>
      <x:c r="D1758" s="28" t="n">
        <x:f>IF(ISNUMBER('Inputs'!$D$7),EDATE('Inputs'!$D$7,350),"n.a.")</x:f>
        <x:v>56980</x:v>
      </x:c>
      <x:c r="E1758" s="26" t="n">
        <x:f>IF('Inputs'!$D$9&lt;&gt;"Ready","n.a.",IF(ISNUMBER('Inputs'!E369),IF('Inputs'!E369&gt;=0,'Inputs'!E369,"n.a."),IF('Inputs'!E369="",'Inputs'!$D$6,"n.a.")))</x:f>
        <x:v>500</x:v>
      </x:c>
      <x:c r="F1758" s="22" t="n">
        <x:f>IF(COUNT($N$1757:$N$1761)=5,SUM($N$1757:$N$1761),"n.a.")</x:f>
        <x:v>0</x:v>
      </x:c>
      <x:c r="G1758" s="22" t="n">
        <x:f>IF(COUNT(E1758:F1758)=2,MAX(0,E1758-F1758),"n.a.")</x:f>
        <x:v>500</x:v>
      </x:c>
      <x:c r="H1758" s="26" t="str">
        <x:f>'Inputs'!C12</x:f>
        <x:v>Card B</x:v>
      </x:c>
      <x:c r="I1758" s="26" t="n">
        <x:f>S1753</x:f>
        <x:v>0</x:v>
      </x:c>
      <x:c r="J1758" s="29" t="n">
        <x:f>IF('Inputs'!$D$9="Ready",'Inputs'!E12,"n.a.")</x:f>
        <x:v>0.18</x:v>
      </x:c>
      <x:c r="K1758" s="26" t="n">
        <x:f>IF('Inputs'!$D$9="Ready",'Inputs'!F12,"n.a.")</x:f>
        <x:v>60</x:v>
      </x:c>
      <x:c r="L1758" s="29" t="n">
        <x:f>IF('Inputs'!$D$9="Ready",'Inputs'!G12,"n.a.")</x:f>
        <x:v>0.02</x:v>
      </x:c>
      <x:c r="M1758" s="22" t="n">
        <x:f>IF(COUNT(I1758:L1758)=4,ROUND(I1758*J1758/12,2),"n.a.")</x:f>
        <x:v>0</x:v>
      </x:c>
      <x:c r="N1758" s="22" t="n">
        <x:f>IF(COUNT(I1758:M1758)=5,MIN(I1758+M1758,ROUND(MAX(K1758,I1758*L1758+M1758),2)),"n.a.")</x:f>
        <x:v>0</x:v>
      </x:c>
      <x:c r="O1758" s="30" t="n">
        <x:f>IF(COUNT($I$1757:$I$1761)&lt;&gt;5,"n.a.",IF(I1758=0,6,IF('Inputs'!$D$5=1,COUNTIFS($I$1757:$I$1761,"&gt;0",$I$1757:$I$1761,"&lt;"&amp;I1758)+COUNTIFS($I$1757:I1758,I1758),COUNTIFS($I$1757:$I$1761,"&gt;0",$J$1757:$J$1761,"&gt;"&amp;J1758)+COUNTIFS($I$1757:I1758,"&gt;0",$J$1757:J1758,J1758))))</x:f>
        <x:v>6</x:v>
      </x:c>
      <x:c r="P1758" s="22" t="n">
        <x:f>IF(T1758="Ready",MIN(U1758,MAX(0,G1758-SUMIFS($U$1757:$U$1761,$O$1757:$O$1761,"&lt;"&amp;O1758))),"n.a.")</x:f>
        <x:v>0</x:v>
      </x:c>
      <x:c r="Q1758" s="22" t="n">
        <x:f>IF(T1758="Ready",ROUND(N1758+P1758,2),"n.a.")</x:f>
        <x:v>0</x:v>
      </x:c>
      <x:c r="R1758" s="22" t="n">
        <x:f>IF(T1758="Ready",ROUND(Q1758-M1758,2),"n.a.")</x:f>
        <x:v>0</x:v>
      </x:c>
      <x:c r="S1758" s="22" t="n">
        <x:f>IF(T1758="Ready",MAX(0,ROUND(I1758+M1758-Q1758,2)),"n.a.")</x:f>
        <x:v>0</x:v>
      </x:c>
      <x:c r="T1758" s="22" t="str">
        <x:f>IF(AND(COUNT($I$1757:$I$1761)=5,COUNT(E1758:F1758)=2),IF(E1758&gt;=F1758,"Ready","Budget below minima"),"Check inputs")</x:f>
        <x:v>Ready</x:v>
      </x:c>
      <x:c r="U1758" s="22" t="n">
        <x:f>IF(COUNT(I1758,M1758,N1758)=3,MAX(0,ROUND(I1758+M1758-N1758,2)),"n.a.")</x:f>
        <x:v>0</x:v>
      </x:c>
    </x:row>
    <x:row r="1759" ht="22" customHeight="1">
      <x:c r="A1759" s="2"/>
      <x:c r="B1759" s="2"/>
      <x:c r="C1759" s="27" t="n">
        <x:f>351</x:f>
        <x:v>351</x:v>
      </x:c>
      <x:c r="D1759" s="28" t="n">
        <x:f>IF(ISNUMBER('Inputs'!$D$7),EDATE('Inputs'!$D$7,350),"n.a.")</x:f>
        <x:v>56980</x:v>
      </x:c>
      <x:c r="E1759" s="26" t="n">
        <x:f>IF('Inputs'!$D$9&lt;&gt;"Ready","n.a.",IF(ISNUMBER('Inputs'!E369),IF('Inputs'!E369&gt;=0,'Inputs'!E369,"n.a."),IF('Inputs'!E369="",'Inputs'!$D$6,"n.a.")))</x:f>
        <x:v>500</x:v>
      </x:c>
      <x:c r="F1759" s="22" t="n">
        <x:f>IF(COUNT($N$1757:$N$1761)=5,SUM($N$1757:$N$1761),"n.a.")</x:f>
        <x:v>0</x:v>
      </x:c>
      <x:c r="G1759" s="22" t="n">
        <x:f>IF(COUNT(E1759:F1759)=2,MAX(0,E1759-F1759),"n.a.")</x:f>
        <x:v>500</x:v>
      </x:c>
      <x:c r="H1759" s="26" t="str">
        <x:f>'Inputs'!C13</x:f>
        <x:v>Loan C</x:v>
      </x:c>
      <x:c r="I1759" s="26" t="n">
        <x:f>S1754</x:f>
        <x:v>0</x:v>
      </x:c>
      <x:c r="J1759" s="29" t="n">
        <x:f>IF('Inputs'!$D$9="Ready",'Inputs'!E13,"n.a.")</x:f>
        <x:v>0.08</x:v>
      </x:c>
      <x:c r="K1759" s="26" t="n">
        <x:f>IF('Inputs'!$D$9="Ready",'Inputs'!F13,"n.a.")</x:f>
        <x:v>150</x:v>
      </x:c>
      <x:c r="L1759" s="29" t="n">
        <x:f>IF('Inputs'!$D$9="Ready",'Inputs'!G13,"n.a.")</x:f>
        <x:v>0</x:v>
      </x:c>
      <x:c r="M1759" s="22" t="n">
        <x:f>IF(COUNT(I1759:L1759)=4,ROUND(I1759*J1759/12,2),"n.a.")</x:f>
        <x:v>0</x:v>
      </x:c>
      <x:c r="N1759" s="22" t="n">
        <x:f>IF(COUNT(I1759:M1759)=5,MIN(I1759+M1759,ROUND(MAX(K1759,I1759*L1759+M1759),2)),"n.a.")</x:f>
        <x:v>0</x:v>
      </x:c>
      <x:c r="O1759" s="30" t="n">
        <x:f>IF(COUNT($I$1757:$I$1761)&lt;&gt;5,"n.a.",IF(I1759=0,6,IF('Inputs'!$D$5=1,COUNTIFS($I$1757:$I$1761,"&gt;0",$I$1757:$I$1761,"&lt;"&amp;I1759)+COUNTIFS($I$1757:I1759,I1759),COUNTIFS($I$1757:$I$1761,"&gt;0",$J$1757:$J$1761,"&gt;"&amp;J1759)+COUNTIFS($I$1757:I1759,"&gt;0",$J$1757:J1759,J1759))))</x:f>
        <x:v>6</x:v>
      </x:c>
      <x:c r="P1759" s="22" t="n">
        <x:f>IF(T1759="Ready",MIN(U1759,MAX(0,G1759-SUMIFS($U$1757:$U$1761,$O$1757:$O$1761,"&lt;"&amp;O1759))),"n.a.")</x:f>
        <x:v>0</x:v>
      </x:c>
      <x:c r="Q1759" s="22" t="n">
        <x:f>IF(T1759="Ready",ROUND(N1759+P1759,2),"n.a.")</x:f>
        <x:v>0</x:v>
      </x:c>
      <x:c r="R1759" s="22" t="n">
        <x:f>IF(T1759="Ready",ROUND(Q1759-M1759,2),"n.a.")</x:f>
        <x:v>0</x:v>
      </x:c>
      <x:c r="S1759" s="22" t="n">
        <x:f>IF(T1759="Ready",MAX(0,ROUND(I1759+M1759-Q1759,2)),"n.a.")</x:f>
        <x:v>0</x:v>
      </x:c>
      <x:c r="T1759" s="22" t="str">
        <x:f>IF(AND(COUNT($I$1757:$I$1761)=5,COUNT(E1759:F1759)=2),IF(E1759&gt;=F1759,"Ready","Budget below minima"),"Check inputs")</x:f>
        <x:v>Ready</x:v>
      </x:c>
      <x:c r="U1759" s="22" t="n">
        <x:f>IF(COUNT(I1759,M1759,N1759)=3,MAX(0,ROUND(I1759+M1759-N1759,2)),"n.a.")</x:f>
        <x:v>0</x:v>
      </x:c>
    </x:row>
    <x:row r="1760" ht="22" customHeight="1">
      <x:c r="A1760" s="2"/>
      <x:c r="B1760" s="2"/>
      <x:c r="C1760" s="27" t="n">
        <x:f>351</x:f>
        <x:v>351</x:v>
      </x:c>
      <x:c r="D1760" s="28" t="n">
        <x:f>IF(ISNUMBER('Inputs'!$D$7),EDATE('Inputs'!$D$7,350),"n.a.")</x:f>
        <x:v>56980</x:v>
      </x:c>
      <x:c r="E1760" s="26" t="n">
        <x:f>IF('Inputs'!$D$9&lt;&gt;"Ready","n.a.",IF(ISNUMBER('Inputs'!E369),IF('Inputs'!E369&gt;=0,'Inputs'!E369,"n.a."),IF('Inputs'!E369="",'Inputs'!$D$6,"n.a.")))</x:f>
        <x:v>500</x:v>
      </x:c>
      <x:c r="F1760" s="22" t="n">
        <x:f>IF(COUNT($N$1757:$N$1761)=5,SUM($N$1757:$N$1761),"n.a.")</x:f>
        <x:v>0</x:v>
      </x:c>
      <x:c r="G1760" s="22" t="n">
        <x:f>IF(COUNT(E1760:F1760)=2,MAX(0,E1760-F1760),"n.a.")</x:f>
        <x:v>500</x:v>
      </x:c>
      <x:c r="H1760" s="26" t="str">
        <x:f>'Inputs'!C14</x:f>
        <x:v>Unused 4</x:v>
      </x:c>
      <x:c r="I1760" s="26" t="n">
        <x:f>S1755</x:f>
        <x:v>0</x:v>
      </x:c>
      <x:c r="J1760" s="29" t="n">
        <x:f>IF('Inputs'!$D$9="Ready",'Inputs'!E14,"n.a.")</x:f>
        <x:v>0</x:v>
      </x:c>
      <x:c r="K1760" s="26" t="n">
        <x:f>IF('Inputs'!$D$9="Ready",'Inputs'!F14,"n.a.")</x:f>
        <x:v>0</x:v>
      </x:c>
      <x:c r="L1760" s="29" t="n">
        <x:f>IF('Inputs'!$D$9="Ready",'Inputs'!G14,"n.a.")</x:f>
        <x:v>0</x:v>
      </x:c>
      <x:c r="M1760" s="22" t="n">
        <x:f>IF(COUNT(I1760:L1760)=4,ROUND(I1760*J1760/12,2),"n.a.")</x:f>
        <x:v>0</x:v>
      </x:c>
      <x:c r="N1760" s="22" t="n">
        <x:f>IF(COUNT(I1760:M1760)=5,MIN(I1760+M1760,ROUND(MAX(K1760,I1760*L1760+M1760),2)),"n.a.")</x:f>
        <x:v>0</x:v>
      </x:c>
      <x:c r="O1760" s="30" t="n">
        <x:f>IF(COUNT($I$1757:$I$1761)&lt;&gt;5,"n.a.",IF(I1760=0,6,IF('Inputs'!$D$5=1,COUNTIFS($I$1757:$I$1761,"&gt;0",$I$1757:$I$1761,"&lt;"&amp;I1760)+COUNTIFS($I$1757:I1760,I1760),COUNTIFS($I$1757:$I$1761,"&gt;0",$J$1757:$J$1761,"&gt;"&amp;J1760)+COUNTIFS($I$1757:I1760,"&gt;0",$J$1757:J1760,J1760))))</x:f>
        <x:v>6</x:v>
      </x:c>
      <x:c r="P1760" s="22" t="n">
        <x:f>IF(T1760="Ready",MIN(U1760,MAX(0,G1760-SUMIFS($U$1757:$U$1761,$O$1757:$O$1761,"&lt;"&amp;O1760))),"n.a.")</x:f>
        <x:v>0</x:v>
      </x:c>
      <x:c r="Q1760" s="22" t="n">
        <x:f>IF(T1760="Ready",ROUND(N1760+P1760,2),"n.a.")</x:f>
        <x:v>0</x:v>
      </x:c>
      <x:c r="R1760" s="22" t="n">
        <x:f>IF(T1760="Ready",ROUND(Q1760-M1760,2),"n.a.")</x:f>
        <x:v>0</x:v>
      </x:c>
      <x:c r="S1760" s="22" t="n">
        <x:f>IF(T1760="Ready",MAX(0,ROUND(I1760+M1760-Q1760,2)),"n.a.")</x:f>
        <x:v>0</x:v>
      </x:c>
      <x:c r="T1760" s="22" t="str">
        <x:f>IF(AND(COUNT($I$1757:$I$1761)=5,COUNT(E1760:F1760)=2),IF(E1760&gt;=F1760,"Ready","Budget below minima"),"Check inputs")</x:f>
        <x:v>Ready</x:v>
      </x:c>
      <x:c r="U1760" s="22" t="n">
        <x:f>IF(COUNT(I1760,M1760,N1760)=3,MAX(0,ROUND(I1760+M1760-N1760,2)),"n.a.")</x:f>
        <x:v>0</x:v>
      </x:c>
    </x:row>
    <x:row r="1761" ht="22" customHeight="1">
      <x:c r="A1761" s="2"/>
      <x:c r="B1761" s="2"/>
      <x:c r="C1761" s="27" t="n">
        <x:f>351</x:f>
        <x:v>351</x:v>
      </x:c>
      <x:c r="D1761" s="28" t="n">
        <x:f>IF(ISNUMBER('Inputs'!$D$7),EDATE('Inputs'!$D$7,350),"n.a.")</x:f>
        <x:v>56980</x:v>
      </x:c>
      <x:c r="E1761" s="26" t="n">
        <x:f>IF('Inputs'!$D$9&lt;&gt;"Ready","n.a.",IF(ISNUMBER('Inputs'!E369),IF('Inputs'!E369&gt;=0,'Inputs'!E369,"n.a."),IF('Inputs'!E369="",'Inputs'!$D$6,"n.a.")))</x:f>
        <x:v>500</x:v>
      </x:c>
      <x:c r="F1761" s="22" t="n">
        <x:f>IF(COUNT($N$1757:$N$1761)=5,SUM($N$1757:$N$1761),"n.a.")</x:f>
        <x:v>0</x:v>
      </x:c>
      <x:c r="G1761" s="22" t="n">
        <x:f>IF(COUNT(E1761:F1761)=2,MAX(0,E1761-F1761),"n.a.")</x:f>
        <x:v>500</x:v>
      </x:c>
      <x:c r="H1761" s="26" t="str">
        <x:f>'Inputs'!C15</x:f>
        <x:v>Unused 5</x:v>
      </x:c>
      <x:c r="I1761" s="26" t="n">
        <x:f>S1756</x:f>
        <x:v>0</x:v>
      </x:c>
      <x:c r="J1761" s="29" t="n">
        <x:f>IF('Inputs'!$D$9="Ready",'Inputs'!E15,"n.a.")</x:f>
        <x:v>0</x:v>
      </x:c>
      <x:c r="K1761" s="26" t="n">
        <x:f>IF('Inputs'!$D$9="Ready",'Inputs'!F15,"n.a.")</x:f>
        <x:v>0</x:v>
      </x:c>
      <x:c r="L1761" s="29" t="n">
        <x:f>IF('Inputs'!$D$9="Ready",'Inputs'!G15,"n.a.")</x:f>
        <x:v>0</x:v>
      </x:c>
      <x:c r="M1761" s="22" t="n">
        <x:f>IF(COUNT(I1761:L1761)=4,ROUND(I1761*J1761/12,2),"n.a.")</x:f>
        <x:v>0</x:v>
      </x:c>
      <x:c r="N1761" s="22" t="n">
        <x:f>IF(COUNT(I1761:M1761)=5,MIN(I1761+M1761,ROUND(MAX(K1761,I1761*L1761+M1761),2)),"n.a.")</x:f>
        <x:v>0</x:v>
      </x:c>
      <x:c r="O1761" s="30" t="n">
        <x:f>IF(COUNT($I$1757:$I$1761)&lt;&gt;5,"n.a.",IF(I1761=0,6,IF('Inputs'!$D$5=1,COUNTIFS($I$1757:$I$1761,"&gt;0",$I$1757:$I$1761,"&lt;"&amp;I1761)+COUNTIFS($I$1757:I1761,I1761),COUNTIFS($I$1757:$I$1761,"&gt;0",$J$1757:$J$1761,"&gt;"&amp;J1761)+COUNTIFS($I$1757:I1761,"&gt;0",$J$1757:J1761,J1761))))</x:f>
        <x:v>6</x:v>
      </x:c>
      <x:c r="P1761" s="22" t="n">
        <x:f>IF(T1761="Ready",MIN(U1761,MAX(0,G1761-SUMIFS($U$1757:$U$1761,$O$1757:$O$1761,"&lt;"&amp;O1761))),"n.a.")</x:f>
        <x:v>0</x:v>
      </x:c>
      <x:c r="Q1761" s="22" t="n">
        <x:f>IF(T1761="Ready",ROUND(N1761+P1761,2),"n.a.")</x:f>
        <x:v>0</x:v>
      </x:c>
      <x:c r="R1761" s="22" t="n">
        <x:f>IF(T1761="Ready",ROUND(Q1761-M1761,2),"n.a.")</x:f>
        <x:v>0</x:v>
      </x:c>
      <x:c r="S1761" s="22" t="n">
        <x:f>IF(T1761="Ready",MAX(0,ROUND(I1761+M1761-Q1761,2)),"n.a.")</x:f>
        <x:v>0</x:v>
      </x:c>
      <x:c r="T1761" s="22" t="str">
        <x:f>IF(AND(COUNT($I$1757:$I$1761)=5,COUNT(E1761:F1761)=2),IF(E1761&gt;=F1761,"Ready","Budget below minima"),"Check inputs")</x:f>
        <x:v>Ready</x:v>
      </x:c>
      <x:c r="U1761" s="22" t="n">
        <x:f>IF(COUNT(I1761,M1761,N1761)=3,MAX(0,ROUND(I1761+M1761-N1761,2)),"n.a.")</x:f>
        <x:v>0</x:v>
      </x:c>
    </x:row>
    <x:row r="1762" ht="22" customHeight="1">
      <x:c r="A1762" s="2"/>
      <x:c r="B1762" s="2"/>
      <x:c r="C1762" s="27" t="n">
        <x:f>352</x:f>
        <x:v>352</x:v>
      </x:c>
      <x:c r="D1762" s="28" t="n">
        <x:f>IF(ISNUMBER('Inputs'!$D$7),EDATE('Inputs'!$D$7,351),"n.a.")</x:f>
        <x:v>57011</x:v>
      </x:c>
      <x:c r="E1762" s="26" t="n">
        <x:f>IF('Inputs'!$D$9&lt;&gt;"Ready","n.a.",IF(ISNUMBER('Inputs'!E370),IF('Inputs'!E370&gt;=0,'Inputs'!E370,"n.a."),IF('Inputs'!E370="",'Inputs'!$D$6,"n.a.")))</x:f>
        <x:v>500</x:v>
      </x:c>
      <x:c r="F1762" s="22" t="n">
        <x:f>IF(COUNT($N$1762:$N$1766)=5,SUM($N$1762:$N$1766),"n.a.")</x:f>
        <x:v>0</x:v>
      </x:c>
      <x:c r="G1762" s="22" t="n">
        <x:f>IF(COUNT(E1762:F1762)=2,MAX(0,E1762-F1762),"n.a.")</x:f>
        <x:v>500</x:v>
      </x:c>
      <x:c r="H1762" s="26" t="str">
        <x:f>'Inputs'!C11</x:f>
        <x:v>Card A</x:v>
      </x:c>
      <x:c r="I1762" s="26" t="n">
        <x:f>S1757</x:f>
        <x:v>0</x:v>
      </x:c>
      <x:c r="J1762" s="29" t="n">
        <x:f>IF('Inputs'!$D$9="Ready",'Inputs'!E11,"n.a.")</x:f>
        <x:v>0.24</x:v>
      </x:c>
      <x:c r="K1762" s="26" t="n">
        <x:f>IF('Inputs'!$D$9="Ready",'Inputs'!F11,"n.a.")</x:f>
        <x:v>35</x:v>
      </x:c>
      <x:c r="L1762" s="29" t="n">
        <x:f>IF('Inputs'!$D$9="Ready",'Inputs'!G11,"n.a.")</x:f>
        <x:v>0.02</x:v>
      </x:c>
      <x:c r="M1762" s="22" t="n">
        <x:f>IF(COUNT(I1762:L1762)=4,ROUND(I1762*J1762/12,2),"n.a.")</x:f>
        <x:v>0</x:v>
      </x:c>
      <x:c r="N1762" s="22" t="n">
        <x:f>IF(COUNT(I1762:M1762)=5,MIN(I1762+M1762,ROUND(MAX(K1762,I1762*L1762+M1762),2)),"n.a.")</x:f>
        <x:v>0</x:v>
      </x:c>
      <x:c r="O1762" s="30" t="n">
        <x:f>IF(COUNT($I$1762:$I$1766)&lt;&gt;5,"n.a.",IF(I1762=0,6,IF('Inputs'!$D$5=1,COUNTIFS($I$1762:$I$1766,"&gt;0",$I$1762:$I$1766,"&lt;"&amp;I1762)+COUNTIFS($I$1762:I1762,I1762),COUNTIFS($I$1762:$I$1766,"&gt;0",$J$1762:$J$1766,"&gt;"&amp;J1762)+COUNTIFS($I$1762:I1762,"&gt;0",$J$1762:J1762,J1762))))</x:f>
        <x:v>6</x:v>
      </x:c>
      <x:c r="P1762" s="22" t="n">
        <x:f>IF(T1762="Ready",MIN(U1762,MAX(0,G1762-SUMIFS($U$1762:$U$1766,$O$1762:$O$1766,"&lt;"&amp;O1762))),"n.a.")</x:f>
        <x:v>0</x:v>
      </x:c>
      <x:c r="Q1762" s="22" t="n">
        <x:f>IF(T1762="Ready",ROUND(N1762+P1762,2),"n.a.")</x:f>
        <x:v>0</x:v>
      </x:c>
      <x:c r="R1762" s="22" t="n">
        <x:f>IF(T1762="Ready",ROUND(Q1762-M1762,2),"n.a.")</x:f>
        <x:v>0</x:v>
      </x:c>
      <x:c r="S1762" s="22" t="n">
        <x:f>IF(T1762="Ready",MAX(0,ROUND(I1762+M1762-Q1762,2)),"n.a.")</x:f>
        <x:v>0</x:v>
      </x:c>
      <x:c r="T1762" s="22" t="str">
        <x:f>IF(AND(COUNT($I$1762:$I$1766)=5,COUNT(E1762:F1762)=2),IF(E1762&gt;=F1762,"Ready","Budget below minima"),"Check inputs")</x:f>
        <x:v>Ready</x:v>
      </x:c>
      <x:c r="U1762" s="22" t="n">
        <x:f>IF(COUNT(I1762,M1762,N1762)=3,MAX(0,ROUND(I1762+M1762-N1762,2)),"n.a.")</x:f>
        <x:v>0</x:v>
      </x:c>
    </x:row>
    <x:row r="1763" ht="22" customHeight="1">
      <x:c r="A1763" s="2"/>
      <x:c r="B1763" s="2"/>
      <x:c r="C1763" s="27" t="n">
        <x:f>352</x:f>
        <x:v>352</x:v>
      </x:c>
      <x:c r="D1763" s="28" t="n">
        <x:f>IF(ISNUMBER('Inputs'!$D$7),EDATE('Inputs'!$D$7,351),"n.a.")</x:f>
        <x:v>57011</x:v>
      </x:c>
      <x:c r="E1763" s="26" t="n">
        <x:f>IF('Inputs'!$D$9&lt;&gt;"Ready","n.a.",IF(ISNUMBER('Inputs'!E370),IF('Inputs'!E370&gt;=0,'Inputs'!E370,"n.a."),IF('Inputs'!E370="",'Inputs'!$D$6,"n.a.")))</x:f>
        <x:v>500</x:v>
      </x:c>
      <x:c r="F1763" s="22" t="n">
        <x:f>IF(COUNT($N$1762:$N$1766)=5,SUM($N$1762:$N$1766),"n.a.")</x:f>
        <x:v>0</x:v>
      </x:c>
      <x:c r="G1763" s="22" t="n">
        <x:f>IF(COUNT(E1763:F1763)=2,MAX(0,E1763-F1763),"n.a.")</x:f>
        <x:v>500</x:v>
      </x:c>
      <x:c r="H1763" s="26" t="str">
        <x:f>'Inputs'!C12</x:f>
        <x:v>Card B</x:v>
      </x:c>
      <x:c r="I1763" s="26" t="n">
        <x:f>S1758</x:f>
        <x:v>0</x:v>
      </x:c>
      <x:c r="J1763" s="29" t="n">
        <x:f>IF('Inputs'!$D$9="Ready",'Inputs'!E12,"n.a.")</x:f>
        <x:v>0.18</x:v>
      </x:c>
      <x:c r="K1763" s="26" t="n">
        <x:f>IF('Inputs'!$D$9="Ready",'Inputs'!F12,"n.a.")</x:f>
        <x:v>60</x:v>
      </x:c>
      <x:c r="L1763" s="29" t="n">
        <x:f>IF('Inputs'!$D$9="Ready",'Inputs'!G12,"n.a.")</x:f>
        <x:v>0.02</x:v>
      </x:c>
      <x:c r="M1763" s="22" t="n">
        <x:f>IF(COUNT(I1763:L1763)=4,ROUND(I1763*J1763/12,2),"n.a.")</x:f>
        <x:v>0</x:v>
      </x:c>
      <x:c r="N1763" s="22" t="n">
        <x:f>IF(COUNT(I1763:M1763)=5,MIN(I1763+M1763,ROUND(MAX(K1763,I1763*L1763+M1763),2)),"n.a.")</x:f>
        <x:v>0</x:v>
      </x:c>
      <x:c r="O1763" s="30" t="n">
        <x:f>IF(COUNT($I$1762:$I$1766)&lt;&gt;5,"n.a.",IF(I1763=0,6,IF('Inputs'!$D$5=1,COUNTIFS($I$1762:$I$1766,"&gt;0",$I$1762:$I$1766,"&lt;"&amp;I1763)+COUNTIFS($I$1762:I1763,I1763),COUNTIFS($I$1762:$I$1766,"&gt;0",$J$1762:$J$1766,"&gt;"&amp;J1763)+COUNTIFS($I$1762:I1763,"&gt;0",$J$1762:J1763,J1763))))</x:f>
        <x:v>6</x:v>
      </x:c>
      <x:c r="P1763" s="22" t="n">
        <x:f>IF(T1763="Ready",MIN(U1763,MAX(0,G1763-SUMIFS($U$1762:$U$1766,$O$1762:$O$1766,"&lt;"&amp;O1763))),"n.a.")</x:f>
        <x:v>0</x:v>
      </x:c>
      <x:c r="Q1763" s="22" t="n">
        <x:f>IF(T1763="Ready",ROUND(N1763+P1763,2),"n.a.")</x:f>
        <x:v>0</x:v>
      </x:c>
      <x:c r="R1763" s="22" t="n">
        <x:f>IF(T1763="Ready",ROUND(Q1763-M1763,2),"n.a.")</x:f>
        <x:v>0</x:v>
      </x:c>
      <x:c r="S1763" s="22" t="n">
        <x:f>IF(T1763="Ready",MAX(0,ROUND(I1763+M1763-Q1763,2)),"n.a.")</x:f>
        <x:v>0</x:v>
      </x:c>
      <x:c r="T1763" s="22" t="str">
        <x:f>IF(AND(COUNT($I$1762:$I$1766)=5,COUNT(E1763:F1763)=2),IF(E1763&gt;=F1763,"Ready","Budget below minima"),"Check inputs")</x:f>
        <x:v>Ready</x:v>
      </x:c>
      <x:c r="U1763" s="22" t="n">
        <x:f>IF(COUNT(I1763,M1763,N1763)=3,MAX(0,ROUND(I1763+M1763-N1763,2)),"n.a.")</x:f>
        <x:v>0</x:v>
      </x:c>
    </x:row>
    <x:row r="1764" ht="22" customHeight="1">
      <x:c r="A1764" s="2"/>
      <x:c r="B1764" s="2"/>
      <x:c r="C1764" s="27" t="n">
        <x:f>352</x:f>
        <x:v>352</x:v>
      </x:c>
      <x:c r="D1764" s="28" t="n">
        <x:f>IF(ISNUMBER('Inputs'!$D$7),EDATE('Inputs'!$D$7,351),"n.a.")</x:f>
        <x:v>57011</x:v>
      </x:c>
      <x:c r="E1764" s="26" t="n">
        <x:f>IF('Inputs'!$D$9&lt;&gt;"Ready","n.a.",IF(ISNUMBER('Inputs'!E370),IF('Inputs'!E370&gt;=0,'Inputs'!E370,"n.a."),IF('Inputs'!E370="",'Inputs'!$D$6,"n.a.")))</x:f>
        <x:v>500</x:v>
      </x:c>
      <x:c r="F1764" s="22" t="n">
        <x:f>IF(COUNT($N$1762:$N$1766)=5,SUM($N$1762:$N$1766),"n.a.")</x:f>
        <x:v>0</x:v>
      </x:c>
      <x:c r="G1764" s="22" t="n">
        <x:f>IF(COUNT(E1764:F1764)=2,MAX(0,E1764-F1764),"n.a.")</x:f>
        <x:v>500</x:v>
      </x:c>
      <x:c r="H1764" s="26" t="str">
        <x:f>'Inputs'!C13</x:f>
        <x:v>Loan C</x:v>
      </x:c>
      <x:c r="I1764" s="26" t="n">
        <x:f>S1759</x:f>
        <x:v>0</x:v>
      </x:c>
      <x:c r="J1764" s="29" t="n">
        <x:f>IF('Inputs'!$D$9="Ready",'Inputs'!E13,"n.a.")</x:f>
        <x:v>0.08</x:v>
      </x:c>
      <x:c r="K1764" s="26" t="n">
        <x:f>IF('Inputs'!$D$9="Ready",'Inputs'!F13,"n.a.")</x:f>
        <x:v>150</x:v>
      </x:c>
      <x:c r="L1764" s="29" t="n">
        <x:f>IF('Inputs'!$D$9="Ready",'Inputs'!G13,"n.a.")</x:f>
        <x:v>0</x:v>
      </x:c>
      <x:c r="M1764" s="22" t="n">
        <x:f>IF(COUNT(I1764:L1764)=4,ROUND(I1764*J1764/12,2),"n.a.")</x:f>
        <x:v>0</x:v>
      </x:c>
      <x:c r="N1764" s="22" t="n">
        <x:f>IF(COUNT(I1764:M1764)=5,MIN(I1764+M1764,ROUND(MAX(K1764,I1764*L1764+M1764),2)),"n.a.")</x:f>
        <x:v>0</x:v>
      </x:c>
      <x:c r="O1764" s="30" t="n">
        <x:f>IF(COUNT($I$1762:$I$1766)&lt;&gt;5,"n.a.",IF(I1764=0,6,IF('Inputs'!$D$5=1,COUNTIFS($I$1762:$I$1766,"&gt;0",$I$1762:$I$1766,"&lt;"&amp;I1764)+COUNTIFS($I$1762:I1764,I1764),COUNTIFS($I$1762:$I$1766,"&gt;0",$J$1762:$J$1766,"&gt;"&amp;J1764)+COUNTIFS($I$1762:I1764,"&gt;0",$J$1762:J1764,J1764))))</x:f>
        <x:v>6</x:v>
      </x:c>
      <x:c r="P1764" s="22" t="n">
        <x:f>IF(T1764="Ready",MIN(U1764,MAX(0,G1764-SUMIFS($U$1762:$U$1766,$O$1762:$O$1766,"&lt;"&amp;O1764))),"n.a.")</x:f>
        <x:v>0</x:v>
      </x:c>
      <x:c r="Q1764" s="22" t="n">
        <x:f>IF(T1764="Ready",ROUND(N1764+P1764,2),"n.a.")</x:f>
        <x:v>0</x:v>
      </x:c>
      <x:c r="R1764" s="22" t="n">
        <x:f>IF(T1764="Ready",ROUND(Q1764-M1764,2),"n.a.")</x:f>
        <x:v>0</x:v>
      </x:c>
      <x:c r="S1764" s="22" t="n">
        <x:f>IF(T1764="Ready",MAX(0,ROUND(I1764+M1764-Q1764,2)),"n.a.")</x:f>
        <x:v>0</x:v>
      </x:c>
      <x:c r="T1764" s="22" t="str">
        <x:f>IF(AND(COUNT($I$1762:$I$1766)=5,COUNT(E1764:F1764)=2),IF(E1764&gt;=F1764,"Ready","Budget below minima"),"Check inputs")</x:f>
        <x:v>Ready</x:v>
      </x:c>
      <x:c r="U1764" s="22" t="n">
        <x:f>IF(COUNT(I1764,M1764,N1764)=3,MAX(0,ROUND(I1764+M1764-N1764,2)),"n.a.")</x:f>
        <x:v>0</x:v>
      </x:c>
    </x:row>
    <x:row r="1765" ht="22" customHeight="1">
      <x:c r="A1765" s="2"/>
      <x:c r="B1765" s="2"/>
      <x:c r="C1765" s="27" t="n">
        <x:f>352</x:f>
        <x:v>352</x:v>
      </x:c>
      <x:c r="D1765" s="28" t="n">
        <x:f>IF(ISNUMBER('Inputs'!$D$7),EDATE('Inputs'!$D$7,351),"n.a.")</x:f>
        <x:v>57011</x:v>
      </x:c>
      <x:c r="E1765" s="26" t="n">
        <x:f>IF('Inputs'!$D$9&lt;&gt;"Ready","n.a.",IF(ISNUMBER('Inputs'!E370),IF('Inputs'!E370&gt;=0,'Inputs'!E370,"n.a."),IF('Inputs'!E370="",'Inputs'!$D$6,"n.a.")))</x:f>
        <x:v>500</x:v>
      </x:c>
      <x:c r="F1765" s="22" t="n">
        <x:f>IF(COUNT($N$1762:$N$1766)=5,SUM($N$1762:$N$1766),"n.a.")</x:f>
        <x:v>0</x:v>
      </x:c>
      <x:c r="G1765" s="22" t="n">
        <x:f>IF(COUNT(E1765:F1765)=2,MAX(0,E1765-F1765),"n.a.")</x:f>
        <x:v>500</x:v>
      </x:c>
      <x:c r="H1765" s="26" t="str">
        <x:f>'Inputs'!C14</x:f>
        <x:v>Unused 4</x:v>
      </x:c>
      <x:c r="I1765" s="26" t="n">
        <x:f>S1760</x:f>
        <x:v>0</x:v>
      </x:c>
      <x:c r="J1765" s="29" t="n">
        <x:f>IF('Inputs'!$D$9="Ready",'Inputs'!E14,"n.a.")</x:f>
        <x:v>0</x:v>
      </x:c>
      <x:c r="K1765" s="26" t="n">
        <x:f>IF('Inputs'!$D$9="Ready",'Inputs'!F14,"n.a.")</x:f>
        <x:v>0</x:v>
      </x:c>
      <x:c r="L1765" s="29" t="n">
        <x:f>IF('Inputs'!$D$9="Ready",'Inputs'!G14,"n.a.")</x:f>
        <x:v>0</x:v>
      </x:c>
      <x:c r="M1765" s="22" t="n">
        <x:f>IF(COUNT(I1765:L1765)=4,ROUND(I1765*J1765/12,2),"n.a.")</x:f>
        <x:v>0</x:v>
      </x:c>
      <x:c r="N1765" s="22" t="n">
        <x:f>IF(COUNT(I1765:M1765)=5,MIN(I1765+M1765,ROUND(MAX(K1765,I1765*L1765+M1765),2)),"n.a.")</x:f>
        <x:v>0</x:v>
      </x:c>
      <x:c r="O1765" s="30" t="n">
        <x:f>IF(COUNT($I$1762:$I$1766)&lt;&gt;5,"n.a.",IF(I1765=0,6,IF('Inputs'!$D$5=1,COUNTIFS($I$1762:$I$1766,"&gt;0",$I$1762:$I$1766,"&lt;"&amp;I1765)+COUNTIFS($I$1762:I1765,I1765),COUNTIFS($I$1762:$I$1766,"&gt;0",$J$1762:$J$1766,"&gt;"&amp;J1765)+COUNTIFS($I$1762:I1765,"&gt;0",$J$1762:J1765,J1765))))</x:f>
        <x:v>6</x:v>
      </x:c>
      <x:c r="P1765" s="22" t="n">
        <x:f>IF(T1765="Ready",MIN(U1765,MAX(0,G1765-SUMIFS($U$1762:$U$1766,$O$1762:$O$1766,"&lt;"&amp;O1765))),"n.a.")</x:f>
        <x:v>0</x:v>
      </x:c>
      <x:c r="Q1765" s="22" t="n">
        <x:f>IF(T1765="Ready",ROUND(N1765+P1765,2),"n.a.")</x:f>
        <x:v>0</x:v>
      </x:c>
      <x:c r="R1765" s="22" t="n">
        <x:f>IF(T1765="Ready",ROUND(Q1765-M1765,2),"n.a.")</x:f>
        <x:v>0</x:v>
      </x:c>
      <x:c r="S1765" s="22" t="n">
        <x:f>IF(T1765="Ready",MAX(0,ROUND(I1765+M1765-Q1765,2)),"n.a.")</x:f>
        <x:v>0</x:v>
      </x:c>
      <x:c r="T1765" s="22" t="str">
        <x:f>IF(AND(COUNT($I$1762:$I$1766)=5,COUNT(E1765:F1765)=2),IF(E1765&gt;=F1765,"Ready","Budget below minima"),"Check inputs")</x:f>
        <x:v>Ready</x:v>
      </x:c>
      <x:c r="U1765" s="22" t="n">
        <x:f>IF(COUNT(I1765,M1765,N1765)=3,MAX(0,ROUND(I1765+M1765-N1765,2)),"n.a.")</x:f>
        <x:v>0</x:v>
      </x:c>
    </x:row>
    <x:row r="1766" ht="22" customHeight="1">
      <x:c r="A1766" s="2"/>
      <x:c r="B1766" s="2"/>
      <x:c r="C1766" s="27" t="n">
        <x:f>352</x:f>
        <x:v>352</x:v>
      </x:c>
      <x:c r="D1766" s="28" t="n">
        <x:f>IF(ISNUMBER('Inputs'!$D$7),EDATE('Inputs'!$D$7,351),"n.a.")</x:f>
        <x:v>57011</x:v>
      </x:c>
      <x:c r="E1766" s="26" t="n">
        <x:f>IF('Inputs'!$D$9&lt;&gt;"Ready","n.a.",IF(ISNUMBER('Inputs'!E370),IF('Inputs'!E370&gt;=0,'Inputs'!E370,"n.a."),IF('Inputs'!E370="",'Inputs'!$D$6,"n.a.")))</x:f>
        <x:v>500</x:v>
      </x:c>
      <x:c r="F1766" s="22" t="n">
        <x:f>IF(COUNT($N$1762:$N$1766)=5,SUM($N$1762:$N$1766),"n.a.")</x:f>
        <x:v>0</x:v>
      </x:c>
      <x:c r="G1766" s="22" t="n">
        <x:f>IF(COUNT(E1766:F1766)=2,MAX(0,E1766-F1766),"n.a.")</x:f>
        <x:v>500</x:v>
      </x:c>
      <x:c r="H1766" s="26" t="str">
        <x:f>'Inputs'!C15</x:f>
        <x:v>Unused 5</x:v>
      </x:c>
      <x:c r="I1766" s="26" t="n">
        <x:f>S1761</x:f>
        <x:v>0</x:v>
      </x:c>
      <x:c r="J1766" s="29" t="n">
        <x:f>IF('Inputs'!$D$9="Ready",'Inputs'!E15,"n.a.")</x:f>
        <x:v>0</x:v>
      </x:c>
      <x:c r="K1766" s="26" t="n">
        <x:f>IF('Inputs'!$D$9="Ready",'Inputs'!F15,"n.a.")</x:f>
        <x:v>0</x:v>
      </x:c>
      <x:c r="L1766" s="29" t="n">
        <x:f>IF('Inputs'!$D$9="Ready",'Inputs'!G15,"n.a.")</x:f>
        <x:v>0</x:v>
      </x:c>
      <x:c r="M1766" s="22" t="n">
        <x:f>IF(COUNT(I1766:L1766)=4,ROUND(I1766*J1766/12,2),"n.a.")</x:f>
        <x:v>0</x:v>
      </x:c>
      <x:c r="N1766" s="22" t="n">
        <x:f>IF(COUNT(I1766:M1766)=5,MIN(I1766+M1766,ROUND(MAX(K1766,I1766*L1766+M1766),2)),"n.a.")</x:f>
        <x:v>0</x:v>
      </x:c>
      <x:c r="O1766" s="30" t="n">
        <x:f>IF(COUNT($I$1762:$I$1766)&lt;&gt;5,"n.a.",IF(I1766=0,6,IF('Inputs'!$D$5=1,COUNTIFS($I$1762:$I$1766,"&gt;0",$I$1762:$I$1766,"&lt;"&amp;I1766)+COUNTIFS($I$1762:I1766,I1766),COUNTIFS($I$1762:$I$1766,"&gt;0",$J$1762:$J$1766,"&gt;"&amp;J1766)+COUNTIFS($I$1762:I1766,"&gt;0",$J$1762:J1766,J1766))))</x:f>
        <x:v>6</x:v>
      </x:c>
      <x:c r="P1766" s="22" t="n">
        <x:f>IF(T1766="Ready",MIN(U1766,MAX(0,G1766-SUMIFS($U$1762:$U$1766,$O$1762:$O$1766,"&lt;"&amp;O1766))),"n.a.")</x:f>
        <x:v>0</x:v>
      </x:c>
      <x:c r="Q1766" s="22" t="n">
        <x:f>IF(T1766="Ready",ROUND(N1766+P1766,2),"n.a.")</x:f>
        <x:v>0</x:v>
      </x:c>
      <x:c r="R1766" s="22" t="n">
        <x:f>IF(T1766="Ready",ROUND(Q1766-M1766,2),"n.a.")</x:f>
        <x:v>0</x:v>
      </x:c>
      <x:c r="S1766" s="22" t="n">
        <x:f>IF(T1766="Ready",MAX(0,ROUND(I1766+M1766-Q1766,2)),"n.a.")</x:f>
        <x:v>0</x:v>
      </x:c>
      <x:c r="T1766" s="22" t="str">
        <x:f>IF(AND(COUNT($I$1762:$I$1766)=5,COUNT(E1766:F1766)=2),IF(E1766&gt;=F1766,"Ready","Budget below minima"),"Check inputs")</x:f>
        <x:v>Ready</x:v>
      </x:c>
      <x:c r="U1766" s="22" t="n">
        <x:f>IF(COUNT(I1766,M1766,N1766)=3,MAX(0,ROUND(I1766+M1766-N1766,2)),"n.a.")</x:f>
        <x:v>0</x:v>
      </x:c>
    </x:row>
    <x:row r="1767" ht="22" customHeight="1">
      <x:c r="A1767" s="2"/>
      <x:c r="B1767" s="2"/>
      <x:c r="C1767" s="27" t="n">
        <x:f>353</x:f>
        <x:v>353</x:v>
      </x:c>
      <x:c r="D1767" s="28" t="n">
        <x:f>IF(ISNUMBER('Inputs'!$D$7),EDATE('Inputs'!$D$7,352),"n.a.")</x:f>
        <x:v>57040</x:v>
      </x:c>
      <x:c r="E1767" s="26" t="n">
        <x:f>IF('Inputs'!$D$9&lt;&gt;"Ready","n.a.",IF(ISNUMBER('Inputs'!E371),IF('Inputs'!E371&gt;=0,'Inputs'!E371,"n.a."),IF('Inputs'!E371="",'Inputs'!$D$6,"n.a.")))</x:f>
        <x:v>500</x:v>
      </x:c>
      <x:c r="F1767" s="22" t="n">
        <x:f>IF(COUNT($N$1767:$N$1771)=5,SUM($N$1767:$N$1771),"n.a.")</x:f>
        <x:v>0</x:v>
      </x:c>
      <x:c r="G1767" s="22" t="n">
        <x:f>IF(COUNT(E1767:F1767)=2,MAX(0,E1767-F1767),"n.a.")</x:f>
        <x:v>500</x:v>
      </x:c>
      <x:c r="H1767" s="26" t="str">
        <x:f>'Inputs'!C11</x:f>
        <x:v>Card A</x:v>
      </x:c>
      <x:c r="I1767" s="26" t="n">
        <x:f>S1762</x:f>
        <x:v>0</x:v>
      </x:c>
      <x:c r="J1767" s="29" t="n">
        <x:f>IF('Inputs'!$D$9="Ready",'Inputs'!E11,"n.a.")</x:f>
        <x:v>0.24</x:v>
      </x:c>
      <x:c r="K1767" s="26" t="n">
        <x:f>IF('Inputs'!$D$9="Ready",'Inputs'!F11,"n.a.")</x:f>
        <x:v>35</x:v>
      </x:c>
      <x:c r="L1767" s="29" t="n">
        <x:f>IF('Inputs'!$D$9="Ready",'Inputs'!G11,"n.a.")</x:f>
        <x:v>0.02</x:v>
      </x:c>
      <x:c r="M1767" s="22" t="n">
        <x:f>IF(COUNT(I1767:L1767)=4,ROUND(I1767*J1767/12,2),"n.a.")</x:f>
        <x:v>0</x:v>
      </x:c>
      <x:c r="N1767" s="22" t="n">
        <x:f>IF(COUNT(I1767:M1767)=5,MIN(I1767+M1767,ROUND(MAX(K1767,I1767*L1767+M1767),2)),"n.a.")</x:f>
        <x:v>0</x:v>
      </x:c>
      <x:c r="O1767" s="30" t="n">
        <x:f>IF(COUNT($I$1767:$I$1771)&lt;&gt;5,"n.a.",IF(I1767=0,6,IF('Inputs'!$D$5=1,COUNTIFS($I$1767:$I$1771,"&gt;0",$I$1767:$I$1771,"&lt;"&amp;I1767)+COUNTIFS($I$1767:I1767,I1767),COUNTIFS($I$1767:$I$1771,"&gt;0",$J$1767:$J$1771,"&gt;"&amp;J1767)+COUNTIFS($I$1767:I1767,"&gt;0",$J$1767:J1767,J1767))))</x:f>
        <x:v>6</x:v>
      </x:c>
      <x:c r="P1767" s="22" t="n">
        <x:f>IF(T1767="Ready",MIN(U1767,MAX(0,G1767-SUMIFS($U$1767:$U$1771,$O$1767:$O$1771,"&lt;"&amp;O1767))),"n.a.")</x:f>
        <x:v>0</x:v>
      </x:c>
      <x:c r="Q1767" s="22" t="n">
        <x:f>IF(T1767="Ready",ROUND(N1767+P1767,2),"n.a.")</x:f>
        <x:v>0</x:v>
      </x:c>
      <x:c r="R1767" s="22" t="n">
        <x:f>IF(T1767="Ready",ROUND(Q1767-M1767,2),"n.a.")</x:f>
        <x:v>0</x:v>
      </x:c>
      <x:c r="S1767" s="22" t="n">
        <x:f>IF(T1767="Ready",MAX(0,ROUND(I1767+M1767-Q1767,2)),"n.a.")</x:f>
        <x:v>0</x:v>
      </x:c>
      <x:c r="T1767" s="22" t="str">
        <x:f>IF(AND(COUNT($I$1767:$I$1771)=5,COUNT(E1767:F1767)=2),IF(E1767&gt;=F1767,"Ready","Budget below minima"),"Check inputs")</x:f>
        <x:v>Ready</x:v>
      </x:c>
      <x:c r="U1767" s="22" t="n">
        <x:f>IF(COUNT(I1767,M1767,N1767)=3,MAX(0,ROUND(I1767+M1767-N1767,2)),"n.a.")</x:f>
        <x:v>0</x:v>
      </x:c>
    </x:row>
    <x:row r="1768" ht="22" customHeight="1">
      <x:c r="A1768" s="2"/>
      <x:c r="B1768" s="2"/>
      <x:c r="C1768" s="27" t="n">
        <x:f>353</x:f>
        <x:v>353</x:v>
      </x:c>
      <x:c r="D1768" s="28" t="n">
        <x:f>IF(ISNUMBER('Inputs'!$D$7),EDATE('Inputs'!$D$7,352),"n.a.")</x:f>
        <x:v>57040</x:v>
      </x:c>
      <x:c r="E1768" s="26" t="n">
        <x:f>IF('Inputs'!$D$9&lt;&gt;"Ready","n.a.",IF(ISNUMBER('Inputs'!E371),IF('Inputs'!E371&gt;=0,'Inputs'!E371,"n.a."),IF('Inputs'!E371="",'Inputs'!$D$6,"n.a.")))</x:f>
        <x:v>500</x:v>
      </x:c>
      <x:c r="F1768" s="22" t="n">
        <x:f>IF(COUNT($N$1767:$N$1771)=5,SUM($N$1767:$N$1771),"n.a.")</x:f>
        <x:v>0</x:v>
      </x:c>
      <x:c r="G1768" s="22" t="n">
        <x:f>IF(COUNT(E1768:F1768)=2,MAX(0,E1768-F1768),"n.a.")</x:f>
        <x:v>500</x:v>
      </x:c>
      <x:c r="H1768" s="26" t="str">
        <x:f>'Inputs'!C12</x:f>
        <x:v>Card B</x:v>
      </x:c>
      <x:c r="I1768" s="26" t="n">
        <x:f>S1763</x:f>
        <x:v>0</x:v>
      </x:c>
      <x:c r="J1768" s="29" t="n">
        <x:f>IF('Inputs'!$D$9="Ready",'Inputs'!E12,"n.a.")</x:f>
        <x:v>0.18</x:v>
      </x:c>
      <x:c r="K1768" s="26" t="n">
        <x:f>IF('Inputs'!$D$9="Ready",'Inputs'!F12,"n.a.")</x:f>
        <x:v>60</x:v>
      </x:c>
      <x:c r="L1768" s="29" t="n">
        <x:f>IF('Inputs'!$D$9="Ready",'Inputs'!G12,"n.a.")</x:f>
        <x:v>0.02</x:v>
      </x:c>
      <x:c r="M1768" s="22" t="n">
        <x:f>IF(COUNT(I1768:L1768)=4,ROUND(I1768*J1768/12,2),"n.a.")</x:f>
        <x:v>0</x:v>
      </x:c>
      <x:c r="N1768" s="22" t="n">
        <x:f>IF(COUNT(I1768:M1768)=5,MIN(I1768+M1768,ROUND(MAX(K1768,I1768*L1768+M1768),2)),"n.a.")</x:f>
        <x:v>0</x:v>
      </x:c>
      <x:c r="O1768" s="30" t="n">
        <x:f>IF(COUNT($I$1767:$I$1771)&lt;&gt;5,"n.a.",IF(I1768=0,6,IF('Inputs'!$D$5=1,COUNTIFS($I$1767:$I$1771,"&gt;0",$I$1767:$I$1771,"&lt;"&amp;I1768)+COUNTIFS($I$1767:I1768,I1768),COUNTIFS($I$1767:$I$1771,"&gt;0",$J$1767:$J$1771,"&gt;"&amp;J1768)+COUNTIFS($I$1767:I1768,"&gt;0",$J$1767:J1768,J1768))))</x:f>
        <x:v>6</x:v>
      </x:c>
      <x:c r="P1768" s="22" t="n">
        <x:f>IF(T1768="Ready",MIN(U1768,MAX(0,G1768-SUMIFS($U$1767:$U$1771,$O$1767:$O$1771,"&lt;"&amp;O1768))),"n.a.")</x:f>
        <x:v>0</x:v>
      </x:c>
      <x:c r="Q1768" s="22" t="n">
        <x:f>IF(T1768="Ready",ROUND(N1768+P1768,2),"n.a.")</x:f>
        <x:v>0</x:v>
      </x:c>
      <x:c r="R1768" s="22" t="n">
        <x:f>IF(T1768="Ready",ROUND(Q1768-M1768,2),"n.a.")</x:f>
        <x:v>0</x:v>
      </x:c>
      <x:c r="S1768" s="22" t="n">
        <x:f>IF(T1768="Ready",MAX(0,ROUND(I1768+M1768-Q1768,2)),"n.a.")</x:f>
        <x:v>0</x:v>
      </x:c>
      <x:c r="T1768" s="22" t="str">
        <x:f>IF(AND(COUNT($I$1767:$I$1771)=5,COUNT(E1768:F1768)=2),IF(E1768&gt;=F1768,"Ready","Budget below minima"),"Check inputs")</x:f>
        <x:v>Ready</x:v>
      </x:c>
      <x:c r="U1768" s="22" t="n">
        <x:f>IF(COUNT(I1768,M1768,N1768)=3,MAX(0,ROUND(I1768+M1768-N1768,2)),"n.a.")</x:f>
        <x:v>0</x:v>
      </x:c>
    </x:row>
    <x:row r="1769" ht="22" customHeight="1">
      <x:c r="A1769" s="2"/>
      <x:c r="B1769" s="2"/>
      <x:c r="C1769" s="27" t="n">
        <x:f>353</x:f>
        <x:v>353</x:v>
      </x:c>
      <x:c r="D1769" s="28" t="n">
        <x:f>IF(ISNUMBER('Inputs'!$D$7),EDATE('Inputs'!$D$7,352),"n.a.")</x:f>
        <x:v>57040</x:v>
      </x:c>
      <x:c r="E1769" s="26" t="n">
        <x:f>IF('Inputs'!$D$9&lt;&gt;"Ready","n.a.",IF(ISNUMBER('Inputs'!E371),IF('Inputs'!E371&gt;=0,'Inputs'!E371,"n.a."),IF('Inputs'!E371="",'Inputs'!$D$6,"n.a.")))</x:f>
        <x:v>500</x:v>
      </x:c>
      <x:c r="F1769" s="22" t="n">
        <x:f>IF(COUNT($N$1767:$N$1771)=5,SUM($N$1767:$N$1771),"n.a.")</x:f>
        <x:v>0</x:v>
      </x:c>
      <x:c r="G1769" s="22" t="n">
        <x:f>IF(COUNT(E1769:F1769)=2,MAX(0,E1769-F1769),"n.a.")</x:f>
        <x:v>500</x:v>
      </x:c>
      <x:c r="H1769" s="26" t="str">
        <x:f>'Inputs'!C13</x:f>
        <x:v>Loan C</x:v>
      </x:c>
      <x:c r="I1769" s="26" t="n">
        <x:f>S1764</x:f>
        <x:v>0</x:v>
      </x:c>
      <x:c r="J1769" s="29" t="n">
        <x:f>IF('Inputs'!$D$9="Ready",'Inputs'!E13,"n.a.")</x:f>
        <x:v>0.08</x:v>
      </x:c>
      <x:c r="K1769" s="26" t="n">
        <x:f>IF('Inputs'!$D$9="Ready",'Inputs'!F13,"n.a.")</x:f>
        <x:v>150</x:v>
      </x:c>
      <x:c r="L1769" s="29" t="n">
        <x:f>IF('Inputs'!$D$9="Ready",'Inputs'!G13,"n.a.")</x:f>
        <x:v>0</x:v>
      </x:c>
      <x:c r="M1769" s="22" t="n">
        <x:f>IF(COUNT(I1769:L1769)=4,ROUND(I1769*J1769/12,2),"n.a.")</x:f>
        <x:v>0</x:v>
      </x:c>
      <x:c r="N1769" s="22" t="n">
        <x:f>IF(COUNT(I1769:M1769)=5,MIN(I1769+M1769,ROUND(MAX(K1769,I1769*L1769+M1769),2)),"n.a.")</x:f>
        <x:v>0</x:v>
      </x:c>
      <x:c r="O1769" s="30" t="n">
        <x:f>IF(COUNT($I$1767:$I$1771)&lt;&gt;5,"n.a.",IF(I1769=0,6,IF('Inputs'!$D$5=1,COUNTIFS($I$1767:$I$1771,"&gt;0",$I$1767:$I$1771,"&lt;"&amp;I1769)+COUNTIFS($I$1767:I1769,I1769),COUNTIFS($I$1767:$I$1771,"&gt;0",$J$1767:$J$1771,"&gt;"&amp;J1769)+COUNTIFS($I$1767:I1769,"&gt;0",$J$1767:J1769,J1769))))</x:f>
        <x:v>6</x:v>
      </x:c>
      <x:c r="P1769" s="22" t="n">
        <x:f>IF(T1769="Ready",MIN(U1769,MAX(0,G1769-SUMIFS($U$1767:$U$1771,$O$1767:$O$1771,"&lt;"&amp;O1769))),"n.a.")</x:f>
        <x:v>0</x:v>
      </x:c>
      <x:c r="Q1769" s="22" t="n">
        <x:f>IF(T1769="Ready",ROUND(N1769+P1769,2),"n.a.")</x:f>
        <x:v>0</x:v>
      </x:c>
      <x:c r="R1769" s="22" t="n">
        <x:f>IF(T1769="Ready",ROUND(Q1769-M1769,2),"n.a.")</x:f>
        <x:v>0</x:v>
      </x:c>
      <x:c r="S1769" s="22" t="n">
        <x:f>IF(T1769="Ready",MAX(0,ROUND(I1769+M1769-Q1769,2)),"n.a.")</x:f>
        <x:v>0</x:v>
      </x:c>
      <x:c r="T1769" s="22" t="str">
        <x:f>IF(AND(COUNT($I$1767:$I$1771)=5,COUNT(E1769:F1769)=2),IF(E1769&gt;=F1769,"Ready","Budget below minima"),"Check inputs")</x:f>
        <x:v>Ready</x:v>
      </x:c>
      <x:c r="U1769" s="22" t="n">
        <x:f>IF(COUNT(I1769,M1769,N1769)=3,MAX(0,ROUND(I1769+M1769-N1769,2)),"n.a.")</x:f>
        <x:v>0</x:v>
      </x:c>
    </x:row>
    <x:row r="1770" ht="22" customHeight="1">
      <x:c r="A1770" s="2"/>
      <x:c r="B1770" s="2"/>
      <x:c r="C1770" s="27" t="n">
        <x:f>353</x:f>
        <x:v>353</x:v>
      </x:c>
      <x:c r="D1770" s="28" t="n">
        <x:f>IF(ISNUMBER('Inputs'!$D$7),EDATE('Inputs'!$D$7,352),"n.a.")</x:f>
        <x:v>57040</x:v>
      </x:c>
      <x:c r="E1770" s="26" t="n">
        <x:f>IF('Inputs'!$D$9&lt;&gt;"Ready","n.a.",IF(ISNUMBER('Inputs'!E371),IF('Inputs'!E371&gt;=0,'Inputs'!E371,"n.a."),IF('Inputs'!E371="",'Inputs'!$D$6,"n.a.")))</x:f>
        <x:v>500</x:v>
      </x:c>
      <x:c r="F1770" s="22" t="n">
        <x:f>IF(COUNT($N$1767:$N$1771)=5,SUM($N$1767:$N$1771),"n.a.")</x:f>
        <x:v>0</x:v>
      </x:c>
      <x:c r="G1770" s="22" t="n">
        <x:f>IF(COUNT(E1770:F1770)=2,MAX(0,E1770-F1770),"n.a.")</x:f>
        <x:v>500</x:v>
      </x:c>
      <x:c r="H1770" s="26" t="str">
        <x:f>'Inputs'!C14</x:f>
        <x:v>Unused 4</x:v>
      </x:c>
      <x:c r="I1770" s="26" t="n">
        <x:f>S1765</x:f>
        <x:v>0</x:v>
      </x:c>
      <x:c r="J1770" s="29" t="n">
        <x:f>IF('Inputs'!$D$9="Ready",'Inputs'!E14,"n.a.")</x:f>
        <x:v>0</x:v>
      </x:c>
      <x:c r="K1770" s="26" t="n">
        <x:f>IF('Inputs'!$D$9="Ready",'Inputs'!F14,"n.a.")</x:f>
        <x:v>0</x:v>
      </x:c>
      <x:c r="L1770" s="29" t="n">
        <x:f>IF('Inputs'!$D$9="Ready",'Inputs'!G14,"n.a.")</x:f>
        <x:v>0</x:v>
      </x:c>
      <x:c r="M1770" s="22" t="n">
        <x:f>IF(COUNT(I1770:L1770)=4,ROUND(I1770*J1770/12,2),"n.a.")</x:f>
        <x:v>0</x:v>
      </x:c>
      <x:c r="N1770" s="22" t="n">
        <x:f>IF(COUNT(I1770:M1770)=5,MIN(I1770+M1770,ROUND(MAX(K1770,I1770*L1770+M1770),2)),"n.a.")</x:f>
        <x:v>0</x:v>
      </x:c>
      <x:c r="O1770" s="30" t="n">
        <x:f>IF(COUNT($I$1767:$I$1771)&lt;&gt;5,"n.a.",IF(I1770=0,6,IF('Inputs'!$D$5=1,COUNTIFS($I$1767:$I$1771,"&gt;0",$I$1767:$I$1771,"&lt;"&amp;I1770)+COUNTIFS($I$1767:I1770,I1770),COUNTIFS($I$1767:$I$1771,"&gt;0",$J$1767:$J$1771,"&gt;"&amp;J1770)+COUNTIFS($I$1767:I1770,"&gt;0",$J$1767:J1770,J1770))))</x:f>
        <x:v>6</x:v>
      </x:c>
      <x:c r="P1770" s="22" t="n">
        <x:f>IF(T1770="Ready",MIN(U1770,MAX(0,G1770-SUMIFS($U$1767:$U$1771,$O$1767:$O$1771,"&lt;"&amp;O1770))),"n.a.")</x:f>
        <x:v>0</x:v>
      </x:c>
      <x:c r="Q1770" s="22" t="n">
        <x:f>IF(T1770="Ready",ROUND(N1770+P1770,2),"n.a.")</x:f>
        <x:v>0</x:v>
      </x:c>
      <x:c r="R1770" s="22" t="n">
        <x:f>IF(T1770="Ready",ROUND(Q1770-M1770,2),"n.a.")</x:f>
        <x:v>0</x:v>
      </x:c>
      <x:c r="S1770" s="22" t="n">
        <x:f>IF(T1770="Ready",MAX(0,ROUND(I1770+M1770-Q1770,2)),"n.a.")</x:f>
        <x:v>0</x:v>
      </x:c>
      <x:c r="T1770" s="22" t="str">
        <x:f>IF(AND(COUNT($I$1767:$I$1771)=5,COUNT(E1770:F1770)=2),IF(E1770&gt;=F1770,"Ready","Budget below minima"),"Check inputs")</x:f>
        <x:v>Ready</x:v>
      </x:c>
      <x:c r="U1770" s="22" t="n">
        <x:f>IF(COUNT(I1770,M1770,N1770)=3,MAX(0,ROUND(I1770+M1770-N1770,2)),"n.a.")</x:f>
        <x:v>0</x:v>
      </x:c>
    </x:row>
    <x:row r="1771" ht="22" customHeight="1">
      <x:c r="A1771" s="2"/>
      <x:c r="B1771" s="2"/>
      <x:c r="C1771" s="27" t="n">
        <x:f>353</x:f>
        <x:v>353</x:v>
      </x:c>
      <x:c r="D1771" s="28" t="n">
        <x:f>IF(ISNUMBER('Inputs'!$D$7),EDATE('Inputs'!$D$7,352),"n.a.")</x:f>
        <x:v>57040</x:v>
      </x:c>
      <x:c r="E1771" s="26" t="n">
        <x:f>IF('Inputs'!$D$9&lt;&gt;"Ready","n.a.",IF(ISNUMBER('Inputs'!E371),IF('Inputs'!E371&gt;=0,'Inputs'!E371,"n.a."),IF('Inputs'!E371="",'Inputs'!$D$6,"n.a.")))</x:f>
        <x:v>500</x:v>
      </x:c>
      <x:c r="F1771" s="22" t="n">
        <x:f>IF(COUNT($N$1767:$N$1771)=5,SUM($N$1767:$N$1771),"n.a.")</x:f>
        <x:v>0</x:v>
      </x:c>
      <x:c r="G1771" s="22" t="n">
        <x:f>IF(COUNT(E1771:F1771)=2,MAX(0,E1771-F1771),"n.a.")</x:f>
        <x:v>500</x:v>
      </x:c>
      <x:c r="H1771" s="26" t="str">
        <x:f>'Inputs'!C15</x:f>
        <x:v>Unused 5</x:v>
      </x:c>
      <x:c r="I1771" s="26" t="n">
        <x:f>S1766</x:f>
        <x:v>0</x:v>
      </x:c>
      <x:c r="J1771" s="29" t="n">
        <x:f>IF('Inputs'!$D$9="Ready",'Inputs'!E15,"n.a.")</x:f>
        <x:v>0</x:v>
      </x:c>
      <x:c r="K1771" s="26" t="n">
        <x:f>IF('Inputs'!$D$9="Ready",'Inputs'!F15,"n.a.")</x:f>
        <x:v>0</x:v>
      </x:c>
      <x:c r="L1771" s="29" t="n">
        <x:f>IF('Inputs'!$D$9="Ready",'Inputs'!G15,"n.a.")</x:f>
        <x:v>0</x:v>
      </x:c>
      <x:c r="M1771" s="22" t="n">
        <x:f>IF(COUNT(I1771:L1771)=4,ROUND(I1771*J1771/12,2),"n.a.")</x:f>
        <x:v>0</x:v>
      </x:c>
      <x:c r="N1771" s="22" t="n">
        <x:f>IF(COUNT(I1771:M1771)=5,MIN(I1771+M1771,ROUND(MAX(K1771,I1771*L1771+M1771),2)),"n.a.")</x:f>
        <x:v>0</x:v>
      </x:c>
      <x:c r="O1771" s="30" t="n">
        <x:f>IF(COUNT($I$1767:$I$1771)&lt;&gt;5,"n.a.",IF(I1771=0,6,IF('Inputs'!$D$5=1,COUNTIFS($I$1767:$I$1771,"&gt;0",$I$1767:$I$1771,"&lt;"&amp;I1771)+COUNTIFS($I$1767:I1771,I1771),COUNTIFS($I$1767:$I$1771,"&gt;0",$J$1767:$J$1771,"&gt;"&amp;J1771)+COUNTIFS($I$1767:I1771,"&gt;0",$J$1767:J1771,J1771))))</x:f>
        <x:v>6</x:v>
      </x:c>
      <x:c r="P1771" s="22" t="n">
        <x:f>IF(T1771="Ready",MIN(U1771,MAX(0,G1771-SUMIFS($U$1767:$U$1771,$O$1767:$O$1771,"&lt;"&amp;O1771))),"n.a.")</x:f>
        <x:v>0</x:v>
      </x:c>
      <x:c r="Q1771" s="22" t="n">
        <x:f>IF(T1771="Ready",ROUND(N1771+P1771,2),"n.a.")</x:f>
        <x:v>0</x:v>
      </x:c>
      <x:c r="R1771" s="22" t="n">
        <x:f>IF(T1771="Ready",ROUND(Q1771-M1771,2),"n.a.")</x:f>
        <x:v>0</x:v>
      </x:c>
      <x:c r="S1771" s="22" t="n">
        <x:f>IF(T1771="Ready",MAX(0,ROUND(I1771+M1771-Q1771,2)),"n.a.")</x:f>
        <x:v>0</x:v>
      </x:c>
      <x:c r="T1771" s="22" t="str">
        <x:f>IF(AND(COUNT($I$1767:$I$1771)=5,COUNT(E1771:F1771)=2),IF(E1771&gt;=F1771,"Ready","Budget below minima"),"Check inputs")</x:f>
        <x:v>Ready</x:v>
      </x:c>
      <x:c r="U1771" s="22" t="n">
        <x:f>IF(COUNT(I1771,M1771,N1771)=3,MAX(0,ROUND(I1771+M1771-N1771,2)),"n.a.")</x:f>
        <x:v>0</x:v>
      </x:c>
    </x:row>
    <x:row r="1772" ht="22" customHeight="1">
      <x:c r="A1772" s="2"/>
      <x:c r="B1772" s="2"/>
      <x:c r="C1772" s="27" t="n">
        <x:f>354</x:f>
        <x:v>354</x:v>
      </x:c>
      <x:c r="D1772" s="28" t="n">
        <x:f>IF(ISNUMBER('Inputs'!$D$7),EDATE('Inputs'!$D$7,353),"n.a.")</x:f>
        <x:v>57071</x:v>
      </x:c>
      <x:c r="E1772" s="26" t="n">
        <x:f>IF('Inputs'!$D$9&lt;&gt;"Ready","n.a.",IF(ISNUMBER('Inputs'!E372),IF('Inputs'!E372&gt;=0,'Inputs'!E372,"n.a."),IF('Inputs'!E372="",'Inputs'!$D$6,"n.a.")))</x:f>
        <x:v>500</x:v>
      </x:c>
      <x:c r="F1772" s="22" t="n">
        <x:f>IF(COUNT($N$1772:$N$1776)=5,SUM($N$1772:$N$1776),"n.a.")</x:f>
        <x:v>0</x:v>
      </x:c>
      <x:c r="G1772" s="22" t="n">
        <x:f>IF(COUNT(E1772:F1772)=2,MAX(0,E1772-F1772),"n.a.")</x:f>
        <x:v>500</x:v>
      </x:c>
      <x:c r="H1772" s="26" t="str">
        <x:f>'Inputs'!C11</x:f>
        <x:v>Card A</x:v>
      </x:c>
      <x:c r="I1772" s="26" t="n">
        <x:f>S1767</x:f>
        <x:v>0</x:v>
      </x:c>
      <x:c r="J1772" s="29" t="n">
        <x:f>IF('Inputs'!$D$9="Ready",'Inputs'!E11,"n.a.")</x:f>
        <x:v>0.24</x:v>
      </x:c>
      <x:c r="K1772" s="26" t="n">
        <x:f>IF('Inputs'!$D$9="Ready",'Inputs'!F11,"n.a.")</x:f>
        <x:v>35</x:v>
      </x:c>
      <x:c r="L1772" s="29" t="n">
        <x:f>IF('Inputs'!$D$9="Ready",'Inputs'!G11,"n.a.")</x:f>
        <x:v>0.02</x:v>
      </x:c>
      <x:c r="M1772" s="22" t="n">
        <x:f>IF(COUNT(I1772:L1772)=4,ROUND(I1772*J1772/12,2),"n.a.")</x:f>
        <x:v>0</x:v>
      </x:c>
      <x:c r="N1772" s="22" t="n">
        <x:f>IF(COUNT(I1772:M1772)=5,MIN(I1772+M1772,ROUND(MAX(K1772,I1772*L1772+M1772),2)),"n.a.")</x:f>
        <x:v>0</x:v>
      </x:c>
      <x:c r="O1772" s="30" t="n">
        <x:f>IF(COUNT($I$1772:$I$1776)&lt;&gt;5,"n.a.",IF(I1772=0,6,IF('Inputs'!$D$5=1,COUNTIFS($I$1772:$I$1776,"&gt;0",$I$1772:$I$1776,"&lt;"&amp;I1772)+COUNTIFS($I$1772:I1772,I1772),COUNTIFS($I$1772:$I$1776,"&gt;0",$J$1772:$J$1776,"&gt;"&amp;J1772)+COUNTIFS($I$1772:I1772,"&gt;0",$J$1772:J1772,J1772))))</x:f>
        <x:v>6</x:v>
      </x:c>
      <x:c r="P1772" s="22" t="n">
        <x:f>IF(T1772="Ready",MIN(U1772,MAX(0,G1772-SUMIFS($U$1772:$U$1776,$O$1772:$O$1776,"&lt;"&amp;O1772))),"n.a.")</x:f>
        <x:v>0</x:v>
      </x:c>
      <x:c r="Q1772" s="22" t="n">
        <x:f>IF(T1772="Ready",ROUND(N1772+P1772,2),"n.a.")</x:f>
        <x:v>0</x:v>
      </x:c>
      <x:c r="R1772" s="22" t="n">
        <x:f>IF(T1772="Ready",ROUND(Q1772-M1772,2),"n.a.")</x:f>
        <x:v>0</x:v>
      </x:c>
      <x:c r="S1772" s="22" t="n">
        <x:f>IF(T1772="Ready",MAX(0,ROUND(I1772+M1772-Q1772,2)),"n.a.")</x:f>
        <x:v>0</x:v>
      </x:c>
      <x:c r="T1772" s="22" t="str">
        <x:f>IF(AND(COUNT($I$1772:$I$1776)=5,COUNT(E1772:F1772)=2),IF(E1772&gt;=F1772,"Ready","Budget below minima"),"Check inputs")</x:f>
        <x:v>Ready</x:v>
      </x:c>
      <x:c r="U1772" s="22" t="n">
        <x:f>IF(COUNT(I1772,M1772,N1772)=3,MAX(0,ROUND(I1772+M1772-N1772,2)),"n.a.")</x:f>
        <x:v>0</x:v>
      </x:c>
    </x:row>
    <x:row r="1773" ht="22" customHeight="1">
      <x:c r="A1773" s="2"/>
      <x:c r="B1773" s="2"/>
      <x:c r="C1773" s="27" t="n">
        <x:f>354</x:f>
        <x:v>354</x:v>
      </x:c>
      <x:c r="D1773" s="28" t="n">
        <x:f>IF(ISNUMBER('Inputs'!$D$7),EDATE('Inputs'!$D$7,353),"n.a.")</x:f>
        <x:v>57071</x:v>
      </x:c>
      <x:c r="E1773" s="26" t="n">
        <x:f>IF('Inputs'!$D$9&lt;&gt;"Ready","n.a.",IF(ISNUMBER('Inputs'!E372),IF('Inputs'!E372&gt;=0,'Inputs'!E372,"n.a."),IF('Inputs'!E372="",'Inputs'!$D$6,"n.a.")))</x:f>
        <x:v>500</x:v>
      </x:c>
      <x:c r="F1773" s="22" t="n">
        <x:f>IF(COUNT($N$1772:$N$1776)=5,SUM($N$1772:$N$1776),"n.a.")</x:f>
        <x:v>0</x:v>
      </x:c>
      <x:c r="G1773" s="22" t="n">
        <x:f>IF(COUNT(E1773:F1773)=2,MAX(0,E1773-F1773),"n.a.")</x:f>
        <x:v>500</x:v>
      </x:c>
      <x:c r="H1773" s="26" t="str">
        <x:f>'Inputs'!C12</x:f>
        <x:v>Card B</x:v>
      </x:c>
      <x:c r="I1773" s="26" t="n">
        <x:f>S1768</x:f>
        <x:v>0</x:v>
      </x:c>
      <x:c r="J1773" s="29" t="n">
        <x:f>IF('Inputs'!$D$9="Ready",'Inputs'!E12,"n.a.")</x:f>
        <x:v>0.18</x:v>
      </x:c>
      <x:c r="K1773" s="26" t="n">
        <x:f>IF('Inputs'!$D$9="Ready",'Inputs'!F12,"n.a.")</x:f>
        <x:v>60</x:v>
      </x:c>
      <x:c r="L1773" s="29" t="n">
        <x:f>IF('Inputs'!$D$9="Ready",'Inputs'!G12,"n.a.")</x:f>
        <x:v>0.02</x:v>
      </x:c>
      <x:c r="M1773" s="22" t="n">
        <x:f>IF(COUNT(I1773:L1773)=4,ROUND(I1773*J1773/12,2),"n.a.")</x:f>
        <x:v>0</x:v>
      </x:c>
      <x:c r="N1773" s="22" t="n">
        <x:f>IF(COUNT(I1773:M1773)=5,MIN(I1773+M1773,ROUND(MAX(K1773,I1773*L1773+M1773),2)),"n.a.")</x:f>
        <x:v>0</x:v>
      </x:c>
      <x:c r="O1773" s="30" t="n">
        <x:f>IF(COUNT($I$1772:$I$1776)&lt;&gt;5,"n.a.",IF(I1773=0,6,IF('Inputs'!$D$5=1,COUNTIFS($I$1772:$I$1776,"&gt;0",$I$1772:$I$1776,"&lt;"&amp;I1773)+COUNTIFS($I$1772:I1773,I1773),COUNTIFS($I$1772:$I$1776,"&gt;0",$J$1772:$J$1776,"&gt;"&amp;J1773)+COUNTIFS($I$1772:I1773,"&gt;0",$J$1772:J1773,J1773))))</x:f>
        <x:v>6</x:v>
      </x:c>
      <x:c r="P1773" s="22" t="n">
        <x:f>IF(T1773="Ready",MIN(U1773,MAX(0,G1773-SUMIFS($U$1772:$U$1776,$O$1772:$O$1776,"&lt;"&amp;O1773))),"n.a.")</x:f>
        <x:v>0</x:v>
      </x:c>
      <x:c r="Q1773" s="22" t="n">
        <x:f>IF(T1773="Ready",ROUND(N1773+P1773,2),"n.a.")</x:f>
        <x:v>0</x:v>
      </x:c>
      <x:c r="R1773" s="22" t="n">
        <x:f>IF(T1773="Ready",ROUND(Q1773-M1773,2),"n.a.")</x:f>
        <x:v>0</x:v>
      </x:c>
      <x:c r="S1773" s="22" t="n">
        <x:f>IF(T1773="Ready",MAX(0,ROUND(I1773+M1773-Q1773,2)),"n.a.")</x:f>
        <x:v>0</x:v>
      </x:c>
      <x:c r="T1773" s="22" t="str">
        <x:f>IF(AND(COUNT($I$1772:$I$1776)=5,COUNT(E1773:F1773)=2),IF(E1773&gt;=F1773,"Ready","Budget below minima"),"Check inputs")</x:f>
        <x:v>Ready</x:v>
      </x:c>
      <x:c r="U1773" s="22" t="n">
        <x:f>IF(COUNT(I1773,M1773,N1773)=3,MAX(0,ROUND(I1773+M1773-N1773,2)),"n.a.")</x:f>
        <x:v>0</x:v>
      </x:c>
    </x:row>
    <x:row r="1774" ht="22" customHeight="1">
      <x:c r="A1774" s="2"/>
      <x:c r="B1774" s="2"/>
      <x:c r="C1774" s="27" t="n">
        <x:f>354</x:f>
        <x:v>354</x:v>
      </x:c>
      <x:c r="D1774" s="28" t="n">
        <x:f>IF(ISNUMBER('Inputs'!$D$7),EDATE('Inputs'!$D$7,353),"n.a.")</x:f>
        <x:v>57071</x:v>
      </x:c>
      <x:c r="E1774" s="26" t="n">
        <x:f>IF('Inputs'!$D$9&lt;&gt;"Ready","n.a.",IF(ISNUMBER('Inputs'!E372),IF('Inputs'!E372&gt;=0,'Inputs'!E372,"n.a."),IF('Inputs'!E372="",'Inputs'!$D$6,"n.a.")))</x:f>
        <x:v>500</x:v>
      </x:c>
      <x:c r="F1774" s="22" t="n">
        <x:f>IF(COUNT($N$1772:$N$1776)=5,SUM($N$1772:$N$1776),"n.a.")</x:f>
        <x:v>0</x:v>
      </x:c>
      <x:c r="G1774" s="22" t="n">
        <x:f>IF(COUNT(E1774:F1774)=2,MAX(0,E1774-F1774),"n.a.")</x:f>
        <x:v>500</x:v>
      </x:c>
      <x:c r="H1774" s="26" t="str">
        <x:f>'Inputs'!C13</x:f>
        <x:v>Loan C</x:v>
      </x:c>
      <x:c r="I1774" s="26" t="n">
        <x:f>S1769</x:f>
        <x:v>0</x:v>
      </x:c>
      <x:c r="J1774" s="29" t="n">
        <x:f>IF('Inputs'!$D$9="Ready",'Inputs'!E13,"n.a.")</x:f>
        <x:v>0.08</x:v>
      </x:c>
      <x:c r="K1774" s="26" t="n">
        <x:f>IF('Inputs'!$D$9="Ready",'Inputs'!F13,"n.a.")</x:f>
        <x:v>150</x:v>
      </x:c>
      <x:c r="L1774" s="29" t="n">
        <x:f>IF('Inputs'!$D$9="Ready",'Inputs'!G13,"n.a.")</x:f>
        <x:v>0</x:v>
      </x:c>
      <x:c r="M1774" s="22" t="n">
        <x:f>IF(COUNT(I1774:L1774)=4,ROUND(I1774*J1774/12,2),"n.a.")</x:f>
        <x:v>0</x:v>
      </x:c>
      <x:c r="N1774" s="22" t="n">
        <x:f>IF(COUNT(I1774:M1774)=5,MIN(I1774+M1774,ROUND(MAX(K1774,I1774*L1774+M1774),2)),"n.a.")</x:f>
        <x:v>0</x:v>
      </x:c>
      <x:c r="O1774" s="30" t="n">
        <x:f>IF(COUNT($I$1772:$I$1776)&lt;&gt;5,"n.a.",IF(I1774=0,6,IF('Inputs'!$D$5=1,COUNTIFS($I$1772:$I$1776,"&gt;0",$I$1772:$I$1776,"&lt;"&amp;I1774)+COUNTIFS($I$1772:I1774,I1774),COUNTIFS($I$1772:$I$1776,"&gt;0",$J$1772:$J$1776,"&gt;"&amp;J1774)+COUNTIFS($I$1772:I1774,"&gt;0",$J$1772:J1774,J1774))))</x:f>
        <x:v>6</x:v>
      </x:c>
      <x:c r="P1774" s="22" t="n">
        <x:f>IF(T1774="Ready",MIN(U1774,MAX(0,G1774-SUMIFS($U$1772:$U$1776,$O$1772:$O$1776,"&lt;"&amp;O1774))),"n.a.")</x:f>
        <x:v>0</x:v>
      </x:c>
      <x:c r="Q1774" s="22" t="n">
        <x:f>IF(T1774="Ready",ROUND(N1774+P1774,2),"n.a.")</x:f>
        <x:v>0</x:v>
      </x:c>
      <x:c r="R1774" s="22" t="n">
        <x:f>IF(T1774="Ready",ROUND(Q1774-M1774,2),"n.a.")</x:f>
        <x:v>0</x:v>
      </x:c>
      <x:c r="S1774" s="22" t="n">
        <x:f>IF(T1774="Ready",MAX(0,ROUND(I1774+M1774-Q1774,2)),"n.a.")</x:f>
        <x:v>0</x:v>
      </x:c>
      <x:c r="T1774" s="22" t="str">
        <x:f>IF(AND(COUNT($I$1772:$I$1776)=5,COUNT(E1774:F1774)=2),IF(E1774&gt;=F1774,"Ready","Budget below minima"),"Check inputs")</x:f>
        <x:v>Ready</x:v>
      </x:c>
      <x:c r="U1774" s="22" t="n">
        <x:f>IF(COUNT(I1774,M1774,N1774)=3,MAX(0,ROUND(I1774+M1774-N1774,2)),"n.a.")</x:f>
        <x:v>0</x:v>
      </x:c>
    </x:row>
    <x:row r="1775" ht="22" customHeight="1">
      <x:c r="A1775" s="2"/>
      <x:c r="B1775" s="2"/>
      <x:c r="C1775" s="27" t="n">
        <x:f>354</x:f>
        <x:v>354</x:v>
      </x:c>
      <x:c r="D1775" s="28" t="n">
        <x:f>IF(ISNUMBER('Inputs'!$D$7),EDATE('Inputs'!$D$7,353),"n.a.")</x:f>
        <x:v>57071</x:v>
      </x:c>
      <x:c r="E1775" s="26" t="n">
        <x:f>IF('Inputs'!$D$9&lt;&gt;"Ready","n.a.",IF(ISNUMBER('Inputs'!E372),IF('Inputs'!E372&gt;=0,'Inputs'!E372,"n.a."),IF('Inputs'!E372="",'Inputs'!$D$6,"n.a.")))</x:f>
        <x:v>500</x:v>
      </x:c>
      <x:c r="F1775" s="22" t="n">
        <x:f>IF(COUNT($N$1772:$N$1776)=5,SUM($N$1772:$N$1776),"n.a.")</x:f>
        <x:v>0</x:v>
      </x:c>
      <x:c r="G1775" s="22" t="n">
        <x:f>IF(COUNT(E1775:F1775)=2,MAX(0,E1775-F1775),"n.a.")</x:f>
        <x:v>500</x:v>
      </x:c>
      <x:c r="H1775" s="26" t="str">
        <x:f>'Inputs'!C14</x:f>
        <x:v>Unused 4</x:v>
      </x:c>
      <x:c r="I1775" s="26" t="n">
        <x:f>S1770</x:f>
        <x:v>0</x:v>
      </x:c>
      <x:c r="J1775" s="29" t="n">
        <x:f>IF('Inputs'!$D$9="Ready",'Inputs'!E14,"n.a.")</x:f>
        <x:v>0</x:v>
      </x:c>
      <x:c r="K1775" s="26" t="n">
        <x:f>IF('Inputs'!$D$9="Ready",'Inputs'!F14,"n.a.")</x:f>
        <x:v>0</x:v>
      </x:c>
      <x:c r="L1775" s="29" t="n">
        <x:f>IF('Inputs'!$D$9="Ready",'Inputs'!G14,"n.a.")</x:f>
        <x:v>0</x:v>
      </x:c>
      <x:c r="M1775" s="22" t="n">
        <x:f>IF(COUNT(I1775:L1775)=4,ROUND(I1775*J1775/12,2),"n.a.")</x:f>
        <x:v>0</x:v>
      </x:c>
      <x:c r="N1775" s="22" t="n">
        <x:f>IF(COUNT(I1775:M1775)=5,MIN(I1775+M1775,ROUND(MAX(K1775,I1775*L1775+M1775),2)),"n.a.")</x:f>
        <x:v>0</x:v>
      </x:c>
      <x:c r="O1775" s="30" t="n">
        <x:f>IF(COUNT($I$1772:$I$1776)&lt;&gt;5,"n.a.",IF(I1775=0,6,IF('Inputs'!$D$5=1,COUNTIFS($I$1772:$I$1776,"&gt;0",$I$1772:$I$1776,"&lt;"&amp;I1775)+COUNTIFS($I$1772:I1775,I1775),COUNTIFS($I$1772:$I$1776,"&gt;0",$J$1772:$J$1776,"&gt;"&amp;J1775)+COUNTIFS($I$1772:I1775,"&gt;0",$J$1772:J1775,J1775))))</x:f>
        <x:v>6</x:v>
      </x:c>
      <x:c r="P1775" s="22" t="n">
        <x:f>IF(T1775="Ready",MIN(U1775,MAX(0,G1775-SUMIFS($U$1772:$U$1776,$O$1772:$O$1776,"&lt;"&amp;O1775))),"n.a.")</x:f>
        <x:v>0</x:v>
      </x:c>
      <x:c r="Q1775" s="22" t="n">
        <x:f>IF(T1775="Ready",ROUND(N1775+P1775,2),"n.a.")</x:f>
        <x:v>0</x:v>
      </x:c>
      <x:c r="R1775" s="22" t="n">
        <x:f>IF(T1775="Ready",ROUND(Q1775-M1775,2),"n.a.")</x:f>
        <x:v>0</x:v>
      </x:c>
      <x:c r="S1775" s="22" t="n">
        <x:f>IF(T1775="Ready",MAX(0,ROUND(I1775+M1775-Q1775,2)),"n.a.")</x:f>
        <x:v>0</x:v>
      </x:c>
      <x:c r="T1775" s="22" t="str">
        <x:f>IF(AND(COUNT($I$1772:$I$1776)=5,COUNT(E1775:F1775)=2),IF(E1775&gt;=F1775,"Ready","Budget below minima"),"Check inputs")</x:f>
        <x:v>Ready</x:v>
      </x:c>
      <x:c r="U1775" s="22" t="n">
        <x:f>IF(COUNT(I1775,M1775,N1775)=3,MAX(0,ROUND(I1775+M1775-N1775,2)),"n.a.")</x:f>
        <x:v>0</x:v>
      </x:c>
    </x:row>
    <x:row r="1776" ht="22" customHeight="1">
      <x:c r="A1776" s="2"/>
      <x:c r="B1776" s="2"/>
      <x:c r="C1776" s="27" t="n">
        <x:f>354</x:f>
        <x:v>354</x:v>
      </x:c>
      <x:c r="D1776" s="28" t="n">
        <x:f>IF(ISNUMBER('Inputs'!$D$7),EDATE('Inputs'!$D$7,353),"n.a.")</x:f>
        <x:v>57071</x:v>
      </x:c>
      <x:c r="E1776" s="26" t="n">
        <x:f>IF('Inputs'!$D$9&lt;&gt;"Ready","n.a.",IF(ISNUMBER('Inputs'!E372),IF('Inputs'!E372&gt;=0,'Inputs'!E372,"n.a."),IF('Inputs'!E372="",'Inputs'!$D$6,"n.a.")))</x:f>
        <x:v>500</x:v>
      </x:c>
      <x:c r="F1776" s="22" t="n">
        <x:f>IF(COUNT($N$1772:$N$1776)=5,SUM($N$1772:$N$1776),"n.a.")</x:f>
        <x:v>0</x:v>
      </x:c>
      <x:c r="G1776" s="22" t="n">
        <x:f>IF(COUNT(E1776:F1776)=2,MAX(0,E1776-F1776),"n.a.")</x:f>
        <x:v>500</x:v>
      </x:c>
      <x:c r="H1776" s="26" t="str">
        <x:f>'Inputs'!C15</x:f>
        <x:v>Unused 5</x:v>
      </x:c>
      <x:c r="I1776" s="26" t="n">
        <x:f>S1771</x:f>
        <x:v>0</x:v>
      </x:c>
      <x:c r="J1776" s="29" t="n">
        <x:f>IF('Inputs'!$D$9="Ready",'Inputs'!E15,"n.a.")</x:f>
        <x:v>0</x:v>
      </x:c>
      <x:c r="K1776" s="26" t="n">
        <x:f>IF('Inputs'!$D$9="Ready",'Inputs'!F15,"n.a.")</x:f>
        <x:v>0</x:v>
      </x:c>
      <x:c r="L1776" s="29" t="n">
        <x:f>IF('Inputs'!$D$9="Ready",'Inputs'!G15,"n.a.")</x:f>
        <x:v>0</x:v>
      </x:c>
      <x:c r="M1776" s="22" t="n">
        <x:f>IF(COUNT(I1776:L1776)=4,ROUND(I1776*J1776/12,2),"n.a.")</x:f>
        <x:v>0</x:v>
      </x:c>
      <x:c r="N1776" s="22" t="n">
        <x:f>IF(COUNT(I1776:M1776)=5,MIN(I1776+M1776,ROUND(MAX(K1776,I1776*L1776+M1776),2)),"n.a.")</x:f>
        <x:v>0</x:v>
      </x:c>
      <x:c r="O1776" s="30" t="n">
        <x:f>IF(COUNT($I$1772:$I$1776)&lt;&gt;5,"n.a.",IF(I1776=0,6,IF('Inputs'!$D$5=1,COUNTIFS($I$1772:$I$1776,"&gt;0",$I$1772:$I$1776,"&lt;"&amp;I1776)+COUNTIFS($I$1772:I1776,I1776),COUNTIFS($I$1772:$I$1776,"&gt;0",$J$1772:$J$1776,"&gt;"&amp;J1776)+COUNTIFS($I$1772:I1776,"&gt;0",$J$1772:J1776,J1776))))</x:f>
        <x:v>6</x:v>
      </x:c>
      <x:c r="P1776" s="22" t="n">
        <x:f>IF(T1776="Ready",MIN(U1776,MAX(0,G1776-SUMIFS($U$1772:$U$1776,$O$1772:$O$1776,"&lt;"&amp;O1776))),"n.a.")</x:f>
        <x:v>0</x:v>
      </x:c>
      <x:c r="Q1776" s="22" t="n">
        <x:f>IF(T1776="Ready",ROUND(N1776+P1776,2),"n.a.")</x:f>
        <x:v>0</x:v>
      </x:c>
      <x:c r="R1776" s="22" t="n">
        <x:f>IF(T1776="Ready",ROUND(Q1776-M1776,2),"n.a.")</x:f>
        <x:v>0</x:v>
      </x:c>
      <x:c r="S1776" s="22" t="n">
        <x:f>IF(T1776="Ready",MAX(0,ROUND(I1776+M1776-Q1776,2)),"n.a.")</x:f>
        <x:v>0</x:v>
      </x:c>
      <x:c r="T1776" s="22" t="str">
        <x:f>IF(AND(COUNT($I$1772:$I$1776)=5,COUNT(E1776:F1776)=2),IF(E1776&gt;=F1776,"Ready","Budget below minima"),"Check inputs")</x:f>
        <x:v>Ready</x:v>
      </x:c>
      <x:c r="U1776" s="22" t="n">
        <x:f>IF(COUNT(I1776,M1776,N1776)=3,MAX(0,ROUND(I1776+M1776-N1776,2)),"n.a.")</x:f>
        <x:v>0</x:v>
      </x:c>
    </x:row>
    <x:row r="1777" ht="22" customHeight="1">
      <x:c r="A1777" s="2"/>
      <x:c r="B1777" s="2"/>
      <x:c r="C1777" s="27" t="n">
        <x:f>355</x:f>
        <x:v>355</x:v>
      </x:c>
      <x:c r="D1777" s="28" t="n">
        <x:f>IF(ISNUMBER('Inputs'!$D$7),EDATE('Inputs'!$D$7,354),"n.a.")</x:f>
        <x:v>57101</x:v>
      </x:c>
      <x:c r="E1777" s="26" t="n">
        <x:f>IF('Inputs'!$D$9&lt;&gt;"Ready","n.a.",IF(ISNUMBER('Inputs'!E373),IF('Inputs'!E373&gt;=0,'Inputs'!E373,"n.a."),IF('Inputs'!E373="",'Inputs'!$D$6,"n.a.")))</x:f>
        <x:v>500</x:v>
      </x:c>
      <x:c r="F1777" s="22" t="n">
        <x:f>IF(COUNT($N$1777:$N$1781)=5,SUM($N$1777:$N$1781),"n.a.")</x:f>
        <x:v>0</x:v>
      </x:c>
      <x:c r="G1777" s="22" t="n">
        <x:f>IF(COUNT(E1777:F1777)=2,MAX(0,E1777-F1777),"n.a.")</x:f>
        <x:v>500</x:v>
      </x:c>
      <x:c r="H1777" s="26" t="str">
        <x:f>'Inputs'!C11</x:f>
        <x:v>Card A</x:v>
      </x:c>
      <x:c r="I1777" s="26" t="n">
        <x:f>S1772</x:f>
        <x:v>0</x:v>
      </x:c>
      <x:c r="J1777" s="29" t="n">
        <x:f>IF('Inputs'!$D$9="Ready",'Inputs'!E11,"n.a.")</x:f>
        <x:v>0.24</x:v>
      </x:c>
      <x:c r="K1777" s="26" t="n">
        <x:f>IF('Inputs'!$D$9="Ready",'Inputs'!F11,"n.a.")</x:f>
        <x:v>35</x:v>
      </x:c>
      <x:c r="L1777" s="29" t="n">
        <x:f>IF('Inputs'!$D$9="Ready",'Inputs'!G11,"n.a.")</x:f>
        <x:v>0.02</x:v>
      </x:c>
      <x:c r="M1777" s="22" t="n">
        <x:f>IF(COUNT(I1777:L1777)=4,ROUND(I1777*J1777/12,2),"n.a.")</x:f>
        <x:v>0</x:v>
      </x:c>
      <x:c r="N1777" s="22" t="n">
        <x:f>IF(COUNT(I1777:M1777)=5,MIN(I1777+M1777,ROUND(MAX(K1777,I1777*L1777+M1777),2)),"n.a.")</x:f>
        <x:v>0</x:v>
      </x:c>
      <x:c r="O1777" s="30" t="n">
        <x:f>IF(COUNT($I$1777:$I$1781)&lt;&gt;5,"n.a.",IF(I1777=0,6,IF('Inputs'!$D$5=1,COUNTIFS($I$1777:$I$1781,"&gt;0",$I$1777:$I$1781,"&lt;"&amp;I1777)+COUNTIFS($I$1777:I1777,I1777),COUNTIFS($I$1777:$I$1781,"&gt;0",$J$1777:$J$1781,"&gt;"&amp;J1777)+COUNTIFS($I$1777:I1777,"&gt;0",$J$1777:J1777,J1777))))</x:f>
        <x:v>6</x:v>
      </x:c>
      <x:c r="P1777" s="22" t="n">
        <x:f>IF(T1777="Ready",MIN(U1777,MAX(0,G1777-SUMIFS($U$1777:$U$1781,$O$1777:$O$1781,"&lt;"&amp;O1777))),"n.a.")</x:f>
        <x:v>0</x:v>
      </x:c>
      <x:c r="Q1777" s="22" t="n">
        <x:f>IF(T1777="Ready",ROUND(N1777+P1777,2),"n.a.")</x:f>
        <x:v>0</x:v>
      </x:c>
      <x:c r="R1777" s="22" t="n">
        <x:f>IF(T1777="Ready",ROUND(Q1777-M1777,2),"n.a.")</x:f>
        <x:v>0</x:v>
      </x:c>
      <x:c r="S1777" s="22" t="n">
        <x:f>IF(T1777="Ready",MAX(0,ROUND(I1777+M1777-Q1777,2)),"n.a.")</x:f>
        <x:v>0</x:v>
      </x:c>
      <x:c r="T1777" s="22" t="str">
        <x:f>IF(AND(COUNT($I$1777:$I$1781)=5,COUNT(E1777:F1777)=2),IF(E1777&gt;=F1777,"Ready","Budget below minima"),"Check inputs")</x:f>
        <x:v>Ready</x:v>
      </x:c>
      <x:c r="U1777" s="22" t="n">
        <x:f>IF(COUNT(I1777,M1777,N1777)=3,MAX(0,ROUND(I1777+M1777-N1777,2)),"n.a.")</x:f>
        <x:v>0</x:v>
      </x:c>
    </x:row>
    <x:row r="1778" ht="22" customHeight="1">
      <x:c r="A1778" s="2"/>
      <x:c r="B1778" s="2"/>
      <x:c r="C1778" s="27" t="n">
        <x:f>355</x:f>
        <x:v>355</x:v>
      </x:c>
      <x:c r="D1778" s="28" t="n">
        <x:f>IF(ISNUMBER('Inputs'!$D$7),EDATE('Inputs'!$D$7,354),"n.a.")</x:f>
        <x:v>57101</x:v>
      </x:c>
      <x:c r="E1778" s="26" t="n">
        <x:f>IF('Inputs'!$D$9&lt;&gt;"Ready","n.a.",IF(ISNUMBER('Inputs'!E373),IF('Inputs'!E373&gt;=0,'Inputs'!E373,"n.a."),IF('Inputs'!E373="",'Inputs'!$D$6,"n.a.")))</x:f>
        <x:v>500</x:v>
      </x:c>
      <x:c r="F1778" s="22" t="n">
        <x:f>IF(COUNT($N$1777:$N$1781)=5,SUM($N$1777:$N$1781),"n.a.")</x:f>
        <x:v>0</x:v>
      </x:c>
      <x:c r="G1778" s="22" t="n">
        <x:f>IF(COUNT(E1778:F1778)=2,MAX(0,E1778-F1778),"n.a.")</x:f>
        <x:v>500</x:v>
      </x:c>
      <x:c r="H1778" s="26" t="str">
        <x:f>'Inputs'!C12</x:f>
        <x:v>Card B</x:v>
      </x:c>
      <x:c r="I1778" s="26" t="n">
        <x:f>S1773</x:f>
        <x:v>0</x:v>
      </x:c>
      <x:c r="J1778" s="29" t="n">
        <x:f>IF('Inputs'!$D$9="Ready",'Inputs'!E12,"n.a.")</x:f>
        <x:v>0.18</x:v>
      </x:c>
      <x:c r="K1778" s="26" t="n">
        <x:f>IF('Inputs'!$D$9="Ready",'Inputs'!F12,"n.a.")</x:f>
        <x:v>60</x:v>
      </x:c>
      <x:c r="L1778" s="29" t="n">
        <x:f>IF('Inputs'!$D$9="Ready",'Inputs'!G12,"n.a.")</x:f>
        <x:v>0.02</x:v>
      </x:c>
      <x:c r="M1778" s="22" t="n">
        <x:f>IF(COUNT(I1778:L1778)=4,ROUND(I1778*J1778/12,2),"n.a.")</x:f>
        <x:v>0</x:v>
      </x:c>
      <x:c r="N1778" s="22" t="n">
        <x:f>IF(COUNT(I1778:M1778)=5,MIN(I1778+M1778,ROUND(MAX(K1778,I1778*L1778+M1778),2)),"n.a.")</x:f>
        <x:v>0</x:v>
      </x:c>
      <x:c r="O1778" s="30" t="n">
        <x:f>IF(COUNT($I$1777:$I$1781)&lt;&gt;5,"n.a.",IF(I1778=0,6,IF('Inputs'!$D$5=1,COUNTIFS($I$1777:$I$1781,"&gt;0",$I$1777:$I$1781,"&lt;"&amp;I1778)+COUNTIFS($I$1777:I1778,I1778),COUNTIFS($I$1777:$I$1781,"&gt;0",$J$1777:$J$1781,"&gt;"&amp;J1778)+COUNTIFS($I$1777:I1778,"&gt;0",$J$1777:J1778,J1778))))</x:f>
        <x:v>6</x:v>
      </x:c>
      <x:c r="P1778" s="22" t="n">
        <x:f>IF(T1778="Ready",MIN(U1778,MAX(0,G1778-SUMIFS($U$1777:$U$1781,$O$1777:$O$1781,"&lt;"&amp;O1778))),"n.a.")</x:f>
        <x:v>0</x:v>
      </x:c>
      <x:c r="Q1778" s="22" t="n">
        <x:f>IF(T1778="Ready",ROUND(N1778+P1778,2),"n.a.")</x:f>
        <x:v>0</x:v>
      </x:c>
      <x:c r="R1778" s="22" t="n">
        <x:f>IF(T1778="Ready",ROUND(Q1778-M1778,2),"n.a.")</x:f>
        <x:v>0</x:v>
      </x:c>
      <x:c r="S1778" s="22" t="n">
        <x:f>IF(T1778="Ready",MAX(0,ROUND(I1778+M1778-Q1778,2)),"n.a.")</x:f>
        <x:v>0</x:v>
      </x:c>
      <x:c r="T1778" s="22" t="str">
        <x:f>IF(AND(COUNT($I$1777:$I$1781)=5,COUNT(E1778:F1778)=2),IF(E1778&gt;=F1778,"Ready","Budget below minima"),"Check inputs")</x:f>
        <x:v>Ready</x:v>
      </x:c>
      <x:c r="U1778" s="22" t="n">
        <x:f>IF(COUNT(I1778,M1778,N1778)=3,MAX(0,ROUND(I1778+M1778-N1778,2)),"n.a.")</x:f>
        <x:v>0</x:v>
      </x:c>
    </x:row>
    <x:row r="1779" ht="22" customHeight="1">
      <x:c r="A1779" s="2"/>
      <x:c r="B1779" s="2"/>
      <x:c r="C1779" s="27" t="n">
        <x:f>355</x:f>
        <x:v>355</x:v>
      </x:c>
      <x:c r="D1779" s="28" t="n">
        <x:f>IF(ISNUMBER('Inputs'!$D$7),EDATE('Inputs'!$D$7,354),"n.a.")</x:f>
        <x:v>57101</x:v>
      </x:c>
      <x:c r="E1779" s="26" t="n">
        <x:f>IF('Inputs'!$D$9&lt;&gt;"Ready","n.a.",IF(ISNUMBER('Inputs'!E373),IF('Inputs'!E373&gt;=0,'Inputs'!E373,"n.a."),IF('Inputs'!E373="",'Inputs'!$D$6,"n.a.")))</x:f>
        <x:v>500</x:v>
      </x:c>
      <x:c r="F1779" s="22" t="n">
        <x:f>IF(COUNT($N$1777:$N$1781)=5,SUM($N$1777:$N$1781),"n.a.")</x:f>
        <x:v>0</x:v>
      </x:c>
      <x:c r="G1779" s="22" t="n">
        <x:f>IF(COUNT(E1779:F1779)=2,MAX(0,E1779-F1779),"n.a.")</x:f>
        <x:v>500</x:v>
      </x:c>
      <x:c r="H1779" s="26" t="str">
        <x:f>'Inputs'!C13</x:f>
        <x:v>Loan C</x:v>
      </x:c>
      <x:c r="I1779" s="26" t="n">
        <x:f>S1774</x:f>
        <x:v>0</x:v>
      </x:c>
      <x:c r="J1779" s="29" t="n">
        <x:f>IF('Inputs'!$D$9="Ready",'Inputs'!E13,"n.a.")</x:f>
        <x:v>0.08</x:v>
      </x:c>
      <x:c r="K1779" s="26" t="n">
        <x:f>IF('Inputs'!$D$9="Ready",'Inputs'!F13,"n.a.")</x:f>
        <x:v>150</x:v>
      </x:c>
      <x:c r="L1779" s="29" t="n">
        <x:f>IF('Inputs'!$D$9="Ready",'Inputs'!G13,"n.a.")</x:f>
        <x:v>0</x:v>
      </x:c>
      <x:c r="M1779" s="22" t="n">
        <x:f>IF(COUNT(I1779:L1779)=4,ROUND(I1779*J1779/12,2),"n.a.")</x:f>
        <x:v>0</x:v>
      </x:c>
      <x:c r="N1779" s="22" t="n">
        <x:f>IF(COUNT(I1779:M1779)=5,MIN(I1779+M1779,ROUND(MAX(K1779,I1779*L1779+M1779),2)),"n.a.")</x:f>
        <x:v>0</x:v>
      </x:c>
      <x:c r="O1779" s="30" t="n">
        <x:f>IF(COUNT($I$1777:$I$1781)&lt;&gt;5,"n.a.",IF(I1779=0,6,IF('Inputs'!$D$5=1,COUNTIFS($I$1777:$I$1781,"&gt;0",$I$1777:$I$1781,"&lt;"&amp;I1779)+COUNTIFS($I$1777:I1779,I1779),COUNTIFS($I$1777:$I$1781,"&gt;0",$J$1777:$J$1781,"&gt;"&amp;J1779)+COUNTIFS($I$1777:I1779,"&gt;0",$J$1777:J1779,J1779))))</x:f>
        <x:v>6</x:v>
      </x:c>
      <x:c r="P1779" s="22" t="n">
        <x:f>IF(T1779="Ready",MIN(U1779,MAX(0,G1779-SUMIFS($U$1777:$U$1781,$O$1777:$O$1781,"&lt;"&amp;O1779))),"n.a.")</x:f>
        <x:v>0</x:v>
      </x:c>
      <x:c r="Q1779" s="22" t="n">
        <x:f>IF(T1779="Ready",ROUND(N1779+P1779,2),"n.a.")</x:f>
        <x:v>0</x:v>
      </x:c>
      <x:c r="R1779" s="22" t="n">
        <x:f>IF(T1779="Ready",ROUND(Q1779-M1779,2),"n.a.")</x:f>
        <x:v>0</x:v>
      </x:c>
      <x:c r="S1779" s="22" t="n">
        <x:f>IF(T1779="Ready",MAX(0,ROUND(I1779+M1779-Q1779,2)),"n.a.")</x:f>
        <x:v>0</x:v>
      </x:c>
      <x:c r="T1779" s="22" t="str">
        <x:f>IF(AND(COUNT($I$1777:$I$1781)=5,COUNT(E1779:F1779)=2),IF(E1779&gt;=F1779,"Ready","Budget below minima"),"Check inputs")</x:f>
        <x:v>Ready</x:v>
      </x:c>
      <x:c r="U1779" s="22" t="n">
        <x:f>IF(COUNT(I1779,M1779,N1779)=3,MAX(0,ROUND(I1779+M1779-N1779,2)),"n.a.")</x:f>
        <x:v>0</x:v>
      </x:c>
    </x:row>
    <x:row r="1780" ht="22" customHeight="1">
      <x:c r="A1780" s="2"/>
      <x:c r="B1780" s="2"/>
      <x:c r="C1780" s="27" t="n">
        <x:f>355</x:f>
        <x:v>355</x:v>
      </x:c>
      <x:c r="D1780" s="28" t="n">
        <x:f>IF(ISNUMBER('Inputs'!$D$7),EDATE('Inputs'!$D$7,354),"n.a.")</x:f>
        <x:v>57101</x:v>
      </x:c>
      <x:c r="E1780" s="26" t="n">
        <x:f>IF('Inputs'!$D$9&lt;&gt;"Ready","n.a.",IF(ISNUMBER('Inputs'!E373),IF('Inputs'!E373&gt;=0,'Inputs'!E373,"n.a."),IF('Inputs'!E373="",'Inputs'!$D$6,"n.a.")))</x:f>
        <x:v>500</x:v>
      </x:c>
      <x:c r="F1780" s="22" t="n">
        <x:f>IF(COUNT($N$1777:$N$1781)=5,SUM($N$1777:$N$1781),"n.a.")</x:f>
        <x:v>0</x:v>
      </x:c>
      <x:c r="G1780" s="22" t="n">
        <x:f>IF(COUNT(E1780:F1780)=2,MAX(0,E1780-F1780),"n.a.")</x:f>
        <x:v>500</x:v>
      </x:c>
      <x:c r="H1780" s="26" t="str">
        <x:f>'Inputs'!C14</x:f>
        <x:v>Unused 4</x:v>
      </x:c>
      <x:c r="I1780" s="26" t="n">
        <x:f>S1775</x:f>
        <x:v>0</x:v>
      </x:c>
      <x:c r="J1780" s="29" t="n">
        <x:f>IF('Inputs'!$D$9="Ready",'Inputs'!E14,"n.a.")</x:f>
        <x:v>0</x:v>
      </x:c>
      <x:c r="K1780" s="26" t="n">
        <x:f>IF('Inputs'!$D$9="Ready",'Inputs'!F14,"n.a.")</x:f>
        <x:v>0</x:v>
      </x:c>
      <x:c r="L1780" s="29" t="n">
        <x:f>IF('Inputs'!$D$9="Ready",'Inputs'!G14,"n.a.")</x:f>
        <x:v>0</x:v>
      </x:c>
      <x:c r="M1780" s="22" t="n">
        <x:f>IF(COUNT(I1780:L1780)=4,ROUND(I1780*J1780/12,2),"n.a.")</x:f>
        <x:v>0</x:v>
      </x:c>
      <x:c r="N1780" s="22" t="n">
        <x:f>IF(COUNT(I1780:M1780)=5,MIN(I1780+M1780,ROUND(MAX(K1780,I1780*L1780+M1780),2)),"n.a.")</x:f>
        <x:v>0</x:v>
      </x:c>
      <x:c r="O1780" s="30" t="n">
        <x:f>IF(COUNT($I$1777:$I$1781)&lt;&gt;5,"n.a.",IF(I1780=0,6,IF('Inputs'!$D$5=1,COUNTIFS($I$1777:$I$1781,"&gt;0",$I$1777:$I$1781,"&lt;"&amp;I1780)+COUNTIFS($I$1777:I1780,I1780),COUNTIFS($I$1777:$I$1781,"&gt;0",$J$1777:$J$1781,"&gt;"&amp;J1780)+COUNTIFS($I$1777:I1780,"&gt;0",$J$1777:J1780,J1780))))</x:f>
        <x:v>6</x:v>
      </x:c>
      <x:c r="P1780" s="22" t="n">
        <x:f>IF(T1780="Ready",MIN(U1780,MAX(0,G1780-SUMIFS($U$1777:$U$1781,$O$1777:$O$1781,"&lt;"&amp;O1780))),"n.a.")</x:f>
        <x:v>0</x:v>
      </x:c>
      <x:c r="Q1780" s="22" t="n">
        <x:f>IF(T1780="Ready",ROUND(N1780+P1780,2),"n.a.")</x:f>
        <x:v>0</x:v>
      </x:c>
      <x:c r="R1780" s="22" t="n">
        <x:f>IF(T1780="Ready",ROUND(Q1780-M1780,2),"n.a.")</x:f>
        <x:v>0</x:v>
      </x:c>
      <x:c r="S1780" s="22" t="n">
        <x:f>IF(T1780="Ready",MAX(0,ROUND(I1780+M1780-Q1780,2)),"n.a.")</x:f>
        <x:v>0</x:v>
      </x:c>
      <x:c r="T1780" s="22" t="str">
        <x:f>IF(AND(COUNT($I$1777:$I$1781)=5,COUNT(E1780:F1780)=2),IF(E1780&gt;=F1780,"Ready","Budget below minima"),"Check inputs")</x:f>
        <x:v>Ready</x:v>
      </x:c>
      <x:c r="U1780" s="22" t="n">
        <x:f>IF(COUNT(I1780,M1780,N1780)=3,MAX(0,ROUND(I1780+M1780-N1780,2)),"n.a.")</x:f>
        <x:v>0</x:v>
      </x:c>
    </x:row>
    <x:row r="1781" ht="22" customHeight="1">
      <x:c r="A1781" s="2"/>
      <x:c r="B1781" s="2"/>
      <x:c r="C1781" s="27" t="n">
        <x:f>355</x:f>
        <x:v>355</x:v>
      </x:c>
      <x:c r="D1781" s="28" t="n">
        <x:f>IF(ISNUMBER('Inputs'!$D$7),EDATE('Inputs'!$D$7,354),"n.a.")</x:f>
        <x:v>57101</x:v>
      </x:c>
      <x:c r="E1781" s="26" t="n">
        <x:f>IF('Inputs'!$D$9&lt;&gt;"Ready","n.a.",IF(ISNUMBER('Inputs'!E373),IF('Inputs'!E373&gt;=0,'Inputs'!E373,"n.a."),IF('Inputs'!E373="",'Inputs'!$D$6,"n.a.")))</x:f>
        <x:v>500</x:v>
      </x:c>
      <x:c r="F1781" s="22" t="n">
        <x:f>IF(COUNT($N$1777:$N$1781)=5,SUM($N$1777:$N$1781),"n.a.")</x:f>
        <x:v>0</x:v>
      </x:c>
      <x:c r="G1781" s="22" t="n">
        <x:f>IF(COUNT(E1781:F1781)=2,MAX(0,E1781-F1781),"n.a.")</x:f>
        <x:v>500</x:v>
      </x:c>
      <x:c r="H1781" s="26" t="str">
        <x:f>'Inputs'!C15</x:f>
        <x:v>Unused 5</x:v>
      </x:c>
      <x:c r="I1781" s="26" t="n">
        <x:f>S1776</x:f>
        <x:v>0</x:v>
      </x:c>
      <x:c r="J1781" s="29" t="n">
        <x:f>IF('Inputs'!$D$9="Ready",'Inputs'!E15,"n.a.")</x:f>
        <x:v>0</x:v>
      </x:c>
      <x:c r="K1781" s="26" t="n">
        <x:f>IF('Inputs'!$D$9="Ready",'Inputs'!F15,"n.a.")</x:f>
        <x:v>0</x:v>
      </x:c>
      <x:c r="L1781" s="29" t="n">
        <x:f>IF('Inputs'!$D$9="Ready",'Inputs'!G15,"n.a.")</x:f>
        <x:v>0</x:v>
      </x:c>
      <x:c r="M1781" s="22" t="n">
        <x:f>IF(COUNT(I1781:L1781)=4,ROUND(I1781*J1781/12,2),"n.a.")</x:f>
        <x:v>0</x:v>
      </x:c>
      <x:c r="N1781" s="22" t="n">
        <x:f>IF(COUNT(I1781:M1781)=5,MIN(I1781+M1781,ROUND(MAX(K1781,I1781*L1781+M1781),2)),"n.a.")</x:f>
        <x:v>0</x:v>
      </x:c>
      <x:c r="O1781" s="30" t="n">
        <x:f>IF(COUNT($I$1777:$I$1781)&lt;&gt;5,"n.a.",IF(I1781=0,6,IF('Inputs'!$D$5=1,COUNTIFS($I$1777:$I$1781,"&gt;0",$I$1777:$I$1781,"&lt;"&amp;I1781)+COUNTIFS($I$1777:I1781,I1781),COUNTIFS($I$1777:$I$1781,"&gt;0",$J$1777:$J$1781,"&gt;"&amp;J1781)+COUNTIFS($I$1777:I1781,"&gt;0",$J$1777:J1781,J1781))))</x:f>
        <x:v>6</x:v>
      </x:c>
      <x:c r="P1781" s="22" t="n">
        <x:f>IF(T1781="Ready",MIN(U1781,MAX(0,G1781-SUMIFS($U$1777:$U$1781,$O$1777:$O$1781,"&lt;"&amp;O1781))),"n.a.")</x:f>
        <x:v>0</x:v>
      </x:c>
      <x:c r="Q1781" s="22" t="n">
        <x:f>IF(T1781="Ready",ROUND(N1781+P1781,2),"n.a.")</x:f>
        <x:v>0</x:v>
      </x:c>
      <x:c r="R1781" s="22" t="n">
        <x:f>IF(T1781="Ready",ROUND(Q1781-M1781,2),"n.a.")</x:f>
        <x:v>0</x:v>
      </x:c>
      <x:c r="S1781" s="22" t="n">
        <x:f>IF(T1781="Ready",MAX(0,ROUND(I1781+M1781-Q1781,2)),"n.a.")</x:f>
        <x:v>0</x:v>
      </x:c>
      <x:c r="T1781" s="22" t="str">
        <x:f>IF(AND(COUNT($I$1777:$I$1781)=5,COUNT(E1781:F1781)=2),IF(E1781&gt;=F1781,"Ready","Budget below minima"),"Check inputs")</x:f>
        <x:v>Ready</x:v>
      </x:c>
      <x:c r="U1781" s="22" t="n">
        <x:f>IF(COUNT(I1781,M1781,N1781)=3,MAX(0,ROUND(I1781+M1781-N1781,2)),"n.a.")</x:f>
        <x:v>0</x:v>
      </x:c>
    </x:row>
    <x:row r="1782" ht="22" customHeight="1">
      <x:c r="A1782" s="2"/>
      <x:c r="B1782" s="2"/>
      <x:c r="C1782" s="27" t="n">
        <x:f>356</x:f>
        <x:v>356</x:v>
      </x:c>
      <x:c r="D1782" s="28" t="n">
        <x:f>IF(ISNUMBER('Inputs'!$D$7),EDATE('Inputs'!$D$7,355),"n.a.")</x:f>
        <x:v>57132</x:v>
      </x:c>
      <x:c r="E1782" s="26" t="n">
        <x:f>IF('Inputs'!$D$9&lt;&gt;"Ready","n.a.",IF(ISNUMBER('Inputs'!E374),IF('Inputs'!E374&gt;=0,'Inputs'!E374,"n.a."),IF('Inputs'!E374="",'Inputs'!$D$6,"n.a.")))</x:f>
        <x:v>500</x:v>
      </x:c>
      <x:c r="F1782" s="22" t="n">
        <x:f>IF(COUNT($N$1782:$N$1786)=5,SUM($N$1782:$N$1786),"n.a.")</x:f>
        <x:v>0</x:v>
      </x:c>
      <x:c r="G1782" s="22" t="n">
        <x:f>IF(COUNT(E1782:F1782)=2,MAX(0,E1782-F1782),"n.a.")</x:f>
        <x:v>500</x:v>
      </x:c>
      <x:c r="H1782" s="26" t="str">
        <x:f>'Inputs'!C11</x:f>
        <x:v>Card A</x:v>
      </x:c>
      <x:c r="I1782" s="26" t="n">
        <x:f>S1777</x:f>
        <x:v>0</x:v>
      </x:c>
      <x:c r="J1782" s="29" t="n">
        <x:f>IF('Inputs'!$D$9="Ready",'Inputs'!E11,"n.a.")</x:f>
        <x:v>0.24</x:v>
      </x:c>
      <x:c r="K1782" s="26" t="n">
        <x:f>IF('Inputs'!$D$9="Ready",'Inputs'!F11,"n.a.")</x:f>
        <x:v>35</x:v>
      </x:c>
      <x:c r="L1782" s="29" t="n">
        <x:f>IF('Inputs'!$D$9="Ready",'Inputs'!G11,"n.a.")</x:f>
        <x:v>0.02</x:v>
      </x:c>
      <x:c r="M1782" s="22" t="n">
        <x:f>IF(COUNT(I1782:L1782)=4,ROUND(I1782*J1782/12,2),"n.a.")</x:f>
        <x:v>0</x:v>
      </x:c>
      <x:c r="N1782" s="22" t="n">
        <x:f>IF(COUNT(I1782:M1782)=5,MIN(I1782+M1782,ROUND(MAX(K1782,I1782*L1782+M1782),2)),"n.a.")</x:f>
        <x:v>0</x:v>
      </x:c>
      <x:c r="O1782" s="30" t="n">
        <x:f>IF(COUNT($I$1782:$I$1786)&lt;&gt;5,"n.a.",IF(I1782=0,6,IF('Inputs'!$D$5=1,COUNTIFS($I$1782:$I$1786,"&gt;0",$I$1782:$I$1786,"&lt;"&amp;I1782)+COUNTIFS($I$1782:I1782,I1782),COUNTIFS($I$1782:$I$1786,"&gt;0",$J$1782:$J$1786,"&gt;"&amp;J1782)+COUNTIFS($I$1782:I1782,"&gt;0",$J$1782:J1782,J1782))))</x:f>
        <x:v>6</x:v>
      </x:c>
      <x:c r="P1782" s="22" t="n">
        <x:f>IF(T1782="Ready",MIN(U1782,MAX(0,G1782-SUMIFS($U$1782:$U$1786,$O$1782:$O$1786,"&lt;"&amp;O1782))),"n.a.")</x:f>
        <x:v>0</x:v>
      </x:c>
      <x:c r="Q1782" s="22" t="n">
        <x:f>IF(T1782="Ready",ROUND(N1782+P1782,2),"n.a.")</x:f>
        <x:v>0</x:v>
      </x:c>
      <x:c r="R1782" s="22" t="n">
        <x:f>IF(T1782="Ready",ROUND(Q1782-M1782,2),"n.a.")</x:f>
        <x:v>0</x:v>
      </x:c>
      <x:c r="S1782" s="22" t="n">
        <x:f>IF(T1782="Ready",MAX(0,ROUND(I1782+M1782-Q1782,2)),"n.a.")</x:f>
        <x:v>0</x:v>
      </x:c>
      <x:c r="T1782" s="22" t="str">
        <x:f>IF(AND(COUNT($I$1782:$I$1786)=5,COUNT(E1782:F1782)=2),IF(E1782&gt;=F1782,"Ready","Budget below minima"),"Check inputs")</x:f>
        <x:v>Ready</x:v>
      </x:c>
      <x:c r="U1782" s="22" t="n">
        <x:f>IF(COUNT(I1782,M1782,N1782)=3,MAX(0,ROUND(I1782+M1782-N1782,2)),"n.a.")</x:f>
        <x:v>0</x:v>
      </x:c>
    </x:row>
    <x:row r="1783" ht="22" customHeight="1">
      <x:c r="A1783" s="2"/>
      <x:c r="B1783" s="2"/>
      <x:c r="C1783" s="27" t="n">
        <x:f>356</x:f>
        <x:v>356</x:v>
      </x:c>
      <x:c r="D1783" s="28" t="n">
        <x:f>IF(ISNUMBER('Inputs'!$D$7),EDATE('Inputs'!$D$7,355),"n.a.")</x:f>
        <x:v>57132</x:v>
      </x:c>
      <x:c r="E1783" s="26" t="n">
        <x:f>IF('Inputs'!$D$9&lt;&gt;"Ready","n.a.",IF(ISNUMBER('Inputs'!E374),IF('Inputs'!E374&gt;=0,'Inputs'!E374,"n.a."),IF('Inputs'!E374="",'Inputs'!$D$6,"n.a.")))</x:f>
        <x:v>500</x:v>
      </x:c>
      <x:c r="F1783" s="22" t="n">
        <x:f>IF(COUNT($N$1782:$N$1786)=5,SUM($N$1782:$N$1786),"n.a.")</x:f>
        <x:v>0</x:v>
      </x:c>
      <x:c r="G1783" s="22" t="n">
        <x:f>IF(COUNT(E1783:F1783)=2,MAX(0,E1783-F1783),"n.a.")</x:f>
        <x:v>500</x:v>
      </x:c>
      <x:c r="H1783" s="26" t="str">
        <x:f>'Inputs'!C12</x:f>
        <x:v>Card B</x:v>
      </x:c>
      <x:c r="I1783" s="26" t="n">
        <x:f>S1778</x:f>
        <x:v>0</x:v>
      </x:c>
      <x:c r="J1783" s="29" t="n">
        <x:f>IF('Inputs'!$D$9="Ready",'Inputs'!E12,"n.a.")</x:f>
        <x:v>0.18</x:v>
      </x:c>
      <x:c r="K1783" s="26" t="n">
        <x:f>IF('Inputs'!$D$9="Ready",'Inputs'!F12,"n.a.")</x:f>
        <x:v>60</x:v>
      </x:c>
      <x:c r="L1783" s="29" t="n">
        <x:f>IF('Inputs'!$D$9="Ready",'Inputs'!G12,"n.a.")</x:f>
        <x:v>0.02</x:v>
      </x:c>
      <x:c r="M1783" s="22" t="n">
        <x:f>IF(COUNT(I1783:L1783)=4,ROUND(I1783*J1783/12,2),"n.a.")</x:f>
        <x:v>0</x:v>
      </x:c>
      <x:c r="N1783" s="22" t="n">
        <x:f>IF(COUNT(I1783:M1783)=5,MIN(I1783+M1783,ROUND(MAX(K1783,I1783*L1783+M1783),2)),"n.a.")</x:f>
        <x:v>0</x:v>
      </x:c>
      <x:c r="O1783" s="30" t="n">
        <x:f>IF(COUNT($I$1782:$I$1786)&lt;&gt;5,"n.a.",IF(I1783=0,6,IF('Inputs'!$D$5=1,COUNTIFS($I$1782:$I$1786,"&gt;0",$I$1782:$I$1786,"&lt;"&amp;I1783)+COUNTIFS($I$1782:I1783,I1783),COUNTIFS($I$1782:$I$1786,"&gt;0",$J$1782:$J$1786,"&gt;"&amp;J1783)+COUNTIFS($I$1782:I1783,"&gt;0",$J$1782:J1783,J1783))))</x:f>
        <x:v>6</x:v>
      </x:c>
      <x:c r="P1783" s="22" t="n">
        <x:f>IF(T1783="Ready",MIN(U1783,MAX(0,G1783-SUMIFS($U$1782:$U$1786,$O$1782:$O$1786,"&lt;"&amp;O1783))),"n.a.")</x:f>
        <x:v>0</x:v>
      </x:c>
      <x:c r="Q1783" s="22" t="n">
        <x:f>IF(T1783="Ready",ROUND(N1783+P1783,2),"n.a.")</x:f>
        <x:v>0</x:v>
      </x:c>
      <x:c r="R1783" s="22" t="n">
        <x:f>IF(T1783="Ready",ROUND(Q1783-M1783,2),"n.a.")</x:f>
        <x:v>0</x:v>
      </x:c>
      <x:c r="S1783" s="22" t="n">
        <x:f>IF(T1783="Ready",MAX(0,ROUND(I1783+M1783-Q1783,2)),"n.a.")</x:f>
        <x:v>0</x:v>
      </x:c>
      <x:c r="T1783" s="22" t="str">
        <x:f>IF(AND(COUNT($I$1782:$I$1786)=5,COUNT(E1783:F1783)=2),IF(E1783&gt;=F1783,"Ready","Budget below minima"),"Check inputs")</x:f>
        <x:v>Ready</x:v>
      </x:c>
      <x:c r="U1783" s="22" t="n">
        <x:f>IF(COUNT(I1783,M1783,N1783)=3,MAX(0,ROUND(I1783+M1783-N1783,2)),"n.a.")</x:f>
        <x:v>0</x:v>
      </x:c>
    </x:row>
    <x:row r="1784" ht="22" customHeight="1">
      <x:c r="A1784" s="2"/>
      <x:c r="B1784" s="2"/>
      <x:c r="C1784" s="27" t="n">
        <x:f>356</x:f>
        <x:v>356</x:v>
      </x:c>
      <x:c r="D1784" s="28" t="n">
        <x:f>IF(ISNUMBER('Inputs'!$D$7),EDATE('Inputs'!$D$7,355),"n.a.")</x:f>
        <x:v>57132</x:v>
      </x:c>
      <x:c r="E1784" s="26" t="n">
        <x:f>IF('Inputs'!$D$9&lt;&gt;"Ready","n.a.",IF(ISNUMBER('Inputs'!E374),IF('Inputs'!E374&gt;=0,'Inputs'!E374,"n.a."),IF('Inputs'!E374="",'Inputs'!$D$6,"n.a.")))</x:f>
        <x:v>500</x:v>
      </x:c>
      <x:c r="F1784" s="22" t="n">
        <x:f>IF(COUNT($N$1782:$N$1786)=5,SUM($N$1782:$N$1786),"n.a.")</x:f>
        <x:v>0</x:v>
      </x:c>
      <x:c r="G1784" s="22" t="n">
        <x:f>IF(COUNT(E1784:F1784)=2,MAX(0,E1784-F1784),"n.a.")</x:f>
        <x:v>500</x:v>
      </x:c>
      <x:c r="H1784" s="26" t="str">
        <x:f>'Inputs'!C13</x:f>
        <x:v>Loan C</x:v>
      </x:c>
      <x:c r="I1784" s="26" t="n">
        <x:f>S1779</x:f>
        <x:v>0</x:v>
      </x:c>
      <x:c r="J1784" s="29" t="n">
        <x:f>IF('Inputs'!$D$9="Ready",'Inputs'!E13,"n.a.")</x:f>
        <x:v>0.08</x:v>
      </x:c>
      <x:c r="K1784" s="26" t="n">
        <x:f>IF('Inputs'!$D$9="Ready",'Inputs'!F13,"n.a.")</x:f>
        <x:v>150</x:v>
      </x:c>
      <x:c r="L1784" s="29" t="n">
        <x:f>IF('Inputs'!$D$9="Ready",'Inputs'!G13,"n.a.")</x:f>
        <x:v>0</x:v>
      </x:c>
      <x:c r="M1784" s="22" t="n">
        <x:f>IF(COUNT(I1784:L1784)=4,ROUND(I1784*J1784/12,2),"n.a.")</x:f>
        <x:v>0</x:v>
      </x:c>
      <x:c r="N1784" s="22" t="n">
        <x:f>IF(COUNT(I1784:M1784)=5,MIN(I1784+M1784,ROUND(MAX(K1784,I1784*L1784+M1784),2)),"n.a.")</x:f>
        <x:v>0</x:v>
      </x:c>
      <x:c r="O1784" s="30" t="n">
        <x:f>IF(COUNT($I$1782:$I$1786)&lt;&gt;5,"n.a.",IF(I1784=0,6,IF('Inputs'!$D$5=1,COUNTIFS($I$1782:$I$1786,"&gt;0",$I$1782:$I$1786,"&lt;"&amp;I1784)+COUNTIFS($I$1782:I1784,I1784),COUNTIFS($I$1782:$I$1786,"&gt;0",$J$1782:$J$1786,"&gt;"&amp;J1784)+COUNTIFS($I$1782:I1784,"&gt;0",$J$1782:J1784,J1784))))</x:f>
        <x:v>6</x:v>
      </x:c>
      <x:c r="P1784" s="22" t="n">
        <x:f>IF(T1784="Ready",MIN(U1784,MAX(0,G1784-SUMIFS($U$1782:$U$1786,$O$1782:$O$1786,"&lt;"&amp;O1784))),"n.a.")</x:f>
        <x:v>0</x:v>
      </x:c>
      <x:c r="Q1784" s="22" t="n">
        <x:f>IF(T1784="Ready",ROUND(N1784+P1784,2),"n.a.")</x:f>
        <x:v>0</x:v>
      </x:c>
      <x:c r="R1784" s="22" t="n">
        <x:f>IF(T1784="Ready",ROUND(Q1784-M1784,2),"n.a.")</x:f>
        <x:v>0</x:v>
      </x:c>
      <x:c r="S1784" s="22" t="n">
        <x:f>IF(T1784="Ready",MAX(0,ROUND(I1784+M1784-Q1784,2)),"n.a.")</x:f>
        <x:v>0</x:v>
      </x:c>
      <x:c r="T1784" s="22" t="str">
        <x:f>IF(AND(COUNT($I$1782:$I$1786)=5,COUNT(E1784:F1784)=2),IF(E1784&gt;=F1784,"Ready","Budget below minima"),"Check inputs")</x:f>
        <x:v>Ready</x:v>
      </x:c>
      <x:c r="U1784" s="22" t="n">
        <x:f>IF(COUNT(I1784,M1784,N1784)=3,MAX(0,ROUND(I1784+M1784-N1784,2)),"n.a.")</x:f>
        <x:v>0</x:v>
      </x:c>
    </x:row>
    <x:row r="1785" ht="22" customHeight="1">
      <x:c r="A1785" s="2"/>
      <x:c r="B1785" s="2"/>
      <x:c r="C1785" s="27" t="n">
        <x:f>356</x:f>
        <x:v>356</x:v>
      </x:c>
      <x:c r="D1785" s="28" t="n">
        <x:f>IF(ISNUMBER('Inputs'!$D$7),EDATE('Inputs'!$D$7,355),"n.a.")</x:f>
        <x:v>57132</x:v>
      </x:c>
      <x:c r="E1785" s="26" t="n">
        <x:f>IF('Inputs'!$D$9&lt;&gt;"Ready","n.a.",IF(ISNUMBER('Inputs'!E374),IF('Inputs'!E374&gt;=0,'Inputs'!E374,"n.a."),IF('Inputs'!E374="",'Inputs'!$D$6,"n.a.")))</x:f>
        <x:v>500</x:v>
      </x:c>
      <x:c r="F1785" s="22" t="n">
        <x:f>IF(COUNT($N$1782:$N$1786)=5,SUM($N$1782:$N$1786),"n.a.")</x:f>
        <x:v>0</x:v>
      </x:c>
      <x:c r="G1785" s="22" t="n">
        <x:f>IF(COUNT(E1785:F1785)=2,MAX(0,E1785-F1785),"n.a.")</x:f>
        <x:v>500</x:v>
      </x:c>
      <x:c r="H1785" s="26" t="str">
        <x:f>'Inputs'!C14</x:f>
        <x:v>Unused 4</x:v>
      </x:c>
      <x:c r="I1785" s="26" t="n">
        <x:f>S1780</x:f>
        <x:v>0</x:v>
      </x:c>
      <x:c r="J1785" s="29" t="n">
        <x:f>IF('Inputs'!$D$9="Ready",'Inputs'!E14,"n.a.")</x:f>
        <x:v>0</x:v>
      </x:c>
      <x:c r="K1785" s="26" t="n">
        <x:f>IF('Inputs'!$D$9="Ready",'Inputs'!F14,"n.a.")</x:f>
        <x:v>0</x:v>
      </x:c>
      <x:c r="L1785" s="29" t="n">
        <x:f>IF('Inputs'!$D$9="Ready",'Inputs'!G14,"n.a.")</x:f>
        <x:v>0</x:v>
      </x:c>
      <x:c r="M1785" s="22" t="n">
        <x:f>IF(COUNT(I1785:L1785)=4,ROUND(I1785*J1785/12,2),"n.a.")</x:f>
        <x:v>0</x:v>
      </x:c>
      <x:c r="N1785" s="22" t="n">
        <x:f>IF(COUNT(I1785:M1785)=5,MIN(I1785+M1785,ROUND(MAX(K1785,I1785*L1785+M1785),2)),"n.a.")</x:f>
        <x:v>0</x:v>
      </x:c>
      <x:c r="O1785" s="30" t="n">
        <x:f>IF(COUNT($I$1782:$I$1786)&lt;&gt;5,"n.a.",IF(I1785=0,6,IF('Inputs'!$D$5=1,COUNTIFS($I$1782:$I$1786,"&gt;0",$I$1782:$I$1786,"&lt;"&amp;I1785)+COUNTIFS($I$1782:I1785,I1785),COUNTIFS($I$1782:$I$1786,"&gt;0",$J$1782:$J$1786,"&gt;"&amp;J1785)+COUNTIFS($I$1782:I1785,"&gt;0",$J$1782:J1785,J1785))))</x:f>
        <x:v>6</x:v>
      </x:c>
      <x:c r="P1785" s="22" t="n">
        <x:f>IF(T1785="Ready",MIN(U1785,MAX(0,G1785-SUMIFS($U$1782:$U$1786,$O$1782:$O$1786,"&lt;"&amp;O1785))),"n.a.")</x:f>
        <x:v>0</x:v>
      </x:c>
      <x:c r="Q1785" s="22" t="n">
        <x:f>IF(T1785="Ready",ROUND(N1785+P1785,2),"n.a.")</x:f>
        <x:v>0</x:v>
      </x:c>
      <x:c r="R1785" s="22" t="n">
        <x:f>IF(T1785="Ready",ROUND(Q1785-M1785,2),"n.a.")</x:f>
        <x:v>0</x:v>
      </x:c>
      <x:c r="S1785" s="22" t="n">
        <x:f>IF(T1785="Ready",MAX(0,ROUND(I1785+M1785-Q1785,2)),"n.a.")</x:f>
        <x:v>0</x:v>
      </x:c>
      <x:c r="T1785" s="22" t="str">
        <x:f>IF(AND(COUNT($I$1782:$I$1786)=5,COUNT(E1785:F1785)=2),IF(E1785&gt;=F1785,"Ready","Budget below minima"),"Check inputs")</x:f>
        <x:v>Ready</x:v>
      </x:c>
      <x:c r="U1785" s="22" t="n">
        <x:f>IF(COUNT(I1785,M1785,N1785)=3,MAX(0,ROUND(I1785+M1785-N1785,2)),"n.a.")</x:f>
        <x:v>0</x:v>
      </x:c>
    </x:row>
    <x:row r="1786" ht="22" customHeight="1">
      <x:c r="A1786" s="2"/>
      <x:c r="B1786" s="2"/>
      <x:c r="C1786" s="27" t="n">
        <x:f>356</x:f>
        <x:v>356</x:v>
      </x:c>
      <x:c r="D1786" s="28" t="n">
        <x:f>IF(ISNUMBER('Inputs'!$D$7),EDATE('Inputs'!$D$7,355),"n.a.")</x:f>
        <x:v>57132</x:v>
      </x:c>
      <x:c r="E1786" s="26" t="n">
        <x:f>IF('Inputs'!$D$9&lt;&gt;"Ready","n.a.",IF(ISNUMBER('Inputs'!E374),IF('Inputs'!E374&gt;=0,'Inputs'!E374,"n.a."),IF('Inputs'!E374="",'Inputs'!$D$6,"n.a.")))</x:f>
        <x:v>500</x:v>
      </x:c>
      <x:c r="F1786" s="22" t="n">
        <x:f>IF(COUNT($N$1782:$N$1786)=5,SUM($N$1782:$N$1786),"n.a.")</x:f>
        <x:v>0</x:v>
      </x:c>
      <x:c r="G1786" s="22" t="n">
        <x:f>IF(COUNT(E1786:F1786)=2,MAX(0,E1786-F1786),"n.a.")</x:f>
        <x:v>500</x:v>
      </x:c>
      <x:c r="H1786" s="26" t="str">
        <x:f>'Inputs'!C15</x:f>
        <x:v>Unused 5</x:v>
      </x:c>
      <x:c r="I1786" s="26" t="n">
        <x:f>S1781</x:f>
        <x:v>0</x:v>
      </x:c>
      <x:c r="J1786" s="29" t="n">
        <x:f>IF('Inputs'!$D$9="Ready",'Inputs'!E15,"n.a.")</x:f>
        <x:v>0</x:v>
      </x:c>
      <x:c r="K1786" s="26" t="n">
        <x:f>IF('Inputs'!$D$9="Ready",'Inputs'!F15,"n.a.")</x:f>
        <x:v>0</x:v>
      </x:c>
      <x:c r="L1786" s="29" t="n">
        <x:f>IF('Inputs'!$D$9="Ready",'Inputs'!G15,"n.a.")</x:f>
        <x:v>0</x:v>
      </x:c>
      <x:c r="M1786" s="22" t="n">
        <x:f>IF(COUNT(I1786:L1786)=4,ROUND(I1786*J1786/12,2),"n.a.")</x:f>
        <x:v>0</x:v>
      </x:c>
      <x:c r="N1786" s="22" t="n">
        <x:f>IF(COUNT(I1786:M1786)=5,MIN(I1786+M1786,ROUND(MAX(K1786,I1786*L1786+M1786),2)),"n.a.")</x:f>
        <x:v>0</x:v>
      </x:c>
      <x:c r="O1786" s="30" t="n">
        <x:f>IF(COUNT($I$1782:$I$1786)&lt;&gt;5,"n.a.",IF(I1786=0,6,IF('Inputs'!$D$5=1,COUNTIFS($I$1782:$I$1786,"&gt;0",$I$1782:$I$1786,"&lt;"&amp;I1786)+COUNTIFS($I$1782:I1786,I1786),COUNTIFS($I$1782:$I$1786,"&gt;0",$J$1782:$J$1786,"&gt;"&amp;J1786)+COUNTIFS($I$1782:I1786,"&gt;0",$J$1782:J1786,J1786))))</x:f>
        <x:v>6</x:v>
      </x:c>
      <x:c r="P1786" s="22" t="n">
        <x:f>IF(T1786="Ready",MIN(U1786,MAX(0,G1786-SUMIFS($U$1782:$U$1786,$O$1782:$O$1786,"&lt;"&amp;O1786))),"n.a.")</x:f>
        <x:v>0</x:v>
      </x:c>
      <x:c r="Q1786" s="22" t="n">
        <x:f>IF(T1786="Ready",ROUND(N1786+P1786,2),"n.a.")</x:f>
        <x:v>0</x:v>
      </x:c>
      <x:c r="R1786" s="22" t="n">
        <x:f>IF(T1786="Ready",ROUND(Q1786-M1786,2),"n.a.")</x:f>
        <x:v>0</x:v>
      </x:c>
      <x:c r="S1786" s="22" t="n">
        <x:f>IF(T1786="Ready",MAX(0,ROUND(I1786+M1786-Q1786,2)),"n.a.")</x:f>
        <x:v>0</x:v>
      </x:c>
      <x:c r="T1786" s="22" t="str">
        <x:f>IF(AND(COUNT($I$1782:$I$1786)=5,COUNT(E1786:F1786)=2),IF(E1786&gt;=F1786,"Ready","Budget below minima"),"Check inputs")</x:f>
        <x:v>Ready</x:v>
      </x:c>
      <x:c r="U1786" s="22" t="n">
        <x:f>IF(COUNT(I1786,M1786,N1786)=3,MAX(0,ROUND(I1786+M1786-N1786,2)),"n.a.")</x:f>
        <x:v>0</x:v>
      </x:c>
    </x:row>
    <x:row r="1787" ht="22" customHeight="1">
      <x:c r="A1787" s="2"/>
      <x:c r="B1787" s="2"/>
      <x:c r="C1787" s="27" t="n">
        <x:f>357</x:f>
        <x:v>357</x:v>
      </x:c>
      <x:c r="D1787" s="28" t="n">
        <x:f>IF(ISNUMBER('Inputs'!$D$7),EDATE('Inputs'!$D$7,356),"n.a.")</x:f>
        <x:v>57162</x:v>
      </x:c>
      <x:c r="E1787" s="26" t="n">
        <x:f>IF('Inputs'!$D$9&lt;&gt;"Ready","n.a.",IF(ISNUMBER('Inputs'!E375),IF('Inputs'!E375&gt;=0,'Inputs'!E375,"n.a."),IF('Inputs'!E375="",'Inputs'!$D$6,"n.a.")))</x:f>
        <x:v>500</x:v>
      </x:c>
      <x:c r="F1787" s="22" t="n">
        <x:f>IF(COUNT($N$1787:$N$1791)=5,SUM($N$1787:$N$1791),"n.a.")</x:f>
        <x:v>0</x:v>
      </x:c>
      <x:c r="G1787" s="22" t="n">
        <x:f>IF(COUNT(E1787:F1787)=2,MAX(0,E1787-F1787),"n.a.")</x:f>
        <x:v>500</x:v>
      </x:c>
      <x:c r="H1787" s="26" t="str">
        <x:f>'Inputs'!C11</x:f>
        <x:v>Card A</x:v>
      </x:c>
      <x:c r="I1787" s="26" t="n">
        <x:f>S1782</x:f>
        <x:v>0</x:v>
      </x:c>
      <x:c r="J1787" s="29" t="n">
        <x:f>IF('Inputs'!$D$9="Ready",'Inputs'!E11,"n.a.")</x:f>
        <x:v>0.24</x:v>
      </x:c>
      <x:c r="K1787" s="26" t="n">
        <x:f>IF('Inputs'!$D$9="Ready",'Inputs'!F11,"n.a.")</x:f>
        <x:v>35</x:v>
      </x:c>
      <x:c r="L1787" s="29" t="n">
        <x:f>IF('Inputs'!$D$9="Ready",'Inputs'!G11,"n.a.")</x:f>
        <x:v>0.02</x:v>
      </x:c>
      <x:c r="M1787" s="22" t="n">
        <x:f>IF(COUNT(I1787:L1787)=4,ROUND(I1787*J1787/12,2),"n.a.")</x:f>
        <x:v>0</x:v>
      </x:c>
      <x:c r="N1787" s="22" t="n">
        <x:f>IF(COUNT(I1787:M1787)=5,MIN(I1787+M1787,ROUND(MAX(K1787,I1787*L1787+M1787),2)),"n.a.")</x:f>
        <x:v>0</x:v>
      </x:c>
      <x:c r="O1787" s="30" t="n">
        <x:f>IF(COUNT($I$1787:$I$1791)&lt;&gt;5,"n.a.",IF(I1787=0,6,IF('Inputs'!$D$5=1,COUNTIFS($I$1787:$I$1791,"&gt;0",$I$1787:$I$1791,"&lt;"&amp;I1787)+COUNTIFS($I$1787:I1787,I1787),COUNTIFS($I$1787:$I$1791,"&gt;0",$J$1787:$J$1791,"&gt;"&amp;J1787)+COUNTIFS($I$1787:I1787,"&gt;0",$J$1787:J1787,J1787))))</x:f>
        <x:v>6</x:v>
      </x:c>
      <x:c r="P1787" s="22" t="n">
        <x:f>IF(T1787="Ready",MIN(U1787,MAX(0,G1787-SUMIFS($U$1787:$U$1791,$O$1787:$O$1791,"&lt;"&amp;O1787))),"n.a.")</x:f>
        <x:v>0</x:v>
      </x:c>
      <x:c r="Q1787" s="22" t="n">
        <x:f>IF(T1787="Ready",ROUND(N1787+P1787,2),"n.a.")</x:f>
        <x:v>0</x:v>
      </x:c>
      <x:c r="R1787" s="22" t="n">
        <x:f>IF(T1787="Ready",ROUND(Q1787-M1787,2),"n.a.")</x:f>
        <x:v>0</x:v>
      </x:c>
      <x:c r="S1787" s="22" t="n">
        <x:f>IF(T1787="Ready",MAX(0,ROUND(I1787+M1787-Q1787,2)),"n.a.")</x:f>
        <x:v>0</x:v>
      </x:c>
      <x:c r="T1787" s="22" t="str">
        <x:f>IF(AND(COUNT($I$1787:$I$1791)=5,COUNT(E1787:F1787)=2),IF(E1787&gt;=F1787,"Ready","Budget below minima"),"Check inputs")</x:f>
        <x:v>Ready</x:v>
      </x:c>
      <x:c r="U1787" s="22" t="n">
        <x:f>IF(COUNT(I1787,M1787,N1787)=3,MAX(0,ROUND(I1787+M1787-N1787,2)),"n.a.")</x:f>
        <x:v>0</x:v>
      </x:c>
    </x:row>
    <x:row r="1788" ht="22" customHeight="1">
      <x:c r="A1788" s="2"/>
      <x:c r="B1788" s="2"/>
      <x:c r="C1788" s="27" t="n">
        <x:f>357</x:f>
        <x:v>357</x:v>
      </x:c>
      <x:c r="D1788" s="28" t="n">
        <x:f>IF(ISNUMBER('Inputs'!$D$7),EDATE('Inputs'!$D$7,356),"n.a.")</x:f>
        <x:v>57162</x:v>
      </x:c>
      <x:c r="E1788" s="26" t="n">
        <x:f>IF('Inputs'!$D$9&lt;&gt;"Ready","n.a.",IF(ISNUMBER('Inputs'!E375),IF('Inputs'!E375&gt;=0,'Inputs'!E375,"n.a."),IF('Inputs'!E375="",'Inputs'!$D$6,"n.a.")))</x:f>
        <x:v>500</x:v>
      </x:c>
      <x:c r="F1788" s="22" t="n">
        <x:f>IF(COUNT($N$1787:$N$1791)=5,SUM($N$1787:$N$1791),"n.a.")</x:f>
        <x:v>0</x:v>
      </x:c>
      <x:c r="G1788" s="22" t="n">
        <x:f>IF(COUNT(E1788:F1788)=2,MAX(0,E1788-F1788),"n.a.")</x:f>
        <x:v>500</x:v>
      </x:c>
      <x:c r="H1788" s="26" t="str">
        <x:f>'Inputs'!C12</x:f>
        <x:v>Card B</x:v>
      </x:c>
      <x:c r="I1788" s="26" t="n">
        <x:f>S1783</x:f>
        <x:v>0</x:v>
      </x:c>
      <x:c r="J1788" s="29" t="n">
        <x:f>IF('Inputs'!$D$9="Ready",'Inputs'!E12,"n.a.")</x:f>
        <x:v>0.18</x:v>
      </x:c>
      <x:c r="K1788" s="26" t="n">
        <x:f>IF('Inputs'!$D$9="Ready",'Inputs'!F12,"n.a.")</x:f>
        <x:v>60</x:v>
      </x:c>
      <x:c r="L1788" s="29" t="n">
        <x:f>IF('Inputs'!$D$9="Ready",'Inputs'!G12,"n.a.")</x:f>
        <x:v>0.02</x:v>
      </x:c>
      <x:c r="M1788" s="22" t="n">
        <x:f>IF(COUNT(I1788:L1788)=4,ROUND(I1788*J1788/12,2),"n.a.")</x:f>
        <x:v>0</x:v>
      </x:c>
      <x:c r="N1788" s="22" t="n">
        <x:f>IF(COUNT(I1788:M1788)=5,MIN(I1788+M1788,ROUND(MAX(K1788,I1788*L1788+M1788),2)),"n.a.")</x:f>
        <x:v>0</x:v>
      </x:c>
      <x:c r="O1788" s="30" t="n">
        <x:f>IF(COUNT($I$1787:$I$1791)&lt;&gt;5,"n.a.",IF(I1788=0,6,IF('Inputs'!$D$5=1,COUNTIFS($I$1787:$I$1791,"&gt;0",$I$1787:$I$1791,"&lt;"&amp;I1788)+COUNTIFS($I$1787:I1788,I1788),COUNTIFS($I$1787:$I$1791,"&gt;0",$J$1787:$J$1791,"&gt;"&amp;J1788)+COUNTIFS($I$1787:I1788,"&gt;0",$J$1787:J1788,J1788))))</x:f>
        <x:v>6</x:v>
      </x:c>
      <x:c r="P1788" s="22" t="n">
        <x:f>IF(T1788="Ready",MIN(U1788,MAX(0,G1788-SUMIFS($U$1787:$U$1791,$O$1787:$O$1791,"&lt;"&amp;O1788))),"n.a.")</x:f>
        <x:v>0</x:v>
      </x:c>
      <x:c r="Q1788" s="22" t="n">
        <x:f>IF(T1788="Ready",ROUND(N1788+P1788,2),"n.a.")</x:f>
        <x:v>0</x:v>
      </x:c>
      <x:c r="R1788" s="22" t="n">
        <x:f>IF(T1788="Ready",ROUND(Q1788-M1788,2),"n.a.")</x:f>
        <x:v>0</x:v>
      </x:c>
      <x:c r="S1788" s="22" t="n">
        <x:f>IF(T1788="Ready",MAX(0,ROUND(I1788+M1788-Q1788,2)),"n.a.")</x:f>
        <x:v>0</x:v>
      </x:c>
      <x:c r="T1788" s="22" t="str">
        <x:f>IF(AND(COUNT($I$1787:$I$1791)=5,COUNT(E1788:F1788)=2),IF(E1788&gt;=F1788,"Ready","Budget below minima"),"Check inputs")</x:f>
        <x:v>Ready</x:v>
      </x:c>
      <x:c r="U1788" s="22" t="n">
        <x:f>IF(COUNT(I1788,M1788,N1788)=3,MAX(0,ROUND(I1788+M1788-N1788,2)),"n.a.")</x:f>
        <x:v>0</x:v>
      </x:c>
    </x:row>
    <x:row r="1789" ht="22" customHeight="1">
      <x:c r="A1789" s="2"/>
      <x:c r="B1789" s="2"/>
      <x:c r="C1789" s="27" t="n">
        <x:f>357</x:f>
        <x:v>357</x:v>
      </x:c>
      <x:c r="D1789" s="28" t="n">
        <x:f>IF(ISNUMBER('Inputs'!$D$7),EDATE('Inputs'!$D$7,356),"n.a.")</x:f>
        <x:v>57162</x:v>
      </x:c>
      <x:c r="E1789" s="26" t="n">
        <x:f>IF('Inputs'!$D$9&lt;&gt;"Ready","n.a.",IF(ISNUMBER('Inputs'!E375),IF('Inputs'!E375&gt;=0,'Inputs'!E375,"n.a."),IF('Inputs'!E375="",'Inputs'!$D$6,"n.a.")))</x:f>
        <x:v>500</x:v>
      </x:c>
      <x:c r="F1789" s="22" t="n">
        <x:f>IF(COUNT($N$1787:$N$1791)=5,SUM($N$1787:$N$1791),"n.a.")</x:f>
        <x:v>0</x:v>
      </x:c>
      <x:c r="G1789" s="22" t="n">
        <x:f>IF(COUNT(E1789:F1789)=2,MAX(0,E1789-F1789),"n.a.")</x:f>
        <x:v>500</x:v>
      </x:c>
      <x:c r="H1789" s="26" t="str">
        <x:f>'Inputs'!C13</x:f>
        <x:v>Loan C</x:v>
      </x:c>
      <x:c r="I1789" s="26" t="n">
        <x:f>S1784</x:f>
        <x:v>0</x:v>
      </x:c>
      <x:c r="J1789" s="29" t="n">
        <x:f>IF('Inputs'!$D$9="Ready",'Inputs'!E13,"n.a.")</x:f>
        <x:v>0.08</x:v>
      </x:c>
      <x:c r="K1789" s="26" t="n">
        <x:f>IF('Inputs'!$D$9="Ready",'Inputs'!F13,"n.a.")</x:f>
        <x:v>150</x:v>
      </x:c>
      <x:c r="L1789" s="29" t="n">
        <x:f>IF('Inputs'!$D$9="Ready",'Inputs'!G13,"n.a.")</x:f>
        <x:v>0</x:v>
      </x:c>
      <x:c r="M1789" s="22" t="n">
        <x:f>IF(COUNT(I1789:L1789)=4,ROUND(I1789*J1789/12,2),"n.a.")</x:f>
        <x:v>0</x:v>
      </x:c>
      <x:c r="N1789" s="22" t="n">
        <x:f>IF(COUNT(I1789:M1789)=5,MIN(I1789+M1789,ROUND(MAX(K1789,I1789*L1789+M1789),2)),"n.a.")</x:f>
        <x:v>0</x:v>
      </x:c>
      <x:c r="O1789" s="30" t="n">
        <x:f>IF(COUNT($I$1787:$I$1791)&lt;&gt;5,"n.a.",IF(I1789=0,6,IF('Inputs'!$D$5=1,COUNTIFS($I$1787:$I$1791,"&gt;0",$I$1787:$I$1791,"&lt;"&amp;I1789)+COUNTIFS($I$1787:I1789,I1789),COUNTIFS($I$1787:$I$1791,"&gt;0",$J$1787:$J$1791,"&gt;"&amp;J1789)+COUNTIFS($I$1787:I1789,"&gt;0",$J$1787:J1789,J1789))))</x:f>
        <x:v>6</x:v>
      </x:c>
      <x:c r="P1789" s="22" t="n">
        <x:f>IF(T1789="Ready",MIN(U1789,MAX(0,G1789-SUMIFS($U$1787:$U$1791,$O$1787:$O$1791,"&lt;"&amp;O1789))),"n.a.")</x:f>
        <x:v>0</x:v>
      </x:c>
      <x:c r="Q1789" s="22" t="n">
        <x:f>IF(T1789="Ready",ROUND(N1789+P1789,2),"n.a.")</x:f>
        <x:v>0</x:v>
      </x:c>
      <x:c r="R1789" s="22" t="n">
        <x:f>IF(T1789="Ready",ROUND(Q1789-M1789,2),"n.a.")</x:f>
        <x:v>0</x:v>
      </x:c>
      <x:c r="S1789" s="22" t="n">
        <x:f>IF(T1789="Ready",MAX(0,ROUND(I1789+M1789-Q1789,2)),"n.a.")</x:f>
        <x:v>0</x:v>
      </x:c>
      <x:c r="T1789" s="22" t="str">
        <x:f>IF(AND(COUNT($I$1787:$I$1791)=5,COUNT(E1789:F1789)=2),IF(E1789&gt;=F1789,"Ready","Budget below minima"),"Check inputs")</x:f>
        <x:v>Ready</x:v>
      </x:c>
      <x:c r="U1789" s="22" t="n">
        <x:f>IF(COUNT(I1789,M1789,N1789)=3,MAX(0,ROUND(I1789+M1789-N1789,2)),"n.a.")</x:f>
        <x:v>0</x:v>
      </x:c>
    </x:row>
    <x:row r="1790" ht="22" customHeight="1">
      <x:c r="A1790" s="2"/>
      <x:c r="B1790" s="2"/>
      <x:c r="C1790" s="27" t="n">
        <x:f>357</x:f>
        <x:v>357</x:v>
      </x:c>
      <x:c r="D1790" s="28" t="n">
        <x:f>IF(ISNUMBER('Inputs'!$D$7),EDATE('Inputs'!$D$7,356),"n.a.")</x:f>
        <x:v>57162</x:v>
      </x:c>
      <x:c r="E1790" s="26" t="n">
        <x:f>IF('Inputs'!$D$9&lt;&gt;"Ready","n.a.",IF(ISNUMBER('Inputs'!E375),IF('Inputs'!E375&gt;=0,'Inputs'!E375,"n.a."),IF('Inputs'!E375="",'Inputs'!$D$6,"n.a.")))</x:f>
        <x:v>500</x:v>
      </x:c>
      <x:c r="F1790" s="22" t="n">
        <x:f>IF(COUNT($N$1787:$N$1791)=5,SUM($N$1787:$N$1791),"n.a.")</x:f>
        <x:v>0</x:v>
      </x:c>
      <x:c r="G1790" s="22" t="n">
        <x:f>IF(COUNT(E1790:F1790)=2,MAX(0,E1790-F1790),"n.a.")</x:f>
        <x:v>500</x:v>
      </x:c>
      <x:c r="H1790" s="26" t="str">
        <x:f>'Inputs'!C14</x:f>
        <x:v>Unused 4</x:v>
      </x:c>
      <x:c r="I1790" s="26" t="n">
        <x:f>S1785</x:f>
        <x:v>0</x:v>
      </x:c>
      <x:c r="J1790" s="29" t="n">
        <x:f>IF('Inputs'!$D$9="Ready",'Inputs'!E14,"n.a.")</x:f>
        <x:v>0</x:v>
      </x:c>
      <x:c r="K1790" s="26" t="n">
        <x:f>IF('Inputs'!$D$9="Ready",'Inputs'!F14,"n.a.")</x:f>
        <x:v>0</x:v>
      </x:c>
      <x:c r="L1790" s="29" t="n">
        <x:f>IF('Inputs'!$D$9="Ready",'Inputs'!G14,"n.a.")</x:f>
        <x:v>0</x:v>
      </x:c>
      <x:c r="M1790" s="22" t="n">
        <x:f>IF(COUNT(I1790:L1790)=4,ROUND(I1790*J1790/12,2),"n.a.")</x:f>
        <x:v>0</x:v>
      </x:c>
      <x:c r="N1790" s="22" t="n">
        <x:f>IF(COUNT(I1790:M1790)=5,MIN(I1790+M1790,ROUND(MAX(K1790,I1790*L1790+M1790),2)),"n.a.")</x:f>
        <x:v>0</x:v>
      </x:c>
      <x:c r="O1790" s="30" t="n">
        <x:f>IF(COUNT($I$1787:$I$1791)&lt;&gt;5,"n.a.",IF(I1790=0,6,IF('Inputs'!$D$5=1,COUNTIFS($I$1787:$I$1791,"&gt;0",$I$1787:$I$1791,"&lt;"&amp;I1790)+COUNTIFS($I$1787:I1790,I1790),COUNTIFS($I$1787:$I$1791,"&gt;0",$J$1787:$J$1791,"&gt;"&amp;J1790)+COUNTIFS($I$1787:I1790,"&gt;0",$J$1787:J1790,J1790))))</x:f>
        <x:v>6</x:v>
      </x:c>
      <x:c r="P1790" s="22" t="n">
        <x:f>IF(T1790="Ready",MIN(U1790,MAX(0,G1790-SUMIFS($U$1787:$U$1791,$O$1787:$O$1791,"&lt;"&amp;O1790))),"n.a.")</x:f>
        <x:v>0</x:v>
      </x:c>
      <x:c r="Q1790" s="22" t="n">
        <x:f>IF(T1790="Ready",ROUND(N1790+P1790,2),"n.a.")</x:f>
        <x:v>0</x:v>
      </x:c>
      <x:c r="R1790" s="22" t="n">
        <x:f>IF(T1790="Ready",ROUND(Q1790-M1790,2),"n.a.")</x:f>
        <x:v>0</x:v>
      </x:c>
      <x:c r="S1790" s="22" t="n">
        <x:f>IF(T1790="Ready",MAX(0,ROUND(I1790+M1790-Q1790,2)),"n.a.")</x:f>
        <x:v>0</x:v>
      </x:c>
      <x:c r="T1790" s="22" t="str">
        <x:f>IF(AND(COUNT($I$1787:$I$1791)=5,COUNT(E1790:F1790)=2),IF(E1790&gt;=F1790,"Ready","Budget below minima"),"Check inputs")</x:f>
        <x:v>Ready</x:v>
      </x:c>
      <x:c r="U1790" s="22" t="n">
        <x:f>IF(COUNT(I1790,M1790,N1790)=3,MAX(0,ROUND(I1790+M1790-N1790,2)),"n.a.")</x:f>
        <x:v>0</x:v>
      </x:c>
    </x:row>
    <x:row r="1791" ht="22" customHeight="1">
      <x:c r="A1791" s="2"/>
      <x:c r="B1791" s="2"/>
      <x:c r="C1791" s="27" t="n">
        <x:f>357</x:f>
        <x:v>357</x:v>
      </x:c>
      <x:c r="D1791" s="28" t="n">
        <x:f>IF(ISNUMBER('Inputs'!$D$7),EDATE('Inputs'!$D$7,356),"n.a.")</x:f>
        <x:v>57162</x:v>
      </x:c>
      <x:c r="E1791" s="26" t="n">
        <x:f>IF('Inputs'!$D$9&lt;&gt;"Ready","n.a.",IF(ISNUMBER('Inputs'!E375),IF('Inputs'!E375&gt;=0,'Inputs'!E375,"n.a."),IF('Inputs'!E375="",'Inputs'!$D$6,"n.a.")))</x:f>
        <x:v>500</x:v>
      </x:c>
      <x:c r="F1791" s="22" t="n">
        <x:f>IF(COUNT($N$1787:$N$1791)=5,SUM($N$1787:$N$1791),"n.a.")</x:f>
        <x:v>0</x:v>
      </x:c>
      <x:c r="G1791" s="22" t="n">
        <x:f>IF(COUNT(E1791:F1791)=2,MAX(0,E1791-F1791),"n.a.")</x:f>
        <x:v>500</x:v>
      </x:c>
      <x:c r="H1791" s="26" t="str">
        <x:f>'Inputs'!C15</x:f>
        <x:v>Unused 5</x:v>
      </x:c>
      <x:c r="I1791" s="26" t="n">
        <x:f>S1786</x:f>
        <x:v>0</x:v>
      </x:c>
      <x:c r="J1791" s="29" t="n">
        <x:f>IF('Inputs'!$D$9="Ready",'Inputs'!E15,"n.a.")</x:f>
        <x:v>0</x:v>
      </x:c>
      <x:c r="K1791" s="26" t="n">
        <x:f>IF('Inputs'!$D$9="Ready",'Inputs'!F15,"n.a.")</x:f>
        <x:v>0</x:v>
      </x:c>
      <x:c r="L1791" s="29" t="n">
        <x:f>IF('Inputs'!$D$9="Ready",'Inputs'!G15,"n.a.")</x:f>
        <x:v>0</x:v>
      </x:c>
      <x:c r="M1791" s="22" t="n">
        <x:f>IF(COUNT(I1791:L1791)=4,ROUND(I1791*J1791/12,2),"n.a.")</x:f>
        <x:v>0</x:v>
      </x:c>
      <x:c r="N1791" s="22" t="n">
        <x:f>IF(COUNT(I1791:M1791)=5,MIN(I1791+M1791,ROUND(MAX(K1791,I1791*L1791+M1791),2)),"n.a.")</x:f>
        <x:v>0</x:v>
      </x:c>
      <x:c r="O1791" s="30" t="n">
        <x:f>IF(COUNT($I$1787:$I$1791)&lt;&gt;5,"n.a.",IF(I1791=0,6,IF('Inputs'!$D$5=1,COUNTIFS($I$1787:$I$1791,"&gt;0",$I$1787:$I$1791,"&lt;"&amp;I1791)+COUNTIFS($I$1787:I1791,I1791),COUNTIFS($I$1787:$I$1791,"&gt;0",$J$1787:$J$1791,"&gt;"&amp;J1791)+COUNTIFS($I$1787:I1791,"&gt;0",$J$1787:J1791,J1791))))</x:f>
        <x:v>6</x:v>
      </x:c>
      <x:c r="P1791" s="22" t="n">
        <x:f>IF(T1791="Ready",MIN(U1791,MAX(0,G1791-SUMIFS($U$1787:$U$1791,$O$1787:$O$1791,"&lt;"&amp;O1791))),"n.a.")</x:f>
        <x:v>0</x:v>
      </x:c>
      <x:c r="Q1791" s="22" t="n">
        <x:f>IF(T1791="Ready",ROUND(N1791+P1791,2),"n.a.")</x:f>
        <x:v>0</x:v>
      </x:c>
      <x:c r="R1791" s="22" t="n">
        <x:f>IF(T1791="Ready",ROUND(Q1791-M1791,2),"n.a.")</x:f>
        <x:v>0</x:v>
      </x:c>
      <x:c r="S1791" s="22" t="n">
        <x:f>IF(T1791="Ready",MAX(0,ROUND(I1791+M1791-Q1791,2)),"n.a.")</x:f>
        <x:v>0</x:v>
      </x:c>
      <x:c r="T1791" s="22" t="str">
        <x:f>IF(AND(COUNT($I$1787:$I$1791)=5,COUNT(E1791:F1791)=2),IF(E1791&gt;=F1791,"Ready","Budget below minima"),"Check inputs")</x:f>
        <x:v>Ready</x:v>
      </x:c>
      <x:c r="U1791" s="22" t="n">
        <x:f>IF(COUNT(I1791,M1791,N1791)=3,MAX(0,ROUND(I1791+M1791-N1791,2)),"n.a.")</x:f>
        <x:v>0</x:v>
      </x:c>
    </x:row>
    <x:row r="1792" ht="22" customHeight="1">
      <x:c r="A1792" s="2"/>
      <x:c r="B1792" s="2"/>
      <x:c r="C1792" s="27" t="n">
        <x:f>358</x:f>
        <x:v>358</x:v>
      </x:c>
      <x:c r="D1792" s="28" t="n">
        <x:f>IF(ISNUMBER('Inputs'!$D$7),EDATE('Inputs'!$D$7,357),"n.a.")</x:f>
        <x:v>57193</x:v>
      </x:c>
      <x:c r="E1792" s="26" t="n">
        <x:f>IF('Inputs'!$D$9&lt;&gt;"Ready","n.a.",IF(ISNUMBER('Inputs'!E376),IF('Inputs'!E376&gt;=0,'Inputs'!E376,"n.a."),IF('Inputs'!E376="",'Inputs'!$D$6,"n.a.")))</x:f>
        <x:v>500</x:v>
      </x:c>
      <x:c r="F1792" s="22" t="n">
        <x:f>IF(COUNT($N$1792:$N$1796)=5,SUM($N$1792:$N$1796),"n.a.")</x:f>
        <x:v>0</x:v>
      </x:c>
      <x:c r="G1792" s="22" t="n">
        <x:f>IF(COUNT(E1792:F1792)=2,MAX(0,E1792-F1792),"n.a.")</x:f>
        <x:v>500</x:v>
      </x:c>
      <x:c r="H1792" s="26" t="str">
        <x:f>'Inputs'!C11</x:f>
        <x:v>Card A</x:v>
      </x:c>
      <x:c r="I1792" s="26" t="n">
        <x:f>S1787</x:f>
        <x:v>0</x:v>
      </x:c>
      <x:c r="J1792" s="29" t="n">
        <x:f>IF('Inputs'!$D$9="Ready",'Inputs'!E11,"n.a.")</x:f>
        <x:v>0.24</x:v>
      </x:c>
      <x:c r="K1792" s="26" t="n">
        <x:f>IF('Inputs'!$D$9="Ready",'Inputs'!F11,"n.a.")</x:f>
        <x:v>35</x:v>
      </x:c>
      <x:c r="L1792" s="29" t="n">
        <x:f>IF('Inputs'!$D$9="Ready",'Inputs'!G11,"n.a.")</x:f>
        <x:v>0.02</x:v>
      </x:c>
      <x:c r="M1792" s="22" t="n">
        <x:f>IF(COUNT(I1792:L1792)=4,ROUND(I1792*J1792/12,2),"n.a.")</x:f>
        <x:v>0</x:v>
      </x:c>
      <x:c r="N1792" s="22" t="n">
        <x:f>IF(COUNT(I1792:M1792)=5,MIN(I1792+M1792,ROUND(MAX(K1792,I1792*L1792+M1792),2)),"n.a.")</x:f>
        <x:v>0</x:v>
      </x:c>
      <x:c r="O1792" s="30" t="n">
        <x:f>IF(COUNT($I$1792:$I$1796)&lt;&gt;5,"n.a.",IF(I1792=0,6,IF('Inputs'!$D$5=1,COUNTIFS($I$1792:$I$1796,"&gt;0",$I$1792:$I$1796,"&lt;"&amp;I1792)+COUNTIFS($I$1792:I1792,I1792),COUNTIFS($I$1792:$I$1796,"&gt;0",$J$1792:$J$1796,"&gt;"&amp;J1792)+COUNTIFS($I$1792:I1792,"&gt;0",$J$1792:J1792,J1792))))</x:f>
        <x:v>6</x:v>
      </x:c>
      <x:c r="P1792" s="22" t="n">
        <x:f>IF(T1792="Ready",MIN(U1792,MAX(0,G1792-SUMIFS($U$1792:$U$1796,$O$1792:$O$1796,"&lt;"&amp;O1792))),"n.a.")</x:f>
        <x:v>0</x:v>
      </x:c>
      <x:c r="Q1792" s="22" t="n">
        <x:f>IF(T1792="Ready",ROUND(N1792+P1792,2),"n.a.")</x:f>
        <x:v>0</x:v>
      </x:c>
      <x:c r="R1792" s="22" t="n">
        <x:f>IF(T1792="Ready",ROUND(Q1792-M1792,2),"n.a.")</x:f>
        <x:v>0</x:v>
      </x:c>
      <x:c r="S1792" s="22" t="n">
        <x:f>IF(T1792="Ready",MAX(0,ROUND(I1792+M1792-Q1792,2)),"n.a.")</x:f>
        <x:v>0</x:v>
      </x:c>
      <x:c r="T1792" s="22" t="str">
        <x:f>IF(AND(COUNT($I$1792:$I$1796)=5,COUNT(E1792:F1792)=2),IF(E1792&gt;=F1792,"Ready","Budget below minima"),"Check inputs")</x:f>
        <x:v>Ready</x:v>
      </x:c>
      <x:c r="U1792" s="22" t="n">
        <x:f>IF(COUNT(I1792,M1792,N1792)=3,MAX(0,ROUND(I1792+M1792-N1792,2)),"n.a.")</x:f>
        <x:v>0</x:v>
      </x:c>
    </x:row>
    <x:row r="1793" ht="22" customHeight="1">
      <x:c r="A1793" s="2"/>
      <x:c r="B1793" s="2"/>
      <x:c r="C1793" s="27" t="n">
        <x:f>358</x:f>
        <x:v>358</x:v>
      </x:c>
      <x:c r="D1793" s="28" t="n">
        <x:f>IF(ISNUMBER('Inputs'!$D$7),EDATE('Inputs'!$D$7,357),"n.a.")</x:f>
        <x:v>57193</x:v>
      </x:c>
      <x:c r="E1793" s="26" t="n">
        <x:f>IF('Inputs'!$D$9&lt;&gt;"Ready","n.a.",IF(ISNUMBER('Inputs'!E376),IF('Inputs'!E376&gt;=0,'Inputs'!E376,"n.a."),IF('Inputs'!E376="",'Inputs'!$D$6,"n.a.")))</x:f>
        <x:v>500</x:v>
      </x:c>
      <x:c r="F1793" s="22" t="n">
        <x:f>IF(COUNT($N$1792:$N$1796)=5,SUM($N$1792:$N$1796),"n.a.")</x:f>
        <x:v>0</x:v>
      </x:c>
      <x:c r="G1793" s="22" t="n">
        <x:f>IF(COUNT(E1793:F1793)=2,MAX(0,E1793-F1793),"n.a.")</x:f>
        <x:v>500</x:v>
      </x:c>
      <x:c r="H1793" s="26" t="str">
        <x:f>'Inputs'!C12</x:f>
        <x:v>Card B</x:v>
      </x:c>
      <x:c r="I1793" s="26" t="n">
        <x:f>S1788</x:f>
        <x:v>0</x:v>
      </x:c>
      <x:c r="J1793" s="29" t="n">
        <x:f>IF('Inputs'!$D$9="Ready",'Inputs'!E12,"n.a.")</x:f>
        <x:v>0.18</x:v>
      </x:c>
      <x:c r="K1793" s="26" t="n">
        <x:f>IF('Inputs'!$D$9="Ready",'Inputs'!F12,"n.a.")</x:f>
        <x:v>60</x:v>
      </x:c>
      <x:c r="L1793" s="29" t="n">
        <x:f>IF('Inputs'!$D$9="Ready",'Inputs'!G12,"n.a.")</x:f>
        <x:v>0.02</x:v>
      </x:c>
      <x:c r="M1793" s="22" t="n">
        <x:f>IF(COUNT(I1793:L1793)=4,ROUND(I1793*J1793/12,2),"n.a.")</x:f>
        <x:v>0</x:v>
      </x:c>
      <x:c r="N1793" s="22" t="n">
        <x:f>IF(COUNT(I1793:M1793)=5,MIN(I1793+M1793,ROUND(MAX(K1793,I1793*L1793+M1793),2)),"n.a.")</x:f>
        <x:v>0</x:v>
      </x:c>
      <x:c r="O1793" s="30" t="n">
        <x:f>IF(COUNT($I$1792:$I$1796)&lt;&gt;5,"n.a.",IF(I1793=0,6,IF('Inputs'!$D$5=1,COUNTIFS($I$1792:$I$1796,"&gt;0",$I$1792:$I$1796,"&lt;"&amp;I1793)+COUNTIFS($I$1792:I1793,I1793),COUNTIFS($I$1792:$I$1796,"&gt;0",$J$1792:$J$1796,"&gt;"&amp;J1793)+COUNTIFS($I$1792:I1793,"&gt;0",$J$1792:J1793,J1793))))</x:f>
        <x:v>6</x:v>
      </x:c>
      <x:c r="P1793" s="22" t="n">
        <x:f>IF(T1793="Ready",MIN(U1793,MAX(0,G1793-SUMIFS($U$1792:$U$1796,$O$1792:$O$1796,"&lt;"&amp;O1793))),"n.a.")</x:f>
        <x:v>0</x:v>
      </x:c>
      <x:c r="Q1793" s="22" t="n">
        <x:f>IF(T1793="Ready",ROUND(N1793+P1793,2),"n.a.")</x:f>
        <x:v>0</x:v>
      </x:c>
      <x:c r="R1793" s="22" t="n">
        <x:f>IF(T1793="Ready",ROUND(Q1793-M1793,2),"n.a.")</x:f>
        <x:v>0</x:v>
      </x:c>
      <x:c r="S1793" s="22" t="n">
        <x:f>IF(T1793="Ready",MAX(0,ROUND(I1793+M1793-Q1793,2)),"n.a.")</x:f>
        <x:v>0</x:v>
      </x:c>
      <x:c r="T1793" s="22" t="str">
        <x:f>IF(AND(COUNT($I$1792:$I$1796)=5,COUNT(E1793:F1793)=2),IF(E1793&gt;=F1793,"Ready","Budget below minima"),"Check inputs")</x:f>
        <x:v>Ready</x:v>
      </x:c>
      <x:c r="U1793" s="22" t="n">
        <x:f>IF(COUNT(I1793,M1793,N1793)=3,MAX(0,ROUND(I1793+M1793-N1793,2)),"n.a.")</x:f>
        <x:v>0</x:v>
      </x:c>
    </x:row>
    <x:row r="1794" ht="22" customHeight="1">
      <x:c r="A1794" s="2"/>
      <x:c r="B1794" s="2"/>
      <x:c r="C1794" s="27" t="n">
        <x:f>358</x:f>
        <x:v>358</x:v>
      </x:c>
      <x:c r="D1794" s="28" t="n">
        <x:f>IF(ISNUMBER('Inputs'!$D$7),EDATE('Inputs'!$D$7,357),"n.a.")</x:f>
        <x:v>57193</x:v>
      </x:c>
      <x:c r="E1794" s="26" t="n">
        <x:f>IF('Inputs'!$D$9&lt;&gt;"Ready","n.a.",IF(ISNUMBER('Inputs'!E376),IF('Inputs'!E376&gt;=0,'Inputs'!E376,"n.a."),IF('Inputs'!E376="",'Inputs'!$D$6,"n.a.")))</x:f>
        <x:v>500</x:v>
      </x:c>
      <x:c r="F1794" s="22" t="n">
        <x:f>IF(COUNT($N$1792:$N$1796)=5,SUM($N$1792:$N$1796),"n.a.")</x:f>
        <x:v>0</x:v>
      </x:c>
      <x:c r="G1794" s="22" t="n">
        <x:f>IF(COUNT(E1794:F1794)=2,MAX(0,E1794-F1794),"n.a.")</x:f>
        <x:v>500</x:v>
      </x:c>
      <x:c r="H1794" s="26" t="str">
        <x:f>'Inputs'!C13</x:f>
        <x:v>Loan C</x:v>
      </x:c>
      <x:c r="I1794" s="26" t="n">
        <x:f>S1789</x:f>
        <x:v>0</x:v>
      </x:c>
      <x:c r="J1794" s="29" t="n">
        <x:f>IF('Inputs'!$D$9="Ready",'Inputs'!E13,"n.a.")</x:f>
        <x:v>0.08</x:v>
      </x:c>
      <x:c r="K1794" s="26" t="n">
        <x:f>IF('Inputs'!$D$9="Ready",'Inputs'!F13,"n.a.")</x:f>
        <x:v>150</x:v>
      </x:c>
      <x:c r="L1794" s="29" t="n">
        <x:f>IF('Inputs'!$D$9="Ready",'Inputs'!G13,"n.a.")</x:f>
        <x:v>0</x:v>
      </x:c>
      <x:c r="M1794" s="22" t="n">
        <x:f>IF(COUNT(I1794:L1794)=4,ROUND(I1794*J1794/12,2),"n.a.")</x:f>
        <x:v>0</x:v>
      </x:c>
      <x:c r="N1794" s="22" t="n">
        <x:f>IF(COUNT(I1794:M1794)=5,MIN(I1794+M1794,ROUND(MAX(K1794,I1794*L1794+M1794),2)),"n.a.")</x:f>
        <x:v>0</x:v>
      </x:c>
      <x:c r="O1794" s="30" t="n">
        <x:f>IF(COUNT($I$1792:$I$1796)&lt;&gt;5,"n.a.",IF(I1794=0,6,IF('Inputs'!$D$5=1,COUNTIFS($I$1792:$I$1796,"&gt;0",$I$1792:$I$1796,"&lt;"&amp;I1794)+COUNTIFS($I$1792:I1794,I1794),COUNTIFS($I$1792:$I$1796,"&gt;0",$J$1792:$J$1796,"&gt;"&amp;J1794)+COUNTIFS($I$1792:I1794,"&gt;0",$J$1792:J1794,J1794))))</x:f>
        <x:v>6</x:v>
      </x:c>
      <x:c r="P1794" s="22" t="n">
        <x:f>IF(T1794="Ready",MIN(U1794,MAX(0,G1794-SUMIFS($U$1792:$U$1796,$O$1792:$O$1796,"&lt;"&amp;O1794))),"n.a.")</x:f>
        <x:v>0</x:v>
      </x:c>
      <x:c r="Q1794" s="22" t="n">
        <x:f>IF(T1794="Ready",ROUND(N1794+P1794,2),"n.a.")</x:f>
        <x:v>0</x:v>
      </x:c>
      <x:c r="R1794" s="22" t="n">
        <x:f>IF(T1794="Ready",ROUND(Q1794-M1794,2),"n.a.")</x:f>
        <x:v>0</x:v>
      </x:c>
      <x:c r="S1794" s="22" t="n">
        <x:f>IF(T1794="Ready",MAX(0,ROUND(I1794+M1794-Q1794,2)),"n.a.")</x:f>
        <x:v>0</x:v>
      </x:c>
      <x:c r="T1794" s="22" t="str">
        <x:f>IF(AND(COUNT($I$1792:$I$1796)=5,COUNT(E1794:F1794)=2),IF(E1794&gt;=F1794,"Ready","Budget below minima"),"Check inputs")</x:f>
        <x:v>Ready</x:v>
      </x:c>
      <x:c r="U1794" s="22" t="n">
        <x:f>IF(COUNT(I1794,M1794,N1794)=3,MAX(0,ROUND(I1794+M1794-N1794,2)),"n.a.")</x:f>
        <x:v>0</x:v>
      </x:c>
    </x:row>
    <x:row r="1795" ht="22" customHeight="1">
      <x:c r="A1795" s="2"/>
      <x:c r="B1795" s="2"/>
      <x:c r="C1795" s="27" t="n">
        <x:f>358</x:f>
        <x:v>358</x:v>
      </x:c>
      <x:c r="D1795" s="28" t="n">
        <x:f>IF(ISNUMBER('Inputs'!$D$7),EDATE('Inputs'!$D$7,357),"n.a.")</x:f>
        <x:v>57193</x:v>
      </x:c>
      <x:c r="E1795" s="26" t="n">
        <x:f>IF('Inputs'!$D$9&lt;&gt;"Ready","n.a.",IF(ISNUMBER('Inputs'!E376),IF('Inputs'!E376&gt;=0,'Inputs'!E376,"n.a."),IF('Inputs'!E376="",'Inputs'!$D$6,"n.a.")))</x:f>
        <x:v>500</x:v>
      </x:c>
      <x:c r="F1795" s="22" t="n">
        <x:f>IF(COUNT($N$1792:$N$1796)=5,SUM($N$1792:$N$1796),"n.a.")</x:f>
        <x:v>0</x:v>
      </x:c>
      <x:c r="G1795" s="22" t="n">
        <x:f>IF(COUNT(E1795:F1795)=2,MAX(0,E1795-F1795),"n.a.")</x:f>
        <x:v>500</x:v>
      </x:c>
      <x:c r="H1795" s="26" t="str">
        <x:f>'Inputs'!C14</x:f>
        <x:v>Unused 4</x:v>
      </x:c>
      <x:c r="I1795" s="26" t="n">
        <x:f>S1790</x:f>
        <x:v>0</x:v>
      </x:c>
      <x:c r="J1795" s="29" t="n">
        <x:f>IF('Inputs'!$D$9="Ready",'Inputs'!E14,"n.a.")</x:f>
        <x:v>0</x:v>
      </x:c>
      <x:c r="K1795" s="26" t="n">
        <x:f>IF('Inputs'!$D$9="Ready",'Inputs'!F14,"n.a.")</x:f>
        <x:v>0</x:v>
      </x:c>
      <x:c r="L1795" s="29" t="n">
        <x:f>IF('Inputs'!$D$9="Ready",'Inputs'!G14,"n.a.")</x:f>
        <x:v>0</x:v>
      </x:c>
      <x:c r="M1795" s="22" t="n">
        <x:f>IF(COUNT(I1795:L1795)=4,ROUND(I1795*J1795/12,2),"n.a.")</x:f>
        <x:v>0</x:v>
      </x:c>
      <x:c r="N1795" s="22" t="n">
        <x:f>IF(COUNT(I1795:M1795)=5,MIN(I1795+M1795,ROUND(MAX(K1795,I1795*L1795+M1795),2)),"n.a.")</x:f>
        <x:v>0</x:v>
      </x:c>
      <x:c r="O1795" s="30" t="n">
        <x:f>IF(COUNT($I$1792:$I$1796)&lt;&gt;5,"n.a.",IF(I1795=0,6,IF('Inputs'!$D$5=1,COUNTIFS($I$1792:$I$1796,"&gt;0",$I$1792:$I$1796,"&lt;"&amp;I1795)+COUNTIFS($I$1792:I1795,I1795),COUNTIFS($I$1792:$I$1796,"&gt;0",$J$1792:$J$1796,"&gt;"&amp;J1795)+COUNTIFS($I$1792:I1795,"&gt;0",$J$1792:J1795,J1795))))</x:f>
        <x:v>6</x:v>
      </x:c>
      <x:c r="P1795" s="22" t="n">
        <x:f>IF(T1795="Ready",MIN(U1795,MAX(0,G1795-SUMIFS($U$1792:$U$1796,$O$1792:$O$1796,"&lt;"&amp;O1795))),"n.a.")</x:f>
        <x:v>0</x:v>
      </x:c>
      <x:c r="Q1795" s="22" t="n">
        <x:f>IF(T1795="Ready",ROUND(N1795+P1795,2),"n.a.")</x:f>
        <x:v>0</x:v>
      </x:c>
      <x:c r="R1795" s="22" t="n">
        <x:f>IF(T1795="Ready",ROUND(Q1795-M1795,2),"n.a.")</x:f>
        <x:v>0</x:v>
      </x:c>
      <x:c r="S1795" s="22" t="n">
        <x:f>IF(T1795="Ready",MAX(0,ROUND(I1795+M1795-Q1795,2)),"n.a.")</x:f>
        <x:v>0</x:v>
      </x:c>
      <x:c r="T1795" s="22" t="str">
        <x:f>IF(AND(COUNT($I$1792:$I$1796)=5,COUNT(E1795:F1795)=2),IF(E1795&gt;=F1795,"Ready","Budget below minima"),"Check inputs")</x:f>
        <x:v>Ready</x:v>
      </x:c>
      <x:c r="U1795" s="22" t="n">
        <x:f>IF(COUNT(I1795,M1795,N1795)=3,MAX(0,ROUND(I1795+M1795-N1795,2)),"n.a.")</x:f>
        <x:v>0</x:v>
      </x:c>
    </x:row>
    <x:row r="1796" ht="22" customHeight="1">
      <x:c r="A1796" s="2"/>
      <x:c r="B1796" s="2"/>
      <x:c r="C1796" s="27" t="n">
        <x:f>358</x:f>
        <x:v>358</x:v>
      </x:c>
      <x:c r="D1796" s="28" t="n">
        <x:f>IF(ISNUMBER('Inputs'!$D$7),EDATE('Inputs'!$D$7,357),"n.a.")</x:f>
        <x:v>57193</x:v>
      </x:c>
      <x:c r="E1796" s="26" t="n">
        <x:f>IF('Inputs'!$D$9&lt;&gt;"Ready","n.a.",IF(ISNUMBER('Inputs'!E376),IF('Inputs'!E376&gt;=0,'Inputs'!E376,"n.a."),IF('Inputs'!E376="",'Inputs'!$D$6,"n.a.")))</x:f>
        <x:v>500</x:v>
      </x:c>
      <x:c r="F1796" s="22" t="n">
        <x:f>IF(COUNT($N$1792:$N$1796)=5,SUM($N$1792:$N$1796),"n.a.")</x:f>
        <x:v>0</x:v>
      </x:c>
      <x:c r="G1796" s="22" t="n">
        <x:f>IF(COUNT(E1796:F1796)=2,MAX(0,E1796-F1796),"n.a.")</x:f>
        <x:v>500</x:v>
      </x:c>
      <x:c r="H1796" s="26" t="str">
        <x:f>'Inputs'!C15</x:f>
        <x:v>Unused 5</x:v>
      </x:c>
      <x:c r="I1796" s="26" t="n">
        <x:f>S1791</x:f>
        <x:v>0</x:v>
      </x:c>
      <x:c r="J1796" s="29" t="n">
        <x:f>IF('Inputs'!$D$9="Ready",'Inputs'!E15,"n.a.")</x:f>
        <x:v>0</x:v>
      </x:c>
      <x:c r="K1796" s="26" t="n">
        <x:f>IF('Inputs'!$D$9="Ready",'Inputs'!F15,"n.a.")</x:f>
        <x:v>0</x:v>
      </x:c>
      <x:c r="L1796" s="29" t="n">
        <x:f>IF('Inputs'!$D$9="Ready",'Inputs'!G15,"n.a.")</x:f>
        <x:v>0</x:v>
      </x:c>
      <x:c r="M1796" s="22" t="n">
        <x:f>IF(COUNT(I1796:L1796)=4,ROUND(I1796*J1796/12,2),"n.a.")</x:f>
        <x:v>0</x:v>
      </x:c>
      <x:c r="N1796" s="22" t="n">
        <x:f>IF(COUNT(I1796:M1796)=5,MIN(I1796+M1796,ROUND(MAX(K1796,I1796*L1796+M1796),2)),"n.a.")</x:f>
        <x:v>0</x:v>
      </x:c>
      <x:c r="O1796" s="30" t="n">
        <x:f>IF(COUNT($I$1792:$I$1796)&lt;&gt;5,"n.a.",IF(I1796=0,6,IF('Inputs'!$D$5=1,COUNTIFS($I$1792:$I$1796,"&gt;0",$I$1792:$I$1796,"&lt;"&amp;I1796)+COUNTIFS($I$1792:I1796,I1796),COUNTIFS($I$1792:$I$1796,"&gt;0",$J$1792:$J$1796,"&gt;"&amp;J1796)+COUNTIFS($I$1792:I1796,"&gt;0",$J$1792:J1796,J1796))))</x:f>
        <x:v>6</x:v>
      </x:c>
      <x:c r="P1796" s="22" t="n">
        <x:f>IF(T1796="Ready",MIN(U1796,MAX(0,G1796-SUMIFS($U$1792:$U$1796,$O$1792:$O$1796,"&lt;"&amp;O1796))),"n.a.")</x:f>
        <x:v>0</x:v>
      </x:c>
      <x:c r="Q1796" s="22" t="n">
        <x:f>IF(T1796="Ready",ROUND(N1796+P1796,2),"n.a.")</x:f>
        <x:v>0</x:v>
      </x:c>
      <x:c r="R1796" s="22" t="n">
        <x:f>IF(T1796="Ready",ROUND(Q1796-M1796,2),"n.a.")</x:f>
        <x:v>0</x:v>
      </x:c>
      <x:c r="S1796" s="22" t="n">
        <x:f>IF(T1796="Ready",MAX(0,ROUND(I1796+M1796-Q1796,2)),"n.a.")</x:f>
        <x:v>0</x:v>
      </x:c>
      <x:c r="T1796" s="22" t="str">
        <x:f>IF(AND(COUNT($I$1792:$I$1796)=5,COUNT(E1796:F1796)=2),IF(E1796&gt;=F1796,"Ready","Budget below minima"),"Check inputs")</x:f>
        <x:v>Ready</x:v>
      </x:c>
      <x:c r="U1796" s="22" t="n">
        <x:f>IF(COUNT(I1796,M1796,N1796)=3,MAX(0,ROUND(I1796+M1796-N1796,2)),"n.a.")</x:f>
        <x:v>0</x:v>
      </x:c>
    </x:row>
    <x:row r="1797" ht="22" customHeight="1">
      <x:c r="A1797" s="2"/>
      <x:c r="B1797" s="2"/>
      <x:c r="C1797" s="27" t="n">
        <x:f>359</x:f>
        <x:v>359</x:v>
      </x:c>
      <x:c r="D1797" s="28" t="n">
        <x:f>IF(ISNUMBER('Inputs'!$D$7),EDATE('Inputs'!$D$7,358),"n.a.")</x:f>
        <x:v>57224</x:v>
      </x:c>
      <x:c r="E1797" s="26" t="n">
        <x:f>IF('Inputs'!$D$9&lt;&gt;"Ready","n.a.",IF(ISNUMBER('Inputs'!E377),IF('Inputs'!E377&gt;=0,'Inputs'!E377,"n.a."),IF('Inputs'!E377="",'Inputs'!$D$6,"n.a.")))</x:f>
        <x:v>500</x:v>
      </x:c>
      <x:c r="F1797" s="22" t="n">
        <x:f>IF(COUNT($N$1797:$N$1801)=5,SUM($N$1797:$N$1801),"n.a.")</x:f>
        <x:v>0</x:v>
      </x:c>
      <x:c r="G1797" s="22" t="n">
        <x:f>IF(COUNT(E1797:F1797)=2,MAX(0,E1797-F1797),"n.a.")</x:f>
        <x:v>500</x:v>
      </x:c>
      <x:c r="H1797" s="26" t="str">
        <x:f>'Inputs'!C11</x:f>
        <x:v>Card A</x:v>
      </x:c>
      <x:c r="I1797" s="26" t="n">
        <x:f>S1792</x:f>
        <x:v>0</x:v>
      </x:c>
      <x:c r="J1797" s="29" t="n">
        <x:f>IF('Inputs'!$D$9="Ready",'Inputs'!E11,"n.a.")</x:f>
        <x:v>0.24</x:v>
      </x:c>
      <x:c r="K1797" s="26" t="n">
        <x:f>IF('Inputs'!$D$9="Ready",'Inputs'!F11,"n.a.")</x:f>
        <x:v>35</x:v>
      </x:c>
      <x:c r="L1797" s="29" t="n">
        <x:f>IF('Inputs'!$D$9="Ready",'Inputs'!G11,"n.a.")</x:f>
        <x:v>0.02</x:v>
      </x:c>
      <x:c r="M1797" s="22" t="n">
        <x:f>IF(COUNT(I1797:L1797)=4,ROUND(I1797*J1797/12,2),"n.a.")</x:f>
        <x:v>0</x:v>
      </x:c>
      <x:c r="N1797" s="22" t="n">
        <x:f>IF(COUNT(I1797:M1797)=5,MIN(I1797+M1797,ROUND(MAX(K1797,I1797*L1797+M1797),2)),"n.a.")</x:f>
        <x:v>0</x:v>
      </x:c>
      <x:c r="O1797" s="30" t="n">
        <x:f>IF(COUNT($I$1797:$I$1801)&lt;&gt;5,"n.a.",IF(I1797=0,6,IF('Inputs'!$D$5=1,COUNTIFS($I$1797:$I$1801,"&gt;0",$I$1797:$I$1801,"&lt;"&amp;I1797)+COUNTIFS($I$1797:I1797,I1797),COUNTIFS($I$1797:$I$1801,"&gt;0",$J$1797:$J$1801,"&gt;"&amp;J1797)+COUNTIFS($I$1797:I1797,"&gt;0",$J$1797:J1797,J1797))))</x:f>
        <x:v>6</x:v>
      </x:c>
      <x:c r="P1797" s="22" t="n">
        <x:f>IF(T1797="Ready",MIN(U1797,MAX(0,G1797-SUMIFS($U$1797:$U$1801,$O$1797:$O$1801,"&lt;"&amp;O1797))),"n.a.")</x:f>
        <x:v>0</x:v>
      </x:c>
      <x:c r="Q1797" s="22" t="n">
        <x:f>IF(T1797="Ready",ROUND(N1797+P1797,2),"n.a.")</x:f>
        <x:v>0</x:v>
      </x:c>
      <x:c r="R1797" s="22" t="n">
        <x:f>IF(T1797="Ready",ROUND(Q1797-M1797,2),"n.a.")</x:f>
        <x:v>0</x:v>
      </x:c>
      <x:c r="S1797" s="22" t="n">
        <x:f>IF(T1797="Ready",MAX(0,ROUND(I1797+M1797-Q1797,2)),"n.a.")</x:f>
        <x:v>0</x:v>
      </x:c>
      <x:c r="T1797" s="22" t="str">
        <x:f>IF(AND(COUNT($I$1797:$I$1801)=5,COUNT(E1797:F1797)=2),IF(E1797&gt;=F1797,"Ready","Budget below minima"),"Check inputs")</x:f>
        <x:v>Ready</x:v>
      </x:c>
      <x:c r="U1797" s="22" t="n">
        <x:f>IF(COUNT(I1797,M1797,N1797)=3,MAX(0,ROUND(I1797+M1797-N1797,2)),"n.a.")</x:f>
        <x:v>0</x:v>
      </x:c>
    </x:row>
    <x:row r="1798" ht="22" customHeight="1">
      <x:c r="A1798" s="2"/>
      <x:c r="B1798" s="2"/>
      <x:c r="C1798" s="27" t="n">
        <x:f>359</x:f>
        <x:v>359</x:v>
      </x:c>
      <x:c r="D1798" s="28" t="n">
        <x:f>IF(ISNUMBER('Inputs'!$D$7),EDATE('Inputs'!$D$7,358),"n.a.")</x:f>
        <x:v>57224</x:v>
      </x:c>
      <x:c r="E1798" s="26" t="n">
        <x:f>IF('Inputs'!$D$9&lt;&gt;"Ready","n.a.",IF(ISNUMBER('Inputs'!E377),IF('Inputs'!E377&gt;=0,'Inputs'!E377,"n.a."),IF('Inputs'!E377="",'Inputs'!$D$6,"n.a.")))</x:f>
        <x:v>500</x:v>
      </x:c>
      <x:c r="F1798" s="22" t="n">
        <x:f>IF(COUNT($N$1797:$N$1801)=5,SUM($N$1797:$N$1801),"n.a.")</x:f>
        <x:v>0</x:v>
      </x:c>
      <x:c r="G1798" s="22" t="n">
        <x:f>IF(COUNT(E1798:F1798)=2,MAX(0,E1798-F1798),"n.a.")</x:f>
        <x:v>500</x:v>
      </x:c>
      <x:c r="H1798" s="26" t="str">
        <x:f>'Inputs'!C12</x:f>
        <x:v>Card B</x:v>
      </x:c>
      <x:c r="I1798" s="26" t="n">
        <x:f>S1793</x:f>
        <x:v>0</x:v>
      </x:c>
      <x:c r="J1798" s="29" t="n">
        <x:f>IF('Inputs'!$D$9="Ready",'Inputs'!E12,"n.a.")</x:f>
        <x:v>0.18</x:v>
      </x:c>
      <x:c r="K1798" s="26" t="n">
        <x:f>IF('Inputs'!$D$9="Ready",'Inputs'!F12,"n.a.")</x:f>
        <x:v>60</x:v>
      </x:c>
      <x:c r="L1798" s="29" t="n">
        <x:f>IF('Inputs'!$D$9="Ready",'Inputs'!G12,"n.a.")</x:f>
        <x:v>0.02</x:v>
      </x:c>
      <x:c r="M1798" s="22" t="n">
        <x:f>IF(COUNT(I1798:L1798)=4,ROUND(I1798*J1798/12,2),"n.a.")</x:f>
        <x:v>0</x:v>
      </x:c>
      <x:c r="N1798" s="22" t="n">
        <x:f>IF(COUNT(I1798:M1798)=5,MIN(I1798+M1798,ROUND(MAX(K1798,I1798*L1798+M1798),2)),"n.a.")</x:f>
        <x:v>0</x:v>
      </x:c>
      <x:c r="O1798" s="30" t="n">
        <x:f>IF(COUNT($I$1797:$I$1801)&lt;&gt;5,"n.a.",IF(I1798=0,6,IF('Inputs'!$D$5=1,COUNTIFS($I$1797:$I$1801,"&gt;0",$I$1797:$I$1801,"&lt;"&amp;I1798)+COUNTIFS($I$1797:I1798,I1798),COUNTIFS($I$1797:$I$1801,"&gt;0",$J$1797:$J$1801,"&gt;"&amp;J1798)+COUNTIFS($I$1797:I1798,"&gt;0",$J$1797:J1798,J1798))))</x:f>
        <x:v>6</x:v>
      </x:c>
      <x:c r="P1798" s="22" t="n">
        <x:f>IF(T1798="Ready",MIN(U1798,MAX(0,G1798-SUMIFS($U$1797:$U$1801,$O$1797:$O$1801,"&lt;"&amp;O1798))),"n.a.")</x:f>
        <x:v>0</x:v>
      </x:c>
      <x:c r="Q1798" s="22" t="n">
        <x:f>IF(T1798="Ready",ROUND(N1798+P1798,2),"n.a.")</x:f>
        <x:v>0</x:v>
      </x:c>
      <x:c r="R1798" s="22" t="n">
        <x:f>IF(T1798="Ready",ROUND(Q1798-M1798,2),"n.a.")</x:f>
        <x:v>0</x:v>
      </x:c>
      <x:c r="S1798" s="22" t="n">
        <x:f>IF(T1798="Ready",MAX(0,ROUND(I1798+M1798-Q1798,2)),"n.a.")</x:f>
        <x:v>0</x:v>
      </x:c>
      <x:c r="T1798" s="22" t="str">
        <x:f>IF(AND(COUNT($I$1797:$I$1801)=5,COUNT(E1798:F1798)=2),IF(E1798&gt;=F1798,"Ready","Budget below minima"),"Check inputs")</x:f>
        <x:v>Ready</x:v>
      </x:c>
      <x:c r="U1798" s="22" t="n">
        <x:f>IF(COUNT(I1798,M1798,N1798)=3,MAX(0,ROUND(I1798+M1798-N1798,2)),"n.a.")</x:f>
        <x:v>0</x:v>
      </x:c>
    </x:row>
    <x:row r="1799" ht="22" customHeight="1">
      <x:c r="A1799" s="2"/>
      <x:c r="B1799" s="2"/>
      <x:c r="C1799" s="27" t="n">
        <x:f>359</x:f>
        <x:v>359</x:v>
      </x:c>
      <x:c r="D1799" s="28" t="n">
        <x:f>IF(ISNUMBER('Inputs'!$D$7),EDATE('Inputs'!$D$7,358),"n.a.")</x:f>
        <x:v>57224</x:v>
      </x:c>
      <x:c r="E1799" s="26" t="n">
        <x:f>IF('Inputs'!$D$9&lt;&gt;"Ready","n.a.",IF(ISNUMBER('Inputs'!E377),IF('Inputs'!E377&gt;=0,'Inputs'!E377,"n.a."),IF('Inputs'!E377="",'Inputs'!$D$6,"n.a.")))</x:f>
        <x:v>500</x:v>
      </x:c>
      <x:c r="F1799" s="22" t="n">
        <x:f>IF(COUNT($N$1797:$N$1801)=5,SUM($N$1797:$N$1801),"n.a.")</x:f>
        <x:v>0</x:v>
      </x:c>
      <x:c r="G1799" s="22" t="n">
        <x:f>IF(COUNT(E1799:F1799)=2,MAX(0,E1799-F1799),"n.a.")</x:f>
        <x:v>500</x:v>
      </x:c>
      <x:c r="H1799" s="26" t="str">
        <x:f>'Inputs'!C13</x:f>
        <x:v>Loan C</x:v>
      </x:c>
      <x:c r="I1799" s="26" t="n">
        <x:f>S1794</x:f>
        <x:v>0</x:v>
      </x:c>
      <x:c r="J1799" s="29" t="n">
        <x:f>IF('Inputs'!$D$9="Ready",'Inputs'!E13,"n.a.")</x:f>
        <x:v>0.08</x:v>
      </x:c>
      <x:c r="K1799" s="26" t="n">
        <x:f>IF('Inputs'!$D$9="Ready",'Inputs'!F13,"n.a.")</x:f>
        <x:v>150</x:v>
      </x:c>
      <x:c r="L1799" s="29" t="n">
        <x:f>IF('Inputs'!$D$9="Ready",'Inputs'!G13,"n.a.")</x:f>
        <x:v>0</x:v>
      </x:c>
      <x:c r="M1799" s="22" t="n">
        <x:f>IF(COUNT(I1799:L1799)=4,ROUND(I1799*J1799/12,2),"n.a.")</x:f>
        <x:v>0</x:v>
      </x:c>
      <x:c r="N1799" s="22" t="n">
        <x:f>IF(COUNT(I1799:M1799)=5,MIN(I1799+M1799,ROUND(MAX(K1799,I1799*L1799+M1799),2)),"n.a.")</x:f>
        <x:v>0</x:v>
      </x:c>
      <x:c r="O1799" s="30" t="n">
        <x:f>IF(COUNT($I$1797:$I$1801)&lt;&gt;5,"n.a.",IF(I1799=0,6,IF('Inputs'!$D$5=1,COUNTIFS($I$1797:$I$1801,"&gt;0",$I$1797:$I$1801,"&lt;"&amp;I1799)+COUNTIFS($I$1797:I1799,I1799),COUNTIFS($I$1797:$I$1801,"&gt;0",$J$1797:$J$1801,"&gt;"&amp;J1799)+COUNTIFS($I$1797:I1799,"&gt;0",$J$1797:J1799,J1799))))</x:f>
        <x:v>6</x:v>
      </x:c>
      <x:c r="P1799" s="22" t="n">
        <x:f>IF(T1799="Ready",MIN(U1799,MAX(0,G1799-SUMIFS($U$1797:$U$1801,$O$1797:$O$1801,"&lt;"&amp;O1799))),"n.a.")</x:f>
        <x:v>0</x:v>
      </x:c>
      <x:c r="Q1799" s="22" t="n">
        <x:f>IF(T1799="Ready",ROUND(N1799+P1799,2),"n.a.")</x:f>
        <x:v>0</x:v>
      </x:c>
      <x:c r="R1799" s="22" t="n">
        <x:f>IF(T1799="Ready",ROUND(Q1799-M1799,2),"n.a.")</x:f>
        <x:v>0</x:v>
      </x:c>
      <x:c r="S1799" s="22" t="n">
        <x:f>IF(T1799="Ready",MAX(0,ROUND(I1799+M1799-Q1799,2)),"n.a.")</x:f>
        <x:v>0</x:v>
      </x:c>
      <x:c r="T1799" s="22" t="str">
        <x:f>IF(AND(COUNT($I$1797:$I$1801)=5,COUNT(E1799:F1799)=2),IF(E1799&gt;=F1799,"Ready","Budget below minima"),"Check inputs")</x:f>
        <x:v>Ready</x:v>
      </x:c>
      <x:c r="U1799" s="22" t="n">
        <x:f>IF(COUNT(I1799,M1799,N1799)=3,MAX(0,ROUND(I1799+M1799-N1799,2)),"n.a.")</x:f>
        <x:v>0</x:v>
      </x:c>
    </x:row>
    <x:row r="1800" ht="22" customHeight="1">
      <x:c r="A1800" s="2"/>
      <x:c r="B1800" s="2"/>
      <x:c r="C1800" s="27" t="n">
        <x:f>359</x:f>
        <x:v>359</x:v>
      </x:c>
      <x:c r="D1800" s="28" t="n">
        <x:f>IF(ISNUMBER('Inputs'!$D$7),EDATE('Inputs'!$D$7,358),"n.a.")</x:f>
        <x:v>57224</x:v>
      </x:c>
      <x:c r="E1800" s="26" t="n">
        <x:f>IF('Inputs'!$D$9&lt;&gt;"Ready","n.a.",IF(ISNUMBER('Inputs'!E377),IF('Inputs'!E377&gt;=0,'Inputs'!E377,"n.a."),IF('Inputs'!E377="",'Inputs'!$D$6,"n.a.")))</x:f>
        <x:v>500</x:v>
      </x:c>
      <x:c r="F1800" s="22" t="n">
        <x:f>IF(COUNT($N$1797:$N$1801)=5,SUM($N$1797:$N$1801),"n.a.")</x:f>
        <x:v>0</x:v>
      </x:c>
      <x:c r="G1800" s="22" t="n">
        <x:f>IF(COUNT(E1800:F1800)=2,MAX(0,E1800-F1800),"n.a.")</x:f>
        <x:v>500</x:v>
      </x:c>
      <x:c r="H1800" s="26" t="str">
        <x:f>'Inputs'!C14</x:f>
        <x:v>Unused 4</x:v>
      </x:c>
      <x:c r="I1800" s="26" t="n">
        <x:f>S1795</x:f>
        <x:v>0</x:v>
      </x:c>
      <x:c r="J1800" s="29" t="n">
        <x:f>IF('Inputs'!$D$9="Ready",'Inputs'!E14,"n.a.")</x:f>
        <x:v>0</x:v>
      </x:c>
      <x:c r="K1800" s="26" t="n">
        <x:f>IF('Inputs'!$D$9="Ready",'Inputs'!F14,"n.a.")</x:f>
        <x:v>0</x:v>
      </x:c>
      <x:c r="L1800" s="29" t="n">
        <x:f>IF('Inputs'!$D$9="Ready",'Inputs'!G14,"n.a.")</x:f>
        <x:v>0</x:v>
      </x:c>
      <x:c r="M1800" s="22" t="n">
        <x:f>IF(COUNT(I1800:L1800)=4,ROUND(I1800*J1800/12,2),"n.a.")</x:f>
        <x:v>0</x:v>
      </x:c>
      <x:c r="N1800" s="22" t="n">
        <x:f>IF(COUNT(I1800:M1800)=5,MIN(I1800+M1800,ROUND(MAX(K1800,I1800*L1800+M1800),2)),"n.a.")</x:f>
        <x:v>0</x:v>
      </x:c>
      <x:c r="O1800" s="30" t="n">
        <x:f>IF(COUNT($I$1797:$I$1801)&lt;&gt;5,"n.a.",IF(I1800=0,6,IF('Inputs'!$D$5=1,COUNTIFS($I$1797:$I$1801,"&gt;0",$I$1797:$I$1801,"&lt;"&amp;I1800)+COUNTIFS($I$1797:I1800,I1800),COUNTIFS($I$1797:$I$1801,"&gt;0",$J$1797:$J$1801,"&gt;"&amp;J1800)+COUNTIFS($I$1797:I1800,"&gt;0",$J$1797:J1800,J1800))))</x:f>
        <x:v>6</x:v>
      </x:c>
      <x:c r="P1800" s="22" t="n">
        <x:f>IF(T1800="Ready",MIN(U1800,MAX(0,G1800-SUMIFS($U$1797:$U$1801,$O$1797:$O$1801,"&lt;"&amp;O1800))),"n.a.")</x:f>
        <x:v>0</x:v>
      </x:c>
      <x:c r="Q1800" s="22" t="n">
        <x:f>IF(T1800="Ready",ROUND(N1800+P1800,2),"n.a.")</x:f>
        <x:v>0</x:v>
      </x:c>
      <x:c r="R1800" s="22" t="n">
        <x:f>IF(T1800="Ready",ROUND(Q1800-M1800,2),"n.a.")</x:f>
        <x:v>0</x:v>
      </x:c>
      <x:c r="S1800" s="22" t="n">
        <x:f>IF(T1800="Ready",MAX(0,ROUND(I1800+M1800-Q1800,2)),"n.a.")</x:f>
        <x:v>0</x:v>
      </x:c>
      <x:c r="T1800" s="22" t="str">
        <x:f>IF(AND(COUNT($I$1797:$I$1801)=5,COUNT(E1800:F1800)=2),IF(E1800&gt;=F1800,"Ready","Budget below minima"),"Check inputs")</x:f>
        <x:v>Ready</x:v>
      </x:c>
      <x:c r="U1800" s="22" t="n">
        <x:f>IF(COUNT(I1800,M1800,N1800)=3,MAX(0,ROUND(I1800+M1800-N1800,2)),"n.a.")</x:f>
        <x:v>0</x:v>
      </x:c>
    </x:row>
    <x:row r="1801" ht="22" customHeight="1">
      <x:c r="A1801" s="2"/>
      <x:c r="B1801" s="2"/>
      <x:c r="C1801" s="27" t="n">
        <x:f>359</x:f>
        <x:v>359</x:v>
      </x:c>
      <x:c r="D1801" s="28" t="n">
        <x:f>IF(ISNUMBER('Inputs'!$D$7),EDATE('Inputs'!$D$7,358),"n.a.")</x:f>
        <x:v>57224</x:v>
      </x:c>
      <x:c r="E1801" s="26" t="n">
        <x:f>IF('Inputs'!$D$9&lt;&gt;"Ready","n.a.",IF(ISNUMBER('Inputs'!E377),IF('Inputs'!E377&gt;=0,'Inputs'!E377,"n.a."),IF('Inputs'!E377="",'Inputs'!$D$6,"n.a.")))</x:f>
        <x:v>500</x:v>
      </x:c>
      <x:c r="F1801" s="22" t="n">
        <x:f>IF(COUNT($N$1797:$N$1801)=5,SUM($N$1797:$N$1801),"n.a.")</x:f>
        <x:v>0</x:v>
      </x:c>
      <x:c r="G1801" s="22" t="n">
        <x:f>IF(COUNT(E1801:F1801)=2,MAX(0,E1801-F1801),"n.a.")</x:f>
        <x:v>500</x:v>
      </x:c>
      <x:c r="H1801" s="26" t="str">
        <x:f>'Inputs'!C15</x:f>
        <x:v>Unused 5</x:v>
      </x:c>
      <x:c r="I1801" s="26" t="n">
        <x:f>S1796</x:f>
        <x:v>0</x:v>
      </x:c>
      <x:c r="J1801" s="29" t="n">
        <x:f>IF('Inputs'!$D$9="Ready",'Inputs'!E15,"n.a.")</x:f>
        <x:v>0</x:v>
      </x:c>
      <x:c r="K1801" s="26" t="n">
        <x:f>IF('Inputs'!$D$9="Ready",'Inputs'!F15,"n.a.")</x:f>
        <x:v>0</x:v>
      </x:c>
      <x:c r="L1801" s="29" t="n">
        <x:f>IF('Inputs'!$D$9="Ready",'Inputs'!G15,"n.a.")</x:f>
        <x:v>0</x:v>
      </x:c>
      <x:c r="M1801" s="22" t="n">
        <x:f>IF(COUNT(I1801:L1801)=4,ROUND(I1801*J1801/12,2),"n.a.")</x:f>
        <x:v>0</x:v>
      </x:c>
      <x:c r="N1801" s="22" t="n">
        <x:f>IF(COUNT(I1801:M1801)=5,MIN(I1801+M1801,ROUND(MAX(K1801,I1801*L1801+M1801),2)),"n.a.")</x:f>
        <x:v>0</x:v>
      </x:c>
      <x:c r="O1801" s="30" t="n">
        <x:f>IF(COUNT($I$1797:$I$1801)&lt;&gt;5,"n.a.",IF(I1801=0,6,IF('Inputs'!$D$5=1,COUNTIFS($I$1797:$I$1801,"&gt;0",$I$1797:$I$1801,"&lt;"&amp;I1801)+COUNTIFS($I$1797:I1801,I1801),COUNTIFS($I$1797:$I$1801,"&gt;0",$J$1797:$J$1801,"&gt;"&amp;J1801)+COUNTIFS($I$1797:I1801,"&gt;0",$J$1797:J1801,J1801))))</x:f>
        <x:v>6</x:v>
      </x:c>
      <x:c r="P1801" s="22" t="n">
        <x:f>IF(T1801="Ready",MIN(U1801,MAX(0,G1801-SUMIFS($U$1797:$U$1801,$O$1797:$O$1801,"&lt;"&amp;O1801))),"n.a.")</x:f>
        <x:v>0</x:v>
      </x:c>
      <x:c r="Q1801" s="22" t="n">
        <x:f>IF(T1801="Ready",ROUND(N1801+P1801,2),"n.a.")</x:f>
        <x:v>0</x:v>
      </x:c>
      <x:c r="R1801" s="22" t="n">
        <x:f>IF(T1801="Ready",ROUND(Q1801-M1801,2),"n.a.")</x:f>
        <x:v>0</x:v>
      </x:c>
      <x:c r="S1801" s="22" t="n">
        <x:f>IF(T1801="Ready",MAX(0,ROUND(I1801+M1801-Q1801,2)),"n.a.")</x:f>
        <x:v>0</x:v>
      </x:c>
      <x:c r="T1801" s="22" t="str">
        <x:f>IF(AND(COUNT($I$1797:$I$1801)=5,COUNT(E1801:F1801)=2),IF(E1801&gt;=F1801,"Ready","Budget below minima"),"Check inputs")</x:f>
        <x:v>Ready</x:v>
      </x:c>
      <x:c r="U1801" s="22" t="n">
        <x:f>IF(COUNT(I1801,M1801,N1801)=3,MAX(0,ROUND(I1801+M1801-N1801,2)),"n.a.")</x:f>
        <x:v>0</x:v>
      </x:c>
    </x:row>
    <x:row r="1802" ht="22" customHeight="1">
      <x:c r="A1802" s="2"/>
      <x:c r="B1802" s="2"/>
      <x:c r="C1802" s="27" t="n">
        <x:f>360</x:f>
        <x:v>360</x:v>
      </x:c>
      <x:c r="D1802" s="28" t="n">
        <x:f>IF(ISNUMBER('Inputs'!$D$7),EDATE('Inputs'!$D$7,359),"n.a.")</x:f>
        <x:v>57254</x:v>
      </x:c>
      <x:c r="E1802" s="26" t="n">
        <x:f>IF('Inputs'!$D$9&lt;&gt;"Ready","n.a.",IF(ISNUMBER('Inputs'!E378),IF('Inputs'!E378&gt;=0,'Inputs'!E378,"n.a."),IF('Inputs'!E378="",'Inputs'!$D$6,"n.a.")))</x:f>
        <x:v>500</x:v>
      </x:c>
      <x:c r="F1802" s="22" t="n">
        <x:f>IF(COUNT($N$1802:$N$1806)=5,SUM($N$1802:$N$1806),"n.a.")</x:f>
        <x:v>0</x:v>
      </x:c>
      <x:c r="G1802" s="22" t="n">
        <x:f>IF(COUNT(E1802:F1802)=2,MAX(0,E1802-F1802),"n.a.")</x:f>
        <x:v>500</x:v>
      </x:c>
      <x:c r="H1802" s="26" t="str">
        <x:f>'Inputs'!C11</x:f>
        <x:v>Card A</x:v>
      </x:c>
      <x:c r="I1802" s="26" t="n">
        <x:f>S1797</x:f>
        <x:v>0</x:v>
      </x:c>
      <x:c r="J1802" s="29" t="n">
        <x:f>IF('Inputs'!$D$9="Ready",'Inputs'!E11,"n.a.")</x:f>
        <x:v>0.24</x:v>
      </x:c>
      <x:c r="K1802" s="26" t="n">
        <x:f>IF('Inputs'!$D$9="Ready",'Inputs'!F11,"n.a.")</x:f>
        <x:v>35</x:v>
      </x:c>
      <x:c r="L1802" s="29" t="n">
        <x:f>IF('Inputs'!$D$9="Ready",'Inputs'!G11,"n.a.")</x:f>
        <x:v>0.02</x:v>
      </x:c>
      <x:c r="M1802" s="22" t="n">
        <x:f>IF(COUNT(I1802:L1802)=4,ROUND(I1802*J1802/12,2),"n.a.")</x:f>
        <x:v>0</x:v>
      </x:c>
      <x:c r="N1802" s="22" t="n">
        <x:f>IF(COUNT(I1802:M1802)=5,MIN(I1802+M1802,ROUND(MAX(K1802,I1802*L1802+M1802),2)),"n.a.")</x:f>
        <x:v>0</x:v>
      </x:c>
      <x:c r="O1802" s="30" t="n">
        <x:f>IF(COUNT($I$1802:$I$1806)&lt;&gt;5,"n.a.",IF(I1802=0,6,IF('Inputs'!$D$5=1,COUNTIFS($I$1802:$I$1806,"&gt;0",$I$1802:$I$1806,"&lt;"&amp;I1802)+COUNTIFS($I$1802:I1802,I1802),COUNTIFS($I$1802:$I$1806,"&gt;0",$J$1802:$J$1806,"&gt;"&amp;J1802)+COUNTIFS($I$1802:I1802,"&gt;0",$J$1802:J1802,J1802))))</x:f>
        <x:v>6</x:v>
      </x:c>
      <x:c r="P1802" s="22" t="n">
        <x:f>IF(T1802="Ready",MIN(U1802,MAX(0,G1802-SUMIFS($U$1802:$U$1806,$O$1802:$O$1806,"&lt;"&amp;O1802))),"n.a.")</x:f>
        <x:v>0</x:v>
      </x:c>
      <x:c r="Q1802" s="22" t="n">
        <x:f>IF(T1802="Ready",ROUND(N1802+P1802,2),"n.a.")</x:f>
        <x:v>0</x:v>
      </x:c>
      <x:c r="R1802" s="22" t="n">
        <x:f>IF(T1802="Ready",ROUND(Q1802-M1802,2),"n.a.")</x:f>
        <x:v>0</x:v>
      </x:c>
      <x:c r="S1802" s="22" t="n">
        <x:f>IF(T1802="Ready",MAX(0,ROUND(I1802+M1802-Q1802,2)),"n.a.")</x:f>
        <x:v>0</x:v>
      </x:c>
      <x:c r="T1802" s="22" t="str">
        <x:f>IF(AND(COUNT($I$1802:$I$1806)=5,COUNT(E1802:F1802)=2),IF(E1802&gt;=F1802,"Ready","Budget below minima"),"Check inputs")</x:f>
        <x:v>Ready</x:v>
      </x:c>
      <x:c r="U1802" s="22" t="n">
        <x:f>IF(COUNT(I1802,M1802,N1802)=3,MAX(0,ROUND(I1802+M1802-N1802,2)),"n.a.")</x:f>
        <x:v>0</x:v>
      </x:c>
    </x:row>
    <x:row r="1803" ht="22" customHeight="1">
      <x:c r="A1803" s="2"/>
      <x:c r="B1803" s="2"/>
      <x:c r="C1803" s="27" t="n">
        <x:f>360</x:f>
        <x:v>360</x:v>
      </x:c>
      <x:c r="D1803" s="28" t="n">
        <x:f>IF(ISNUMBER('Inputs'!$D$7),EDATE('Inputs'!$D$7,359),"n.a.")</x:f>
        <x:v>57254</x:v>
      </x:c>
      <x:c r="E1803" s="26" t="n">
        <x:f>IF('Inputs'!$D$9&lt;&gt;"Ready","n.a.",IF(ISNUMBER('Inputs'!E378),IF('Inputs'!E378&gt;=0,'Inputs'!E378,"n.a."),IF('Inputs'!E378="",'Inputs'!$D$6,"n.a.")))</x:f>
        <x:v>500</x:v>
      </x:c>
      <x:c r="F1803" s="22" t="n">
        <x:f>IF(COUNT($N$1802:$N$1806)=5,SUM($N$1802:$N$1806),"n.a.")</x:f>
        <x:v>0</x:v>
      </x:c>
      <x:c r="G1803" s="22" t="n">
        <x:f>IF(COUNT(E1803:F1803)=2,MAX(0,E1803-F1803),"n.a.")</x:f>
        <x:v>500</x:v>
      </x:c>
      <x:c r="H1803" s="26" t="str">
        <x:f>'Inputs'!C12</x:f>
        <x:v>Card B</x:v>
      </x:c>
      <x:c r="I1803" s="26" t="n">
        <x:f>S1798</x:f>
        <x:v>0</x:v>
      </x:c>
      <x:c r="J1803" s="29" t="n">
        <x:f>IF('Inputs'!$D$9="Ready",'Inputs'!E12,"n.a.")</x:f>
        <x:v>0.18</x:v>
      </x:c>
      <x:c r="K1803" s="26" t="n">
        <x:f>IF('Inputs'!$D$9="Ready",'Inputs'!F12,"n.a.")</x:f>
        <x:v>60</x:v>
      </x:c>
      <x:c r="L1803" s="29" t="n">
        <x:f>IF('Inputs'!$D$9="Ready",'Inputs'!G12,"n.a.")</x:f>
        <x:v>0.02</x:v>
      </x:c>
      <x:c r="M1803" s="22" t="n">
        <x:f>IF(COUNT(I1803:L1803)=4,ROUND(I1803*J1803/12,2),"n.a.")</x:f>
        <x:v>0</x:v>
      </x:c>
      <x:c r="N1803" s="22" t="n">
        <x:f>IF(COUNT(I1803:M1803)=5,MIN(I1803+M1803,ROUND(MAX(K1803,I1803*L1803+M1803),2)),"n.a.")</x:f>
        <x:v>0</x:v>
      </x:c>
      <x:c r="O1803" s="30" t="n">
        <x:f>IF(COUNT($I$1802:$I$1806)&lt;&gt;5,"n.a.",IF(I1803=0,6,IF('Inputs'!$D$5=1,COUNTIFS($I$1802:$I$1806,"&gt;0",$I$1802:$I$1806,"&lt;"&amp;I1803)+COUNTIFS($I$1802:I1803,I1803),COUNTIFS($I$1802:$I$1806,"&gt;0",$J$1802:$J$1806,"&gt;"&amp;J1803)+COUNTIFS($I$1802:I1803,"&gt;0",$J$1802:J1803,J1803))))</x:f>
        <x:v>6</x:v>
      </x:c>
      <x:c r="P1803" s="22" t="n">
        <x:f>IF(T1803="Ready",MIN(U1803,MAX(0,G1803-SUMIFS($U$1802:$U$1806,$O$1802:$O$1806,"&lt;"&amp;O1803))),"n.a.")</x:f>
        <x:v>0</x:v>
      </x:c>
      <x:c r="Q1803" s="22" t="n">
        <x:f>IF(T1803="Ready",ROUND(N1803+P1803,2),"n.a.")</x:f>
        <x:v>0</x:v>
      </x:c>
      <x:c r="R1803" s="22" t="n">
        <x:f>IF(T1803="Ready",ROUND(Q1803-M1803,2),"n.a.")</x:f>
        <x:v>0</x:v>
      </x:c>
      <x:c r="S1803" s="22" t="n">
        <x:f>IF(T1803="Ready",MAX(0,ROUND(I1803+M1803-Q1803,2)),"n.a.")</x:f>
        <x:v>0</x:v>
      </x:c>
      <x:c r="T1803" s="22" t="str">
        <x:f>IF(AND(COUNT($I$1802:$I$1806)=5,COUNT(E1803:F1803)=2),IF(E1803&gt;=F1803,"Ready","Budget below minima"),"Check inputs")</x:f>
        <x:v>Ready</x:v>
      </x:c>
      <x:c r="U1803" s="22" t="n">
        <x:f>IF(COUNT(I1803,M1803,N1803)=3,MAX(0,ROUND(I1803+M1803-N1803,2)),"n.a.")</x:f>
        <x:v>0</x:v>
      </x:c>
    </x:row>
    <x:row r="1804" ht="22" customHeight="1">
      <x:c r="A1804" s="2"/>
      <x:c r="B1804" s="2"/>
      <x:c r="C1804" s="27" t="n">
        <x:f>360</x:f>
        <x:v>360</x:v>
      </x:c>
      <x:c r="D1804" s="28" t="n">
        <x:f>IF(ISNUMBER('Inputs'!$D$7),EDATE('Inputs'!$D$7,359),"n.a.")</x:f>
        <x:v>57254</x:v>
      </x:c>
      <x:c r="E1804" s="26" t="n">
        <x:f>IF('Inputs'!$D$9&lt;&gt;"Ready","n.a.",IF(ISNUMBER('Inputs'!E378),IF('Inputs'!E378&gt;=0,'Inputs'!E378,"n.a."),IF('Inputs'!E378="",'Inputs'!$D$6,"n.a.")))</x:f>
        <x:v>500</x:v>
      </x:c>
      <x:c r="F1804" s="22" t="n">
        <x:f>IF(COUNT($N$1802:$N$1806)=5,SUM($N$1802:$N$1806),"n.a.")</x:f>
        <x:v>0</x:v>
      </x:c>
      <x:c r="G1804" s="22" t="n">
        <x:f>IF(COUNT(E1804:F1804)=2,MAX(0,E1804-F1804),"n.a.")</x:f>
        <x:v>500</x:v>
      </x:c>
      <x:c r="H1804" s="26" t="str">
        <x:f>'Inputs'!C13</x:f>
        <x:v>Loan C</x:v>
      </x:c>
      <x:c r="I1804" s="26" t="n">
        <x:f>S1799</x:f>
        <x:v>0</x:v>
      </x:c>
      <x:c r="J1804" s="29" t="n">
        <x:f>IF('Inputs'!$D$9="Ready",'Inputs'!E13,"n.a.")</x:f>
        <x:v>0.08</x:v>
      </x:c>
      <x:c r="K1804" s="26" t="n">
        <x:f>IF('Inputs'!$D$9="Ready",'Inputs'!F13,"n.a.")</x:f>
        <x:v>150</x:v>
      </x:c>
      <x:c r="L1804" s="29" t="n">
        <x:f>IF('Inputs'!$D$9="Ready",'Inputs'!G13,"n.a.")</x:f>
        <x:v>0</x:v>
      </x:c>
      <x:c r="M1804" s="22" t="n">
        <x:f>IF(COUNT(I1804:L1804)=4,ROUND(I1804*J1804/12,2),"n.a.")</x:f>
        <x:v>0</x:v>
      </x:c>
      <x:c r="N1804" s="22" t="n">
        <x:f>IF(COUNT(I1804:M1804)=5,MIN(I1804+M1804,ROUND(MAX(K1804,I1804*L1804+M1804),2)),"n.a.")</x:f>
        <x:v>0</x:v>
      </x:c>
      <x:c r="O1804" s="30" t="n">
        <x:f>IF(COUNT($I$1802:$I$1806)&lt;&gt;5,"n.a.",IF(I1804=0,6,IF('Inputs'!$D$5=1,COUNTIFS($I$1802:$I$1806,"&gt;0",$I$1802:$I$1806,"&lt;"&amp;I1804)+COUNTIFS($I$1802:I1804,I1804),COUNTIFS($I$1802:$I$1806,"&gt;0",$J$1802:$J$1806,"&gt;"&amp;J1804)+COUNTIFS($I$1802:I1804,"&gt;0",$J$1802:J1804,J1804))))</x:f>
        <x:v>6</x:v>
      </x:c>
      <x:c r="P1804" s="22" t="n">
        <x:f>IF(T1804="Ready",MIN(U1804,MAX(0,G1804-SUMIFS($U$1802:$U$1806,$O$1802:$O$1806,"&lt;"&amp;O1804))),"n.a.")</x:f>
        <x:v>0</x:v>
      </x:c>
      <x:c r="Q1804" s="22" t="n">
        <x:f>IF(T1804="Ready",ROUND(N1804+P1804,2),"n.a.")</x:f>
        <x:v>0</x:v>
      </x:c>
      <x:c r="R1804" s="22" t="n">
        <x:f>IF(T1804="Ready",ROUND(Q1804-M1804,2),"n.a.")</x:f>
        <x:v>0</x:v>
      </x:c>
      <x:c r="S1804" s="22" t="n">
        <x:f>IF(T1804="Ready",MAX(0,ROUND(I1804+M1804-Q1804,2)),"n.a.")</x:f>
        <x:v>0</x:v>
      </x:c>
      <x:c r="T1804" s="22" t="str">
        <x:f>IF(AND(COUNT($I$1802:$I$1806)=5,COUNT(E1804:F1804)=2),IF(E1804&gt;=F1804,"Ready","Budget below minima"),"Check inputs")</x:f>
        <x:v>Ready</x:v>
      </x:c>
      <x:c r="U1804" s="22" t="n">
        <x:f>IF(COUNT(I1804,M1804,N1804)=3,MAX(0,ROUND(I1804+M1804-N1804,2)),"n.a.")</x:f>
        <x:v>0</x:v>
      </x:c>
    </x:row>
    <x:row r="1805" ht="22" customHeight="1">
      <x:c r="A1805" s="2"/>
      <x:c r="B1805" s="2"/>
      <x:c r="C1805" s="27" t="n">
        <x:f>360</x:f>
        <x:v>360</x:v>
      </x:c>
      <x:c r="D1805" s="28" t="n">
        <x:f>IF(ISNUMBER('Inputs'!$D$7),EDATE('Inputs'!$D$7,359),"n.a.")</x:f>
        <x:v>57254</x:v>
      </x:c>
      <x:c r="E1805" s="26" t="n">
        <x:f>IF('Inputs'!$D$9&lt;&gt;"Ready","n.a.",IF(ISNUMBER('Inputs'!E378),IF('Inputs'!E378&gt;=0,'Inputs'!E378,"n.a."),IF('Inputs'!E378="",'Inputs'!$D$6,"n.a.")))</x:f>
        <x:v>500</x:v>
      </x:c>
      <x:c r="F1805" s="22" t="n">
        <x:f>IF(COUNT($N$1802:$N$1806)=5,SUM($N$1802:$N$1806),"n.a.")</x:f>
        <x:v>0</x:v>
      </x:c>
      <x:c r="G1805" s="22" t="n">
        <x:f>IF(COUNT(E1805:F1805)=2,MAX(0,E1805-F1805),"n.a.")</x:f>
        <x:v>500</x:v>
      </x:c>
      <x:c r="H1805" s="26" t="str">
        <x:f>'Inputs'!C14</x:f>
        <x:v>Unused 4</x:v>
      </x:c>
      <x:c r="I1805" s="26" t="n">
        <x:f>S1800</x:f>
        <x:v>0</x:v>
      </x:c>
      <x:c r="J1805" s="29" t="n">
        <x:f>IF('Inputs'!$D$9="Ready",'Inputs'!E14,"n.a.")</x:f>
        <x:v>0</x:v>
      </x:c>
      <x:c r="K1805" s="26" t="n">
        <x:f>IF('Inputs'!$D$9="Ready",'Inputs'!F14,"n.a.")</x:f>
        <x:v>0</x:v>
      </x:c>
      <x:c r="L1805" s="29" t="n">
        <x:f>IF('Inputs'!$D$9="Ready",'Inputs'!G14,"n.a.")</x:f>
        <x:v>0</x:v>
      </x:c>
      <x:c r="M1805" s="22" t="n">
        <x:f>IF(COUNT(I1805:L1805)=4,ROUND(I1805*J1805/12,2),"n.a.")</x:f>
        <x:v>0</x:v>
      </x:c>
      <x:c r="N1805" s="22" t="n">
        <x:f>IF(COUNT(I1805:M1805)=5,MIN(I1805+M1805,ROUND(MAX(K1805,I1805*L1805+M1805),2)),"n.a.")</x:f>
        <x:v>0</x:v>
      </x:c>
      <x:c r="O1805" s="30" t="n">
        <x:f>IF(COUNT($I$1802:$I$1806)&lt;&gt;5,"n.a.",IF(I1805=0,6,IF('Inputs'!$D$5=1,COUNTIFS($I$1802:$I$1806,"&gt;0",$I$1802:$I$1806,"&lt;"&amp;I1805)+COUNTIFS($I$1802:I1805,I1805),COUNTIFS($I$1802:$I$1806,"&gt;0",$J$1802:$J$1806,"&gt;"&amp;J1805)+COUNTIFS($I$1802:I1805,"&gt;0",$J$1802:J1805,J1805))))</x:f>
        <x:v>6</x:v>
      </x:c>
      <x:c r="P1805" s="22" t="n">
        <x:f>IF(T1805="Ready",MIN(U1805,MAX(0,G1805-SUMIFS($U$1802:$U$1806,$O$1802:$O$1806,"&lt;"&amp;O1805))),"n.a.")</x:f>
        <x:v>0</x:v>
      </x:c>
      <x:c r="Q1805" s="22" t="n">
        <x:f>IF(T1805="Ready",ROUND(N1805+P1805,2),"n.a.")</x:f>
        <x:v>0</x:v>
      </x:c>
      <x:c r="R1805" s="22" t="n">
        <x:f>IF(T1805="Ready",ROUND(Q1805-M1805,2),"n.a.")</x:f>
        <x:v>0</x:v>
      </x:c>
      <x:c r="S1805" s="22" t="n">
        <x:f>IF(T1805="Ready",MAX(0,ROUND(I1805+M1805-Q1805,2)),"n.a.")</x:f>
        <x:v>0</x:v>
      </x:c>
      <x:c r="T1805" s="22" t="str">
        <x:f>IF(AND(COUNT($I$1802:$I$1806)=5,COUNT(E1805:F1805)=2),IF(E1805&gt;=F1805,"Ready","Budget below minima"),"Check inputs")</x:f>
        <x:v>Ready</x:v>
      </x:c>
      <x:c r="U1805" s="22" t="n">
        <x:f>IF(COUNT(I1805,M1805,N1805)=3,MAX(0,ROUND(I1805+M1805-N1805,2)),"n.a.")</x:f>
        <x:v>0</x:v>
      </x:c>
    </x:row>
    <x:row r="1806" ht="22" customHeight="1">
      <x:c r="A1806" s="2"/>
      <x:c r="B1806" s="2"/>
      <x:c r="C1806" s="27" t="n">
        <x:f>360</x:f>
        <x:v>360</x:v>
      </x:c>
      <x:c r="D1806" s="28" t="n">
        <x:f>IF(ISNUMBER('Inputs'!$D$7),EDATE('Inputs'!$D$7,359),"n.a.")</x:f>
        <x:v>57254</x:v>
      </x:c>
      <x:c r="E1806" s="26" t="n">
        <x:f>IF('Inputs'!$D$9&lt;&gt;"Ready","n.a.",IF(ISNUMBER('Inputs'!E378),IF('Inputs'!E378&gt;=0,'Inputs'!E378,"n.a."),IF('Inputs'!E378="",'Inputs'!$D$6,"n.a.")))</x:f>
        <x:v>500</x:v>
      </x:c>
      <x:c r="F1806" s="22" t="n">
        <x:f>IF(COUNT($N$1802:$N$1806)=5,SUM($N$1802:$N$1806),"n.a.")</x:f>
        <x:v>0</x:v>
      </x:c>
      <x:c r="G1806" s="22" t="n">
        <x:f>IF(COUNT(E1806:F1806)=2,MAX(0,E1806-F1806),"n.a.")</x:f>
        <x:v>500</x:v>
      </x:c>
      <x:c r="H1806" s="26" t="str">
        <x:f>'Inputs'!C15</x:f>
        <x:v>Unused 5</x:v>
      </x:c>
      <x:c r="I1806" s="26" t="n">
        <x:f>S1801</x:f>
        <x:v>0</x:v>
      </x:c>
      <x:c r="J1806" s="29" t="n">
        <x:f>IF('Inputs'!$D$9="Ready",'Inputs'!E15,"n.a.")</x:f>
        <x:v>0</x:v>
      </x:c>
      <x:c r="K1806" s="26" t="n">
        <x:f>IF('Inputs'!$D$9="Ready",'Inputs'!F15,"n.a.")</x:f>
        <x:v>0</x:v>
      </x:c>
      <x:c r="L1806" s="29" t="n">
        <x:f>IF('Inputs'!$D$9="Ready",'Inputs'!G15,"n.a.")</x:f>
        <x:v>0</x:v>
      </x:c>
      <x:c r="M1806" s="22" t="n">
        <x:f>IF(COUNT(I1806:L1806)=4,ROUND(I1806*J1806/12,2),"n.a.")</x:f>
        <x:v>0</x:v>
      </x:c>
      <x:c r="N1806" s="22" t="n">
        <x:f>IF(COUNT(I1806:M1806)=5,MIN(I1806+M1806,ROUND(MAX(K1806,I1806*L1806+M1806),2)),"n.a.")</x:f>
        <x:v>0</x:v>
      </x:c>
      <x:c r="O1806" s="30" t="n">
        <x:f>IF(COUNT($I$1802:$I$1806)&lt;&gt;5,"n.a.",IF(I1806=0,6,IF('Inputs'!$D$5=1,COUNTIFS($I$1802:$I$1806,"&gt;0",$I$1802:$I$1806,"&lt;"&amp;I1806)+COUNTIFS($I$1802:I1806,I1806),COUNTIFS($I$1802:$I$1806,"&gt;0",$J$1802:$J$1806,"&gt;"&amp;J1806)+COUNTIFS($I$1802:I1806,"&gt;0",$J$1802:J1806,J1806))))</x:f>
        <x:v>6</x:v>
      </x:c>
      <x:c r="P1806" s="22" t="n">
        <x:f>IF(T1806="Ready",MIN(U1806,MAX(0,G1806-SUMIFS($U$1802:$U$1806,$O$1802:$O$1806,"&lt;"&amp;O1806))),"n.a.")</x:f>
        <x:v>0</x:v>
      </x:c>
      <x:c r="Q1806" s="22" t="n">
        <x:f>IF(T1806="Ready",ROUND(N1806+P1806,2),"n.a.")</x:f>
        <x:v>0</x:v>
      </x:c>
      <x:c r="R1806" s="22" t="n">
        <x:f>IF(T1806="Ready",ROUND(Q1806-M1806,2),"n.a.")</x:f>
        <x:v>0</x:v>
      </x:c>
      <x:c r="S1806" s="22" t="n">
        <x:f>IF(T1806="Ready",MAX(0,ROUND(I1806+M1806-Q1806,2)),"n.a.")</x:f>
        <x:v>0</x:v>
      </x:c>
      <x:c r="T1806" s="22" t="str">
        <x:f>IF(AND(COUNT($I$1802:$I$1806)=5,COUNT(E1806:F1806)=2),IF(E1806&gt;=F1806,"Ready","Budget below minima"),"Check inputs")</x:f>
        <x:v>Ready</x:v>
      </x:c>
      <x:c r="U1806" s="22" t="n">
        <x:f>IF(COUNT(I1806,M1806,N1806)=3,MAX(0,ROUND(I1806+M1806-N1806,2)),"n.a.")</x:f>
        <x:v>0</x:v>
      </x:c>
    </x:row>
  </x:sheetData>
  <x:conditionalFormatting sqref="T7:T1806">
    <x:cfRule type="notContainsText" dxfId="0" priority="1" text="Ready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27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2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2" customHeight="1">
      <x:c r="A2" s="2"/>
      <x:c r="B2" s="2"/>
      <x:c r="C2" s="5" t="str">
        <x:v>Debt and payment inputs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22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2" customHeight="1">
      <x:c r="A4" s="2"/>
      <x:c r="B4" s="2"/>
      <x:c r="C4" s="2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</x:row>
    <x:row r="5" ht="32" customHeight="1">
      <x:c r="A5" s="2"/>
      <x:c r="B5" s="2"/>
      <x:c r="C5" s="10" t="str">
        <x:v>Strategy: 1 snowball, 2 avalanche</x:v>
      </x:c>
      <x:c r="D5" s="8" t="n">
        <x:v>1</x:v>
      </x:c>
      <x:c r="E5" s="4"/>
      <x:c r="F5" s="4"/>
      <x:c r="G5" s="4"/>
      <x:c r="H5" s="4"/>
      <x:c r="I5" s="4" t="str">
        <x:v>Blue inputs are editable. All amounts are invented USD.</x:v>
      </x:c>
      <x:c r="J5" s="4"/>
      <x:c r="K5" s="4"/>
      <x:c r="L5" s="4"/>
      <x:c r="M5" s="4"/>
      <x:c r="N5" s="4"/>
      <x:c r="O5" s="4"/>
      <x:c r="P5" s="4"/>
    </x:row>
    <x:row r="6" ht="22" customHeight="1">
      <x:c r="A6" s="2"/>
      <x:c r="B6" s="2"/>
      <x:c r="C6" s="2" t="str">
        <x:v>Default monthly budget</x:v>
      </x:c>
      <x:c r="D6" s="7" t="n">
        <x:v>500</x:v>
      </x:c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</x:row>
    <x:row r="7" ht="22" customHeight="1">
      <x:c r="A7" s="2"/>
      <x:c r="B7" s="2"/>
      <x:c r="C7" s="2" t="str">
        <x:v>First payment date</x:v>
      </x:c>
      <x:c r="D7" s="9" t="d">
        <x:v>2026-11-01T00:00:00.000Z</x:v>
      </x:c>
      <x:c r="E7" s="4"/>
      <x:c r="F7" s="4"/>
      <x:c r="G7" s="4"/>
      <x:c r="H7" s="4"/>
      <x:c r="I7" s="4" t="str">
        <x:v>Blank override uses default. Enter 0 to model no budget.</x:v>
      </x:c>
      <x:c r="J7" s="4"/>
      <x:c r="K7" s="4"/>
      <x:c r="L7" s="4"/>
      <x:c r="M7" s="4"/>
      <x:c r="N7" s="4"/>
      <x:c r="O7" s="4"/>
      <x:c r="P7" s="4"/>
    </x:row>
    <x:row r="8" ht="22" customHeight="1">
      <x:c r="A8" s="2"/>
      <x:c r="B8" s="2"/>
      <x:c r="C8" s="2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</x:row>
    <x:row r="9" ht="22" customHeight="1">
      <x:c r="A9" s="2"/>
      <x:c r="B9" s="2"/>
      <x:c r="C9" s="2" t="str">
        <x:v>Input status</x:v>
      </x:c>
      <x:c r="D9" s="22" t="str">
        <x:f>IF(AND(COUNT(D5:D7)=3,D5=INT(D5),D5&gt;=1,D5&lt;=2,D6&gt;=0,D7&gt;0,COUNT(D11:G15)=20,MIN(D11:G15)&gt;=0,MAX(E11:E15)&lt;=1,MAX(G11:G15)&lt;=1,COUNTA(C11:C15)=5),"Ready","Check inputs")</x:f>
        <x:v>Ready</x:v>
      </x:c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</x:row>
    <x:row r="10" ht="34" customHeight="1">
      <x:c r="A10" s="2"/>
      <x:c r="B10" s="2"/>
      <x:c r="C10" s="17" t="str">
        <x:v>Debt name</x:v>
      </x:c>
      <x:c r="D10" s="18" t="str">
        <x:v>Opening balance</x:v>
      </x:c>
      <x:c r="E10" s="18" t="str">
        <x:v>Annual rate</x:v>
      </x:c>
      <x:c r="F10" s="18" t="str">
        <x:v>Fixed minimum</x:v>
      </x:c>
      <x:c r="G10" s="18" t="str">
        <x:v>Minimum share</x:v>
      </x:c>
      <x:c r="H10" s="4"/>
      <x:c r="I10" s="4" t="str">
        <x:v>Monthly minimum = lower of total owed and</x:v>
      </x:c>
      <x:c r="J10" s="4"/>
      <x:c r="K10" s="4"/>
      <x:c r="L10" s="4"/>
      <x:c r="M10" s="4"/>
      <x:c r="N10" s="4"/>
      <x:c r="O10" s="4"/>
      <x:c r="P10" s="4"/>
    </x:row>
    <x:row r="11" ht="22" customHeight="1">
      <x:c r="A11" s="2"/>
      <x:c r="B11" s="2"/>
      <x:c r="C11" s="20" t="str">
        <x:v>Card A</x:v>
      </x:c>
      <x:c r="D11" s="7" t="n">
        <x:v>1200</x:v>
      </x:c>
      <x:c r="E11" s="21" t="n">
        <x:v>0.24</x:v>
      </x:c>
      <x:c r="F11" s="7" t="n">
        <x:v>35</x:v>
      </x:c>
      <x:c r="G11" s="21" t="n">
        <x:v>0.02</x:v>
      </x:c>
      <x:c r="H11" s="4"/>
      <x:c r="I11" s="4" t="str">
        <x:v>MAX(fixed minimum, opening balance x share + interest).</x:v>
      </x:c>
      <x:c r="J11" s="4"/>
      <x:c r="K11" s="4"/>
      <x:c r="L11" s="4"/>
      <x:c r="M11" s="4"/>
      <x:c r="N11" s="4"/>
      <x:c r="O11" s="4"/>
      <x:c r="P11" s="4"/>
    </x:row>
    <x:row r="12" ht="22" customHeight="1">
      <x:c r="A12" s="2"/>
      <x:c r="B12" s="2"/>
      <x:c r="C12" s="20" t="str">
        <x:v>Card B</x:v>
      </x:c>
      <x:c r="D12" s="7" t="n">
        <x:v>3000</x:v>
      </x:c>
      <x:c r="E12" s="21" t="n">
        <x:v>0.18</x:v>
      </x:c>
      <x:c r="F12" s="7" t="n">
        <x:v>60</x:v>
      </x:c>
      <x:c r="G12" s="21" t="n">
        <x:v>0.02</x:v>
      </x:c>
      <x:c r="H12" s="4"/>
      <x:c r="I12" s="4"/>
      <x:c r="J12" s="4"/>
      <x:c r="K12" s="4"/>
      <x:c r="L12" s="4"/>
      <x:c r="M12" s="4"/>
      <x:c r="N12" s="4"/>
      <x:c r="O12" s="4"/>
      <x:c r="P12" s="4"/>
    </x:row>
    <x:row r="13" ht="22" customHeight="1">
      <x:c r="A13" s="2"/>
      <x:c r="B13" s="2"/>
      <x:c r="C13" s="20" t="str">
        <x:v>Loan C</x:v>
      </x:c>
      <x:c r="D13" s="7" t="n">
        <x:v>5000</x:v>
      </x:c>
      <x:c r="E13" s="21" t="n">
        <x:v>0.08</x:v>
      </x:c>
      <x:c r="F13" s="7" t="n">
        <x:v>150</x:v>
      </x:c>
      <x:c r="G13" s="21" t="n">
        <x:v>0</x:v>
      </x:c>
      <x:c r="H13" s="4"/>
      <x:c r="I13" s="4" t="str">
        <x:v>Enter all numeric inputs, including 0 for unused debts.</x:v>
      </x:c>
      <x:c r="J13" s="4"/>
      <x:c r="K13" s="4"/>
      <x:c r="L13" s="4"/>
      <x:c r="M13" s="4"/>
      <x:c r="N13" s="4"/>
      <x:c r="O13" s="4"/>
      <x:c r="P13" s="4"/>
    </x:row>
    <x:row r="14" ht="22" customHeight="1">
      <x:c r="A14" s="2"/>
      <x:c r="B14" s="2"/>
      <x:c r="C14" s="20" t="str">
        <x:v>Unused 4</x:v>
      </x:c>
      <x:c r="D14" s="7" t="n">
        <x:v>0</x:v>
      </x:c>
      <x:c r="E14" s="21" t="n">
        <x:v>0</x:v>
      </x:c>
      <x:c r="F14" s="7" t="n">
        <x:v>0</x:v>
      </x:c>
      <x:c r="G14" s="21" t="n">
        <x:v>0</x:v>
      </x:c>
      <x:c r="H14" s="4"/>
      <x:c r="I14" s="4"/>
      <x:c r="J14" s="4"/>
      <x:c r="K14" s="4"/>
      <x:c r="L14" s="4"/>
      <x:c r="M14" s="4"/>
      <x:c r="N14" s="4"/>
      <x:c r="O14" s="4"/>
      <x:c r="P14" s="4"/>
    </x:row>
    <x:row r="15" ht="22" customHeight="1">
      <x:c r="A15" s="2"/>
      <x:c r="B15" s="2"/>
      <x:c r="C15" s="20" t="str">
        <x:v>Unused 5</x:v>
      </x:c>
      <x:c r="D15" s="7" t="n">
        <x:v>0</x:v>
      </x:c>
      <x:c r="E15" s="21" t="n">
        <x:v>0</x:v>
      </x:c>
      <x:c r="F15" s="7" t="n">
        <x:v>0</x:v>
      </x:c>
      <x:c r="G15" s="21" t="n">
        <x:v>0</x:v>
      </x:c>
      <x:c r="H15" s="4"/>
      <x:c r="I15" s="4" t="str">
        <x:v>No new borrowing, fees, daily accrual or promotional rates.</x:v>
      </x:c>
      <x:c r="J15" s="4"/>
      <x:c r="K15" s="4"/>
      <x:c r="L15" s="4"/>
      <x:c r="M15" s="4"/>
      <x:c r="N15" s="4"/>
      <x:c r="O15" s="4"/>
      <x:c r="P15" s="4"/>
    </x:row>
    <x:row r="16" ht="22" customHeight="1">
      <x:c r="A16" s="2"/>
      <x:c r="B16" s="2"/>
      <x:c r="C16" s="2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</x:row>
    <x:row r="17" ht="22" customHeight="1">
      <x:c r="A17" s="2"/>
      <x:c r="B17" s="2"/>
      <x:c r="C17" s="2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</x:row>
    <x:row r="18" ht="34" customHeight="1">
      <x:c r="A18" s="2"/>
      <x:c r="B18" s="2"/>
      <x:c r="C18" s="17" t="str">
        <x:v>Month</x:v>
      </x:c>
      <x:c r="D18" s="18" t="str">
        <x:v>Payment date</x:v>
      </x:c>
      <x:c r="E18" s="18" t="str">
        <x:v>Budget override</x:v>
      </x:c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</x:row>
    <x:row r="19" ht="22" customHeight="1">
      <x:c r="A19" s="2"/>
      <x:c r="B19" s="2"/>
      <x:c r="C19" s="23" t="n">
        <x:v>1</x:v>
      </x:c>
      <x:c r="D19" s="24" t="n">
        <x:f>IF(ISNUMBER($D$7),EDATE($D$7,0),"n.a.")</x:f>
        <x:v>46327</x:v>
      </x:c>
      <x:c r="E19" s="7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</x:row>
    <x:row r="20" ht="22" customHeight="1">
      <x:c r="A20" s="2"/>
      <x:c r="B20" s="2"/>
      <x:c r="C20" s="23" t="n">
        <x:v>2</x:v>
      </x:c>
      <x:c r="D20" s="24" t="n">
        <x:f>IF(ISNUMBER($D$7),EDATE($D$7,1),"n.a.")</x:f>
        <x:v>46357</x:v>
      </x:c>
      <x:c r="E20" s="7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</x:row>
    <x:row r="21" ht="22" customHeight="1">
      <x:c r="A21" s="2"/>
      <x:c r="B21" s="2"/>
      <x:c r="C21" s="23" t="n">
        <x:v>3</x:v>
      </x:c>
      <x:c r="D21" s="24" t="n">
        <x:f>IF(ISNUMBER($D$7),EDATE($D$7,2),"n.a.")</x:f>
        <x:v>46388</x:v>
      </x:c>
      <x:c r="E21" s="7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</x:row>
    <x:row r="22" ht="22" customHeight="1">
      <x:c r="A22" s="2"/>
      <x:c r="B22" s="2"/>
      <x:c r="C22" s="23" t="n">
        <x:v>4</x:v>
      </x:c>
      <x:c r="D22" s="24" t="n">
        <x:f>IF(ISNUMBER($D$7),EDATE($D$7,3),"n.a.")</x:f>
        <x:v>46419</x:v>
      </x:c>
      <x:c r="E22" s="7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</x:row>
    <x:row r="23" ht="22" customHeight="1">
      <x:c r="A23" s="2"/>
      <x:c r="B23" s="2"/>
      <x:c r="C23" s="23" t="n">
        <x:v>5</x:v>
      </x:c>
      <x:c r="D23" s="24" t="n">
        <x:f>IF(ISNUMBER($D$7),EDATE($D$7,4),"n.a.")</x:f>
        <x:v>46447</x:v>
      </x:c>
      <x:c r="E23" s="7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</x:row>
    <x:row r="24" ht="22" customHeight="1">
      <x:c r="A24" s="2"/>
      <x:c r="B24" s="2"/>
      <x:c r="C24" s="23" t="n">
        <x:v>6</x:v>
      </x:c>
      <x:c r="D24" s="24" t="n">
        <x:f>IF(ISNUMBER($D$7),EDATE($D$7,5),"n.a.")</x:f>
        <x:v>46478</x:v>
      </x:c>
      <x:c r="E24" s="7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</x:row>
    <x:row r="25" ht="22" customHeight="1">
      <x:c r="A25" s="2"/>
      <x:c r="B25" s="2"/>
      <x:c r="C25" s="23" t="n">
        <x:v>7</x:v>
      </x:c>
      <x:c r="D25" s="24" t="n">
        <x:f>IF(ISNUMBER($D$7),EDATE($D$7,6),"n.a.")</x:f>
        <x:v>46508</x:v>
      </x:c>
      <x:c r="E25" s="7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</x:row>
    <x:row r="26" ht="22" customHeight="1">
      <x:c r="A26" s="2"/>
      <x:c r="B26" s="2"/>
      <x:c r="C26" s="23" t="n">
        <x:v>8</x:v>
      </x:c>
      <x:c r="D26" s="24" t="n">
        <x:f>IF(ISNUMBER($D$7),EDATE($D$7,7),"n.a.")</x:f>
        <x:v>46539</x:v>
      </x:c>
      <x:c r="E26" s="7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</x:row>
    <x:row r="27" ht="22" customHeight="1">
      <x:c r="A27" s="2"/>
      <x:c r="B27" s="2"/>
      <x:c r="C27" s="23" t="n">
        <x:v>9</x:v>
      </x:c>
      <x:c r="D27" s="24" t="n">
        <x:f>IF(ISNUMBER($D$7),EDATE($D$7,8),"n.a.")</x:f>
        <x:v>46569</x:v>
      </x:c>
      <x:c r="E27" s="7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</x:row>
    <x:row r="28" ht="22" customHeight="1">
      <x:c r="A28" s="2"/>
      <x:c r="B28" s="2"/>
      <x:c r="C28" s="23" t="n">
        <x:v>10</x:v>
      </x:c>
      <x:c r="D28" s="24" t="n">
        <x:f>IF(ISNUMBER($D$7),EDATE($D$7,9),"n.a.")</x:f>
        <x:v>46600</x:v>
      </x:c>
      <x:c r="E28" s="7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</x:row>
    <x:row r="29" ht="22" customHeight="1">
      <x:c r="A29" s="2"/>
      <x:c r="B29" s="2"/>
      <x:c r="C29" s="23" t="n">
        <x:v>11</x:v>
      </x:c>
      <x:c r="D29" s="24" t="n">
        <x:f>IF(ISNUMBER($D$7),EDATE($D$7,10),"n.a.")</x:f>
        <x:v>46631</x:v>
      </x:c>
      <x:c r="E29" s="7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</x:row>
    <x:row r="30" ht="22" customHeight="1">
      <x:c r="A30" s="2"/>
      <x:c r="B30" s="2"/>
      <x:c r="C30" s="23" t="n">
        <x:v>12</x:v>
      </x:c>
      <x:c r="D30" s="24" t="n">
        <x:f>IF(ISNUMBER($D$7),EDATE($D$7,11),"n.a.")</x:f>
        <x:v>46661</x:v>
      </x:c>
      <x:c r="E30" s="7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</x:row>
    <x:row r="31" ht="22" customHeight="1">
      <x:c r="A31" s="2"/>
      <x:c r="B31" s="2"/>
      <x:c r="C31" s="23" t="n">
        <x:v>13</x:v>
      </x:c>
      <x:c r="D31" s="24" t="n">
        <x:f>IF(ISNUMBER($D$7),EDATE($D$7,12),"n.a.")</x:f>
        <x:v>46692</x:v>
      </x:c>
      <x:c r="E31" s="7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</x:row>
    <x:row r="32" ht="22" customHeight="1">
      <x:c r="A32" s="2"/>
      <x:c r="B32" s="2"/>
      <x:c r="C32" s="23" t="n">
        <x:v>14</x:v>
      </x:c>
      <x:c r="D32" s="24" t="n">
        <x:f>IF(ISNUMBER($D$7),EDATE($D$7,13),"n.a.")</x:f>
        <x:v>46722</x:v>
      </x:c>
      <x:c r="E32" s="7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</x:row>
    <x:row r="33" ht="22" customHeight="1">
      <x:c r="A33" s="2"/>
      <x:c r="B33" s="2"/>
      <x:c r="C33" s="23" t="n">
        <x:v>15</x:v>
      </x:c>
      <x:c r="D33" s="24" t="n">
        <x:f>IF(ISNUMBER($D$7),EDATE($D$7,14),"n.a.")</x:f>
        <x:v>46753</x:v>
      </x:c>
      <x:c r="E33" s="7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</x:row>
    <x:row r="34" ht="22" customHeight="1">
      <x:c r="A34" s="2"/>
      <x:c r="B34" s="2"/>
      <x:c r="C34" s="23" t="n">
        <x:v>16</x:v>
      </x:c>
      <x:c r="D34" s="24" t="n">
        <x:f>IF(ISNUMBER($D$7),EDATE($D$7,15),"n.a.")</x:f>
        <x:v>46784</x:v>
      </x:c>
      <x:c r="E34" s="7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</x:row>
    <x:row r="35" ht="22" customHeight="1">
      <x:c r="A35" s="2"/>
      <x:c r="B35" s="2"/>
      <x:c r="C35" s="23" t="n">
        <x:v>17</x:v>
      </x:c>
      <x:c r="D35" s="24" t="n">
        <x:f>IF(ISNUMBER($D$7),EDATE($D$7,16),"n.a.")</x:f>
        <x:v>46813</x:v>
      </x:c>
      <x:c r="E35" s="7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</x:row>
    <x:row r="36" ht="22" customHeight="1">
      <x:c r="A36" s="2"/>
      <x:c r="B36" s="2"/>
      <x:c r="C36" s="23" t="n">
        <x:v>18</x:v>
      </x:c>
      <x:c r="D36" s="24" t="n">
        <x:f>IF(ISNUMBER($D$7),EDATE($D$7,17),"n.a.")</x:f>
        <x:v>46844</x:v>
      </x:c>
      <x:c r="E36" s="7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</x:row>
    <x:row r="37" ht="22" customHeight="1">
      <x:c r="A37" s="2"/>
      <x:c r="B37" s="2"/>
      <x:c r="C37" s="23" t="n">
        <x:v>19</x:v>
      </x:c>
      <x:c r="D37" s="24" t="n">
        <x:f>IF(ISNUMBER($D$7),EDATE($D$7,18),"n.a.")</x:f>
        <x:v>46874</x:v>
      </x:c>
      <x:c r="E37" s="7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</x:row>
    <x:row r="38" ht="22" customHeight="1">
      <x:c r="A38" s="2"/>
      <x:c r="B38" s="2"/>
      <x:c r="C38" s="23" t="n">
        <x:v>20</x:v>
      </x:c>
      <x:c r="D38" s="24" t="n">
        <x:f>IF(ISNUMBER($D$7),EDATE($D$7,19),"n.a.")</x:f>
        <x:v>46905</x:v>
      </x:c>
      <x:c r="E38" s="7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</x:row>
    <x:row r="39" ht="22" customHeight="1">
      <x:c r="A39" s="2"/>
      <x:c r="B39" s="2"/>
      <x:c r="C39" s="23" t="n">
        <x:v>21</x:v>
      </x:c>
      <x:c r="D39" s="24" t="n">
        <x:f>IF(ISNUMBER($D$7),EDATE($D$7,20),"n.a.")</x:f>
        <x:v>46935</x:v>
      </x:c>
      <x:c r="E39" s="7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</x:row>
    <x:row r="40" ht="22" customHeight="1">
      <x:c r="A40" s="2"/>
      <x:c r="B40" s="2"/>
      <x:c r="C40" s="23" t="n">
        <x:v>22</x:v>
      </x:c>
      <x:c r="D40" s="24" t="n">
        <x:f>IF(ISNUMBER($D$7),EDATE($D$7,21),"n.a.")</x:f>
        <x:v>46966</x:v>
      </x:c>
      <x:c r="E40" s="7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</x:row>
    <x:row r="41" ht="22" customHeight="1">
      <x:c r="A41" s="2"/>
      <x:c r="B41" s="2"/>
      <x:c r="C41" s="23" t="n">
        <x:v>23</x:v>
      </x:c>
      <x:c r="D41" s="24" t="n">
        <x:f>IF(ISNUMBER($D$7),EDATE($D$7,22),"n.a.")</x:f>
        <x:v>46997</x:v>
      </x:c>
      <x:c r="E41" s="7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</x:row>
    <x:row r="42" ht="22" customHeight="1">
      <x:c r="A42" s="2"/>
      <x:c r="B42" s="2"/>
      <x:c r="C42" s="23" t="n">
        <x:v>24</x:v>
      </x:c>
      <x:c r="D42" s="24" t="n">
        <x:f>IF(ISNUMBER($D$7),EDATE($D$7,23),"n.a.")</x:f>
        <x:v>47027</x:v>
      </x:c>
      <x:c r="E42" s="7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</x:row>
    <x:row r="43" ht="22" customHeight="1">
      <x:c r="A43" s="2"/>
      <x:c r="B43" s="2"/>
      <x:c r="C43" s="23" t="n">
        <x:v>25</x:v>
      </x:c>
      <x:c r="D43" s="24" t="n">
        <x:f>IF(ISNUMBER($D$7),EDATE($D$7,24),"n.a.")</x:f>
        <x:v>47058</x:v>
      </x:c>
      <x:c r="E43" s="7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</x:row>
    <x:row r="44" ht="22" customHeight="1">
      <x:c r="A44" s="2"/>
      <x:c r="B44" s="2"/>
      <x:c r="C44" s="23" t="n">
        <x:v>26</x:v>
      </x:c>
      <x:c r="D44" s="24" t="n">
        <x:f>IF(ISNUMBER($D$7),EDATE($D$7,25),"n.a.")</x:f>
        <x:v>47088</x:v>
      </x:c>
      <x:c r="E44" s="7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</x:row>
    <x:row r="45" ht="22" customHeight="1">
      <x:c r="A45" s="2"/>
      <x:c r="B45" s="2"/>
      <x:c r="C45" s="23" t="n">
        <x:v>27</x:v>
      </x:c>
      <x:c r="D45" s="24" t="n">
        <x:f>IF(ISNUMBER($D$7),EDATE($D$7,26),"n.a.")</x:f>
        <x:v>47119</x:v>
      </x:c>
      <x:c r="E45" s="7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</x:row>
    <x:row r="46" ht="22" customHeight="1">
      <x:c r="A46" s="2"/>
      <x:c r="B46" s="2"/>
      <x:c r="C46" s="23" t="n">
        <x:v>28</x:v>
      </x:c>
      <x:c r="D46" s="24" t="n">
        <x:f>IF(ISNUMBER($D$7),EDATE($D$7,27),"n.a.")</x:f>
        <x:v>47150</x:v>
      </x:c>
      <x:c r="E46" s="7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</x:row>
    <x:row r="47" ht="22" customHeight="1">
      <x:c r="A47" s="2"/>
      <x:c r="B47" s="2"/>
      <x:c r="C47" s="23" t="n">
        <x:v>29</x:v>
      </x:c>
      <x:c r="D47" s="24" t="n">
        <x:f>IF(ISNUMBER($D$7),EDATE($D$7,28),"n.a.")</x:f>
        <x:v>47178</x:v>
      </x:c>
      <x:c r="E47" s="7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</x:row>
    <x:row r="48" ht="22" customHeight="1">
      <x:c r="A48" s="2"/>
      <x:c r="B48" s="2"/>
      <x:c r="C48" s="23" t="n">
        <x:v>30</x:v>
      </x:c>
      <x:c r="D48" s="24" t="n">
        <x:f>IF(ISNUMBER($D$7),EDATE($D$7,29),"n.a.")</x:f>
        <x:v>47209</x:v>
      </x:c>
      <x:c r="E48" s="7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</x:row>
    <x:row r="49" ht="22" customHeight="1">
      <x:c r="A49" s="2"/>
      <x:c r="B49" s="2"/>
      <x:c r="C49" s="23" t="n">
        <x:v>31</x:v>
      </x:c>
      <x:c r="D49" s="24" t="n">
        <x:f>IF(ISNUMBER($D$7),EDATE($D$7,30),"n.a.")</x:f>
        <x:v>47239</x:v>
      </x:c>
      <x:c r="E49" s="7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</x:row>
    <x:row r="50" ht="22" customHeight="1">
      <x:c r="A50" s="2"/>
      <x:c r="B50" s="2"/>
      <x:c r="C50" s="23" t="n">
        <x:v>32</x:v>
      </x:c>
      <x:c r="D50" s="24" t="n">
        <x:f>IF(ISNUMBER($D$7),EDATE($D$7,31),"n.a.")</x:f>
        <x:v>47270</x:v>
      </x:c>
      <x:c r="E50" s="7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</x:row>
    <x:row r="51" ht="22" customHeight="1">
      <x:c r="A51" s="2"/>
      <x:c r="B51" s="2"/>
      <x:c r="C51" s="23" t="n">
        <x:v>33</x:v>
      </x:c>
      <x:c r="D51" s="24" t="n">
        <x:f>IF(ISNUMBER($D$7),EDATE($D$7,32),"n.a.")</x:f>
        <x:v>47300</x:v>
      </x:c>
      <x:c r="E51" s="7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</x:row>
    <x:row r="52" ht="22" customHeight="1">
      <x:c r="A52" s="2"/>
      <x:c r="B52" s="2"/>
      <x:c r="C52" s="23" t="n">
        <x:v>34</x:v>
      </x:c>
      <x:c r="D52" s="24" t="n">
        <x:f>IF(ISNUMBER($D$7),EDATE($D$7,33),"n.a.")</x:f>
        <x:v>47331</x:v>
      </x:c>
      <x:c r="E52" s="7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</x:row>
    <x:row r="53" ht="22" customHeight="1">
      <x:c r="A53" s="2"/>
      <x:c r="B53" s="2"/>
      <x:c r="C53" s="23" t="n">
        <x:v>35</x:v>
      </x:c>
      <x:c r="D53" s="24" t="n">
        <x:f>IF(ISNUMBER($D$7),EDATE($D$7,34),"n.a.")</x:f>
        <x:v>47362</x:v>
      </x:c>
      <x:c r="E53" s="7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</x:row>
    <x:row r="54" ht="22" customHeight="1">
      <x:c r="A54" s="2"/>
      <x:c r="B54" s="2"/>
      <x:c r="C54" s="23" t="n">
        <x:v>36</x:v>
      </x:c>
      <x:c r="D54" s="24" t="n">
        <x:f>IF(ISNUMBER($D$7),EDATE($D$7,35),"n.a.")</x:f>
        <x:v>47392</x:v>
      </x:c>
      <x:c r="E54" s="7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</x:row>
    <x:row r="55" ht="22" customHeight="1">
      <x:c r="A55" s="2"/>
      <x:c r="B55" s="2"/>
      <x:c r="C55" s="23" t="n">
        <x:v>37</x:v>
      </x:c>
      <x:c r="D55" s="24" t="n">
        <x:f>IF(ISNUMBER($D$7),EDATE($D$7,36),"n.a.")</x:f>
        <x:v>47423</x:v>
      </x:c>
      <x:c r="E55" s="7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</x:row>
    <x:row r="56" ht="22" customHeight="1">
      <x:c r="A56" s="2"/>
      <x:c r="B56" s="2"/>
      <x:c r="C56" s="23" t="n">
        <x:v>38</x:v>
      </x:c>
      <x:c r="D56" s="24" t="n">
        <x:f>IF(ISNUMBER($D$7),EDATE($D$7,37),"n.a.")</x:f>
        <x:v>47453</x:v>
      </x:c>
      <x:c r="E56" s="7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</x:row>
    <x:row r="57" ht="22" customHeight="1">
      <x:c r="A57" s="2"/>
      <x:c r="B57" s="2"/>
      <x:c r="C57" s="23" t="n">
        <x:v>39</x:v>
      </x:c>
      <x:c r="D57" s="24" t="n">
        <x:f>IF(ISNUMBER($D$7),EDATE($D$7,38),"n.a.")</x:f>
        <x:v>47484</x:v>
      </x:c>
      <x:c r="E57" s="7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</x:row>
    <x:row r="58" ht="22" customHeight="1">
      <x:c r="A58" s="2"/>
      <x:c r="B58" s="2"/>
      <x:c r="C58" s="23" t="n">
        <x:v>40</x:v>
      </x:c>
      <x:c r="D58" s="24" t="n">
        <x:f>IF(ISNUMBER($D$7),EDATE($D$7,39),"n.a.")</x:f>
        <x:v>47515</x:v>
      </x:c>
      <x:c r="E58" s="7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</x:row>
    <x:row r="59" ht="22" customHeight="1">
      <x:c r="A59" s="2"/>
      <x:c r="B59" s="2"/>
      <x:c r="C59" s="23" t="n">
        <x:v>41</x:v>
      </x:c>
      <x:c r="D59" s="24" t="n">
        <x:f>IF(ISNUMBER($D$7),EDATE($D$7,40),"n.a.")</x:f>
        <x:v>47543</x:v>
      </x:c>
      <x:c r="E59" s="7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</x:row>
    <x:row r="60" ht="22" customHeight="1">
      <x:c r="A60" s="2"/>
      <x:c r="B60" s="2"/>
      <x:c r="C60" s="23" t="n">
        <x:v>42</x:v>
      </x:c>
      <x:c r="D60" s="24" t="n">
        <x:f>IF(ISNUMBER($D$7),EDATE($D$7,41),"n.a.")</x:f>
        <x:v>47574</x:v>
      </x:c>
      <x:c r="E60" s="7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</x:row>
    <x:row r="61" ht="22" customHeight="1">
      <x:c r="A61" s="2"/>
      <x:c r="B61" s="2"/>
      <x:c r="C61" s="23" t="n">
        <x:v>43</x:v>
      </x:c>
      <x:c r="D61" s="24" t="n">
        <x:f>IF(ISNUMBER($D$7),EDATE($D$7,42),"n.a.")</x:f>
        <x:v>47604</x:v>
      </x:c>
      <x:c r="E61" s="7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</x:row>
    <x:row r="62" ht="22" customHeight="1">
      <x:c r="A62" s="2"/>
      <x:c r="B62" s="2"/>
      <x:c r="C62" s="23" t="n">
        <x:v>44</x:v>
      </x:c>
      <x:c r="D62" s="24" t="n">
        <x:f>IF(ISNUMBER($D$7),EDATE($D$7,43),"n.a.")</x:f>
        <x:v>47635</x:v>
      </x:c>
      <x:c r="E62" s="7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</x:row>
    <x:row r="63" ht="22" customHeight="1">
      <x:c r="A63" s="2"/>
      <x:c r="B63" s="2"/>
      <x:c r="C63" s="23" t="n">
        <x:v>45</x:v>
      </x:c>
      <x:c r="D63" s="24" t="n">
        <x:f>IF(ISNUMBER($D$7),EDATE($D$7,44),"n.a.")</x:f>
        <x:v>47665</x:v>
      </x:c>
      <x:c r="E63" s="7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</x:row>
    <x:row r="64" ht="22" customHeight="1">
      <x:c r="A64" s="2"/>
      <x:c r="B64" s="2"/>
      <x:c r="C64" s="23" t="n">
        <x:v>46</x:v>
      </x:c>
      <x:c r="D64" s="24" t="n">
        <x:f>IF(ISNUMBER($D$7),EDATE($D$7,45),"n.a.")</x:f>
        <x:v>47696</x:v>
      </x:c>
      <x:c r="E64" s="7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</x:row>
    <x:row r="65" ht="22" customHeight="1">
      <x:c r="A65" s="2"/>
      <x:c r="B65" s="2"/>
      <x:c r="C65" s="23" t="n">
        <x:v>47</x:v>
      </x:c>
      <x:c r="D65" s="24" t="n">
        <x:f>IF(ISNUMBER($D$7),EDATE($D$7,46),"n.a.")</x:f>
        <x:v>47727</x:v>
      </x:c>
      <x:c r="E65" s="7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</x:row>
    <x:row r="66" ht="22" customHeight="1">
      <x:c r="A66" s="2"/>
      <x:c r="B66" s="2"/>
      <x:c r="C66" s="23" t="n">
        <x:v>48</x:v>
      </x:c>
      <x:c r="D66" s="24" t="n">
        <x:f>IF(ISNUMBER($D$7),EDATE($D$7,47),"n.a.")</x:f>
        <x:v>47757</x:v>
      </x:c>
      <x:c r="E66" s="7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</x:row>
    <x:row r="67" ht="22" customHeight="1">
      <x:c r="A67" s="2"/>
      <x:c r="B67" s="2"/>
      <x:c r="C67" s="23" t="n">
        <x:v>49</x:v>
      </x:c>
      <x:c r="D67" s="24" t="n">
        <x:f>IF(ISNUMBER($D$7),EDATE($D$7,48),"n.a.")</x:f>
        <x:v>47788</x:v>
      </x:c>
      <x:c r="E67" s="7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</x:row>
    <x:row r="68" ht="22" customHeight="1">
      <x:c r="A68" s="2"/>
      <x:c r="B68" s="2"/>
      <x:c r="C68" s="23" t="n">
        <x:v>50</x:v>
      </x:c>
      <x:c r="D68" s="24" t="n">
        <x:f>IF(ISNUMBER($D$7),EDATE($D$7,49),"n.a.")</x:f>
        <x:v>47818</x:v>
      </x:c>
      <x:c r="E68" s="7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</x:row>
    <x:row r="69" ht="22" customHeight="1">
      <x:c r="A69" s="2"/>
      <x:c r="B69" s="2"/>
      <x:c r="C69" s="23" t="n">
        <x:v>51</x:v>
      </x:c>
      <x:c r="D69" s="24" t="n">
        <x:f>IF(ISNUMBER($D$7),EDATE($D$7,50),"n.a.")</x:f>
        <x:v>47849</x:v>
      </x:c>
      <x:c r="E69" s="7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</x:row>
    <x:row r="70" ht="22" customHeight="1">
      <x:c r="A70" s="2"/>
      <x:c r="B70" s="2"/>
      <x:c r="C70" s="23" t="n">
        <x:v>52</x:v>
      </x:c>
      <x:c r="D70" s="24" t="n">
        <x:f>IF(ISNUMBER($D$7),EDATE($D$7,51),"n.a.")</x:f>
        <x:v>47880</x:v>
      </x:c>
      <x:c r="E70" s="7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</x:row>
    <x:row r="71" ht="22" customHeight="1">
      <x:c r="A71" s="2"/>
      <x:c r="B71" s="2"/>
      <x:c r="C71" s="23" t="n">
        <x:v>53</x:v>
      </x:c>
      <x:c r="D71" s="24" t="n">
        <x:f>IF(ISNUMBER($D$7),EDATE($D$7,52),"n.a.")</x:f>
        <x:v>47908</x:v>
      </x:c>
      <x:c r="E71" s="7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</x:row>
    <x:row r="72" ht="22" customHeight="1">
      <x:c r="A72" s="2"/>
      <x:c r="B72" s="2"/>
      <x:c r="C72" s="23" t="n">
        <x:v>54</x:v>
      </x:c>
      <x:c r="D72" s="24" t="n">
        <x:f>IF(ISNUMBER($D$7),EDATE($D$7,53),"n.a.")</x:f>
        <x:v>47939</x:v>
      </x:c>
      <x:c r="E72" s="7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</x:row>
    <x:row r="73" ht="22" customHeight="1">
      <x:c r="A73" s="2"/>
      <x:c r="B73" s="2"/>
      <x:c r="C73" s="23" t="n">
        <x:v>55</x:v>
      </x:c>
      <x:c r="D73" s="24" t="n">
        <x:f>IF(ISNUMBER($D$7),EDATE($D$7,54),"n.a.")</x:f>
        <x:v>47969</x:v>
      </x:c>
      <x:c r="E73" s="7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</x:row>
    <x:row r="74" ht="22" customHeight="1">
      <x:c r="A74" s="2"/>
      <x:c r="B74" s="2"/>
      <x:c r="C74" s="23" t="n">
        <x:v>56</x:v>
      </x:c>
      <x:c r="D74" s="24" t="n">
        <x:f>IF(ISNUMBER($D$7),EDATE($D$7,55),"n.a.")</x:f>
        <x:v>48000</x:v>
      </x:c>
      <x:c r="E74" s="7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</x:row>
    <x:row r="75" ht="22" customHeight="1">
      <x:c r="A75" s="2"/>
      <x:c r="B75" s="2"/>
      <x:c r="C75" s="23" t="n">
        <x:v>57</x:v>
      </x:c>
      <x:c r="D75" s="24" t="n">
        <x:f>IF(ISNUMBER($D$7),EDATE($D$7,56),"n.a.")</x:f>
        <x:v>48030</x:v>
      </x:c>
      <x:c r="E75" s="7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</x:row>
    <x:row r="76" ht="22" customHeight="1">
      <x:c r="A76" s="2"/>
      <x:c r="B76" s="2"/>
      <x:c r="C76" s="23" t="n">
        <x:v>58</x:v>
      </x:c>
      <x:c r="D76" s="24" t="n">
        <x:f>IF(ISNUMBER($D$7),EDATE($D$7,57),"n.a.")</x:f>
        <x:v>48061</x:v>
      </x:c>
      <x:c r="E76" s="7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</x:row>
    <x:row r="77" ht="22" customHeight="1">
      <x:c r="A77" s="2"/>
      <x:c r="B77" s="2"/>
      <x:c r="C77" s="23" t="n">
        <x:v>59</x:v>
      </x:c>
      <x:c r="D77" s="24" t="n">
        <x:f>IF(ISNUMBER($D$7),EDATE($D$7,58),"n.a.")</x:f>
        <x:v>48092</x:v>
      </x:c>
      <x:c r="E77" s="7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</x:row>
    <x:row r="78" ht="22" customHeight="1">
      <x:c r="A78" s="2"/>
      <x:c r="B78" s="2"/>
      <x:c r="C78" s="23" t="n">
        <x:v>60</x:v>
      </x:c>
      <x:c r="D78" s="24" t="n">
        <x:f>IF(ISNUMBER($D$7),EDATE($D$7,59),"n.a.")</x:f>
        <x:v>48122</x:v>
      </x:c>
      <x:c r="E78" s="7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</x:row>
    <x:row r="79" ht="22" customHeight="1">
      <x:c r="A79" s="2"/>
      <x:c r="B79" s="2"/>
      <x:c r="C79" s="23" t="n">
        <x:v>61</x:v>
      </x:c>
      <x:c r="D79" s="24" t="n">
        <x:f>IF(ISNUMBER($D$7),EDATE($D$7,60),"n.a.")</x:f>
        <x:v>48153</x:v>
      </x:c>
      <x:c r="E79" s="7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</x:row>
    <x:row r="80" ht="22" customHeight="1">
      <x:c r="A80" s="2"/>
      <x:c r="B80" s="2"/>
      <x:c r="C80" s="23" t="n">
        <x:v>62</x:v>
      </x:c>
      <x:c r="D80" s="24" t="n">
        <x:f>IF(ISNUMBER($D$7),EDATE($D$7,61),"n.a.")</x:f>
        <x:v>48183</x:v>
      </x:c>
      <x:c r="E80" s="7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</x:row>
    <x:row r="81" ht="22" customHeight="1">
      <x:c r="A81" s="2"/>
      <x:c r="B81" s="2"/>
      <x:c r="C81" s="23" t="n">
        <x:v>63</x:v>
      </x:c>
      <x:c r="D81" s="24" t="n">
        <x:f>IF(ISNUMBER($D$7),EDATE($D$7,62),"n.a.")</x:f>
        <x:v>48214</x:v>
      </x:c>
      <x:c r="E81" s="7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</x:row>
    <x:row r="82" ht="22" customHeight="1">
      <x:c r="A82" s="2"/>
      <x:c r="B82" s="2"/>
      <x:c r="C82" s="23" t="n">
        <x:v>64</x:v>
      </x:c>
      <x:c r="D82" s="24" t="n">
        <x:f>IF(ISNUMBER($D$7),EDATE($D$7,63),"n.a.")</x:f>
        <x:v>48245</x:v>
      </x:c>
      <x:c r="E82" s="7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</x:row>
    <x:row r="83" ht="22" customHeight="1">
      <x:c r="A83" s="2"/>
      <x:c r="B83" s="2"/>
      <x:c r="C83" s="23" t="n">
        <x:v>65</x:v>
      </x:c>
      <x:c r="D83" s="24" t="n">
        <x:f>IF(ISNUMBER($D$7),EDATE($D$7,64),"n.a.")</x:f>
        <x:v>48274</x:v>
      </x:c>
      <x:c r="E83" s="7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</x:row>
    <x:row r="84" ht="22" customHeight="1">
      <x:c r="A84" s="2"/>
      <x:c r="B84" s="2"/>
      <x:c r="C84" s="23" t="n">
        <x:v>66</x:v>
      </x:c>
      <x:c r="D84" s="24" t="n">
        <x:f>IF(ISNUMBER($D$7),EDATE($D$7,65),"n.a.")</x:f>
        <x:v>48305</x:v>
      </x:c>
      <x:c r="E84" s="7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</x:row>
    <x:row r="85" ht="22" customHeight="1">
      <x:c r="A85" s="2"/>
      <x:c r="B85" s="2"/>
      <x:c r="C85" s="23" t="n">
        <x:v>67</x:v>
      </x:c>
      <x:c r="D85" s="24" t="n">
        <x:f>IF(ISNUMBER($D$7),EDATE($D$7,66),"n.a.")</x:f>
        <x:v>48335</x:v>
      </x:c>
      <x:c r="E85" s="7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</x:row>
    <x:row r="86" ht="22" customHeight="1">
      <x:c r="A86" s="2"/>
      <x:c r="B86" s="2"/>
      <x:c r="C86" s="23" t="n">
        <x:v>68</x:v>
      </x:c>
      <x:c r="D86" s="24" t="n">
        <x:f>IF(ISNUMBER($D$7),EDATE($D$7,67),"n.a.")</x:f>
        <x:v>48366</x:v>
      </x:c>
      <x:c r="E86" s="7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</x:row>
    <x:row r="87" ht="22" customHeight="1">
      <x:c r="A87" s="2"/>
      <x:c r="B87" s="2"/>
      <x:c r="C87" s="23" t="n">
        <x:v>69</x:v>
      </x:c>
      <x:c r="D87" s="24" t="n">
        <x:f>IF(ISNUMBER($D$7),EDATE($D$7,68),"n.a.")</x:f>
        <x:v>48396</x:v>
      </x:c>
      <x:c r="E87" s="7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</x:row>
    <x:row r="88" ht="22" customHeight="1">
      <x:c r="A88" s="2"/>
      <x:c r="B88" s="2"/>
      <x:c r="C88" s="23" t="n">
        <x:v>70</x:v>
      </x:c>
      <x:c r="D88" s="24" t="n">
        <x:f>IF(ISNUMBER($D$7),EDATE($D$7,69),"n.a.")</x:f>
        <x:v>48427</x:v>
      </x:c>
      <x:c r="E88" s="7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</x:row>
    <x:row r="89" ht="22" customHeight="1">
      <x:c r="A89" s="2"/>
      <x:c r="B89" s="2"/>
      <x:c r="C89" s="23" t="n">
        <x:v>71</x:v>
      </x:c>
      <x:c r="D89" s="24" t="n">
        <x:f>IF(ISNUMBER($D$7),EDATE($D$7,70),"n.a.")</x:f>
        <x:v>48458</x:v>
      </x:c>
      <x:c r="E89" s="7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</x:row>
    <x:row r="90" ht="22" customHeight="1">
      <x:c r="A90" s="2"/>
      <x:c r="B90" s="2"/>
      <x:c r="C90" s="23" t="n">
        <x:v>72</x:v>
      </x:c>
      <x:c r="D90" s="24" t="n">
        <x:f>IF(ISNUMBER($D$7),EDATE($D$7,71),"n.a.")</x:f>
        <x:v>48488</x:v>
      </x:c>
      <x:c r="E90" s="7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</x:row>
    <x:row r="91" ht="22" customHeight="1">
      <x:c r="A91" s="2"/>
      <x:c r="B91" s="2"/>
      <x:c r="C91" s="23" t="n">
        <x:v>73</x:v>
      </x:c>
      <x:c r="D91" s="24" t="n">
        <x:f>IF(ISNUMBER($D$7),EDATE($D$7,72),"n.a.")</x:f>
        <x:v>48519</x:v>
      </x:c>
      <x:c r="E91" s="7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</x:row>
    <x:row r="92" ht="22" customHeight="1">
      <x:c r="A92" s="2"/>
      <x:c r="B92" s="2"/>
      <x:c r="C92" s="23" t="n">
        <x:v>74</x:v>
      </x:c>
      <x:c r="D92" s="24" t="n">
        <x:f>IF(ISNUMBER($D$7),EDATE($D$7,73),"n.a.")</x:f>
        <x:v>48549</x:v>
      </x:c>
      <x:c r="E92" s="7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</x:row>
    <x:row r="93" ht="22" customHeight="1">
      <x:c r="A93" s="2"/>
      <x:c r="B93" s="2"/>
      <x:c r="C93" s="23" t="n">
        <x:v>75</x:v>
      </x:c>
      <x:c r="D93" s="24" t="n">
        <x:f>IF(ISNUMBER($D$7),EDATE($D$7,74),"n.a.")</x:f>
        <x:v>48580</x:v>
      </x:c>
      <x:c r="E93" s="7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</x:row>
    <x:row r="94" ht="22" customHeight="1">
      <x:c r="A94" s="2"/>
      <x:c r="B94" s="2"/>
      <x:c r="C94" s="23" t="n">
        <x:v>76</x:v>
      </x:c>
      <x:c r="D94" s="24" t="n">
        <x:f>IF(ISNUMBER($D$7),EDATE($D$7,75),"n.a.")</x:f>
        <x:v>48611</x:v>
      </x:c>
      <x:c r="E94" s="7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</x:row>
    <x:row r="95" ht="22" customHeight="1">
      <x:c r="A95" s="2"/>
      <x:c r="B95" s="2"/>
      <x:c r="C95" s="23" t="n">
        <x:v>77</x:v>
      </x:c>
      <x:c r="D95" s="24" t="n">
        <x:f>IF(ISNUMBER($D$7),EDATE($D$7,76),"n.a.")</x:f>
        <x:v>48639</x:v>
      </x:c>
      <x:c r="E95" s="7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</x:row>
    <x:row r="96" ht="22" customHeight="1">
      <x:c r="A96" s="2"/>
      <x:c r="B96" s="2"/>
      <x:c r="C96" s="23" t="n">
        <x:v>78</x:v>
      </x:c>
      <x:c r="D96" s="24" t="n">
        <x:f>IF(ISNUMBER($D$7),EDATE($D$7,77),"n.a.")</x:f>
        <x:v>48670</x:v>
      </x:c>
      <x:c r="E96" s="7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</x:row>
    <x:row r="97" ht="22" customHeight="1">
      <x:c r="A97" s="2"/>
      <x:c r="B97" s="2"/>
      <x:c r="C97" s="23" t="n">
        <x:v>79</x:v>
      </x:c>
      <x:c r="D97" s="24" t="n">
        <x:f>IF(ISNUMBER($D$7),EDATE($D$7,78),"n.a.")</x:f>
        <x:v>48700</x:v>
      </x:c>
      <x:c r="E97" s="7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</x:row>
    <x:row r="98" ht="22" customHeight="1">
      <x:c r="A98" s="2"/>
      <x:c r="B98" s="2"/>
      <x:c r="C98" s="23" t="n">
        <x:v>80</x:v>
      </x:c>
      <x:c r="D98" s="24" t="n">
        <x:f>IF(ISNUMBER($D$7),EDATE($D$7,79),"n.a.")</x:f>
        <x:v>48731</x:v>
      </x:c>
      <x:c r="E98" s="7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</x:row>
    <x:row r="99" ht="22" customHeight="1">
      <x:c r="A99" s="2"/>
      <x:c r="B99" s="2"/>
      <x:c r="C99" s="23" t="n">
        <x:v>81</x:v>
      </x:c>
      <x:c r="D99" s="24" t="n">
        <x:f>IF(ISNUMBER($D$7),EDATE($D$7,80),"n.a.")</x:f>
        <x:v>48761</x:v>
      </x:c>
      <x:c r="E99" s="7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</x:row>
    <x:row r="100" ht="22" customHeight="1">
      <x:c r="A100" s="2"/>
      <x:c r="B100" s="2"/>
      <x:c r="C100" s="23" t="n">
        <x:v>82</x:v>
      </x:c>
      <x:c r="D100" s="24" t="n">
        <x:f>IF(ISNUMBER($D$7),EDATE($D$7,81),"n.a.")</x:f>
        <x:v>48792</x:v>
      </x:c>
      <x:c r="E100" s="7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</x:row>
    <x:row r="101" ht="22" customHeight="1">
      <x:c r="A101" s="2"/>
      <x:c r="B101" s="2"/>
      <x:c r="C101" s="23" t="n">
        <x:v>83</x:v>
      </x:c>
      <x:c r="D101" s="24" t="n">
        <x:f>IF(ISNUMBER($D$7),EDATE($D$7,82),"n.a.")</x:f>
        <x:v>48823</x:v>
      </x:c>
      <x:c r="E101" s="7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</x:row>
    <x:row r="102" ht="22" customHeight="1">
      <x:c r="A102" s="2"/>
      <x:c r="B102" s="2"/>
      <x:c r="C102" s="23" t="n">
        <x:v>84</x:v>
      </x:c>
      <x:c r="D102" s="24" t="n">
        <x:f>IF(ISNUMBER($D$7),EDATE($D$7,83),"n.a.")</x:f>
        <x:v>48853</x:v>
      </x:c>
      <x:c r="E102" s="7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</x:row>
    <x:row r="103" ht="22" customHeight="1">
      <x:c r="A103" s="2"/>
      <x:c r="B103" s="2"/>
      <x:c r="C103" s="23" t="n">
        <x:v>85</x:v>
      </x:c>
      <x:c r="D103" s="24" t="n">
        <x:f>IF(ISNUMBER($D$7),EDATE($D$7,84),"n.a.")</x:f>
        <x:v>48884</x:v>
      </x:c>
      <x:c r="E103" s="7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</x:row>
    <x:row r="104" ht="22" customHeight="1">
      <x:c r="A104" s="2"/>
      <x:c r="B104" s="2"/>
      <x:c r="C104" s="23" t="n">
        <x:v>86</x:v>
      </x:c>
      <x:c r="D104" s="24" t="n">
        <x:f>IF(ISNUMBER($D$7),EDATE($D$7,85),"n.a.")</x:f>
        <x:v>48914</x:v>
      </x:c>
      <x:c r="E104" s="7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</x:row>
    <x:row r="105" ht="22" customHeight="1">
      <x:c r="A105" s="2"/>
      <x:c r="B105" s="2"/>
      <x:c r="C105" s="23" t="n">
        <x:v>87</x:v>
      </x:c>
      <x:c r="D105" s="24" t="n">
        <x:f>IF(ISNUMBER($D$7),EDATE($D$7,86),"n.a.")</x:f>
        <x:v>48945</x:v>
      </x:c>
      <x:c r="E105" s="7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</x:row>
    <x:row r="106" ht="22" customHeight="1">
      <x:c r="A106" s="2"/>
      <x:c r="B106" s="2"/>
      <x:c r="C106" s="23" t="n">
        <x:v>88</x:v>
      </x:c>
      <x:c r="D106" s="24" t="n">
        <x:f>IF(ISNUMBER($D$7),EDATE($D$7,87),"n.a.")</x:f>
        <x:v>48976</x:v>
      </x:c>
      <x:c r="E106" s="7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</x:row>
    <x:row r="107" ht="22" customHeight="1">
      <x:c r="A107" s="2"/>
      <x:c r="B107" s="2"/>
      <x:c r="C107" s="23" t="n">
        <x:v>89</x:v>
      </x:c>
      <x:c r="D107" s="24" t="n">
        <x:f>IF(ISNUMBER($D$7),EDATE($D$7,88),"n.a.")</x:f>
        <x:v>49004</x:v>
      </x:c>
      <x:c r="E107" s="7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</x:row>
    <x:row r="108" ht="22" customHeight="1">
      <x:c r="A108" s="2"/>
      <x:c r="B108" s="2"/>
      <x:c r="C108" s="23" t="n">
        <x:v>90</x:v>
      </x:c>
      <x:c r="D108" s="24" t="n">
        <x:f>IF(ISNUMBER($D$7),EDATE($D$7,89),"n.a.")</x:f>
        <x:v>49035</x:v>
      </x:c>
      <x:c r="E108" s="7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</x:row>
    <x:row r="109" ht="22" customHeight="1">
      <x:c r="A109" s="2"/>
      <x:c r="B109" s="2"/>
      <x:c r="C109" s="23" t="n">
        <x:v>91</x:v>
      </x:c>
      <x:c r="D109" s="24" t="n">
        <x:f>IF(ISNUMBER($D$7),EDATE($D$7,90),"n.a.")</x:f>
        <x:v>49065</x:v>
      </x:c>
      <x:c r="E109" s="7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</x:row>
    <x:row r="110" ht="22" customHeight="1">
      <x:c r="A110" s="2"/>
      <x:c r="B110" s="2"/>
      <x:c r="C110" s="23" t="n">
        <x:v>92</x:v>
      </x:c>
      <x:c r="D110" s="24" t="n">
        <x:f>IF(ISNUMBER($D$7),EDATE($D$7,91),"n.a.")</x:f>
        <x:v>49096</x:v>
      </x:c>
      <x:c r="E110" s="7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</x:row>
    <x:row r="111" ht="22" customHeight="1">
      <x:c r="A111" s="2"/>
      <x:c r="B111" s="2"/>
      <x:c r="C111" s="23" t="n">
        <x:v>93</x:v>
      </x:c>
      <x:c r="D111" s="24" t="n">
        <x:f>IF(ISNUMBER($D$7),EDATE($D$7,92),"n.a.")</x:f>
        <x:v>49126</x:v>
      </x:c>
      <x:c r="E111" s="7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</x:row>
    <x:row r="112" ht="22" customHeight="1">
      <x:c r="A112" s="2"/>
      <x:c r="B112" s="2"/>
      <x:c r="C112" s="23" t="n">
        <x:v>94</x:v>
      </x:c>
      <x:c r="D112" s="24" t="n">
        <x:f>IF(ISNUMBER($D$7),EDATE($D$7,93),"n.a.")</x:f>
        <x:v>49157</x:v>
      </x:c>
      <x:c r="E112" s="7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</x:row>
    <x:row r="113" ht="22" customHeight="1">
      <x:c r="A113" s="2"/>
      <x:c r="B113" s="2"/>
      <x:c r="C113" s="23" t="n">
        <x:v>95</x:v>
      </x:c>
      <x:c r="D113" s="24" t="n">
        <x:f>IF(ISNUMBER($D$7),EDATE($D$7,94),"n.a.")</x:f>
        <x:v>49188</x:v>
      </x:c>
      <x:c r="E113" s="7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</x:row>
    <x:row r="114" ht="22" customHeight="1">
      <x:c r="A114" s="2"/>
      <x:c r="B114" s="2"/>
      <x:c r="C114" s="23" t="n">
        <x:v>96</x:v>
      </x:c>
      <x:c r="D114" s="24" t="n">
        <x:f>IF(ISNUMBER($D$7),EDATE($D$7,95),"n.a.")</x:f>
        <x:v>49218</x:v>
      </x:c>
      <x:c r="E114" s="7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</x:row>
    <x:row r="115" ht="22" customHeight="1">
      <x:c r="A115" s="2"/>
      <x:c r="B115" s="2"/>
      <x:c r="C115" s="23" t="n">
        <x:v>97</x:v>
      </x:c>
      <x:c r="D115" s="24" t="n">
        <x:f>IF(ISNUMBER($D$7),EDATE($D$7,96),"n.a.")</x:f>
        <x:v>49249</x:v>
      </x:c>
      <x:c r="E115" s="7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</x:row>
    <x:row r="116" ht="22" customHeight="1">
      <x:c r="A116" s="2"/>
      <x:c r="B116" s="2"/>
      <x:c r="C116" s="23" t="n">
        <x:v>98</x:v>
      </x:c>
      <x:c r="D116" s="24" t="n">
        <x:f>IF(ISNUMBER($D$7),EDATE($D$7,97),"n.a.")</x:f>
        <x:v>49279</x:v>
      </x:c>
      <x:c r="E116" s="7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</x:row>
    <x:row r="117" ht="22" customHeight="1">
      <x:c r="A117" s="2"/>
      <x:c r="B117" s="2"/>
      <x:c r="C117" s="23" t="n">
        <x:v>99</x:v>
      </x:c>
      <x:c r="D117" s="24" t="n">
        <x:f>IF(ISNUMBER($D$7),EDATE($D$7,98),"n.a.")</x:f>
        <x:v>49310</x:v>
      </x:c>
      <x:c r="E117" s="7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</x:row>
    <x:row r="118" ht="22" customHeight="1">
      <x:c r="A118" s="2"/>
      <x:c r="B118" s="2"/>
      <x:c r="C118" s="23" t="n">
        <x:v>100</x:v>
      </x:c>
      <x:c r="D118" s="24" t="n">
        <x:f>IF(ISNUMBER($D$7),EDATE($D$7,99),"n.a.")</x:f>
        <x:v>49341</x:v>
      </x:c>
      <x:c r="E118" s="7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</x:row>
    <x:row r="119" ht="22" customHeight="1">
      <x:c r="A119" s="2"/>
      <x:c r="B119" s="2"/>
      <x:c r="C119" s="23" t="n">
        <x:v>101</x:v>
      </x:c>
      <x:c r="D119" s="24" t="n">
        <x:f>IF(ISNUMBER($D$7),EDATE($D$7,100),"n.a.")</x:f>
        <x:v>49369</x:v>
      </x:c>
      <x:c r="E119" s="7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</x:row>
    <x:row r="120" ht="22" customHeight="1">
      <x:c r="A120" s="2"/>
      <x:c r="B120" s="2"/>
      <x:c r="C120" s="23" t="n">
        <x:v>102</x:v>
      </x:c>
      <x:c r="D120" s="24" t="n">
        <x:f>IF(ISNUMBER($D$7),EDATE($D$7,101),"n.a.")</x:f>
        <x:v>49400</x:v>
      </x:c>
      <x:c r="E120" s="7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</x:row>
    <x:row r="121" ht="22" customHeight="1">
      <x:c r="A121" s="2"/>
      <x:c r="B121" s="2"/>
      <x:c r="C121" s="23" t="n">
        <x:v>103</x:v>
      </x:c>
      <x:c r="D121" s="24" t="n">
        <x:f>IF(ISNUMBER($D$7),EDATE($D$7,102),"n.a.")</x:f>
        <x:v>49430</x:v>
      </x:c>
      <x:c r="E121" s="7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</x:row>
    <x:row r="122" ht="22" customHeight="1">
      <x:c r="A122" s="2"/>
      <x:c r="B122" s="2"/>
      <x:c r="C122" s="23" t="n">
        <x:v>104</x:v>
      </x:c>
      <x:c r="D122" s="24" t="n">
        <x:f>IF(ISNUMBER($D$7),EDATE($D$7,103),"n.a.")</x:f>
        <x:v>49461</x:v>
      </x:c>
      <x:c r="E122" s="7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</x:row>
    <x:row r="123" ht="22" customHeight="1">
      <x:c r="A123" s="2"/>
      <x:c r="B123" s="2"/>
      <x:c r="C123" s="23" t="n">
        <x:v>105</x:v>
      </x:c>
      <x:c r="D123" s="24" t="n">
        <x:f>IF(ISNUMBER($D$7),EDATE($D$7,104),"n.a.")</x:f>
        <x:v>49491</x:v>
      </x:c>
      <x:c r="E123" s="7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</x:row>
    <x:row r="124" ht="22" customHeight="1">
      <x:c r="A124" s="2"/>
      <x:c r="B124" s="2"/>
      <x:c r="C124" s="23" t="n">
        <x:v>106</x:v>
      </x:c>
      <x:c r="D124" s="24" t="n">
        <x:f>IF(ISNUMBER($D$7),EDATE($D$7,105),"n.a.")</x:f>
        <x:v>49522</x:v>
      </x:c>
      <x:c r="E124" s="7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</x:row>
    <x:row r="125" ht="22" customHeight="1">
      <x:c r="A125" s="2"/>
      <x:c r="B125" s="2"/>
      <x:c r="C125" s="23" t="n">
        <x:v>107</x:v>
      </x:c>
      <x:c r="D125" s="24" t="n">
        <x:f>IF(ISNUMBER($D$7),EDATE($D$7,106),"n.a.")</x:f>
        <x:v>49553</x:v>
      </x:c>
      <x:c r="E125" s="7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</x:row>
    <x:row r="126" ht="22" customHeight="1">
      <x:c r="A126" s="2"/>
      <x:c r="B126" s="2"/>
      <x:c r="C126" s="23" t="n">
        <x:v>108</x:v>
      </x:c>
      <x:c r="D126" s="24" t="n">
        <x:f>IF(ISNUMBER($D$7),EDATE($D$7,107),"n.a.")</x:f>
        <x:v>49583</x:v>
      </x:c>
      <x:c r="E126" s="7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</x:row>
    <x:row r="127" ht="22" customHeight="1">
      <x:c r="A127" s="2"/>
      <x:c r="B127" s="2"/>
      <x:c r="C127" s="23" t="n">
        <x:v>109</x:v>
      </x:c>
      <x:c r="D127" s="24" t="n">
        <x:f>IF(ISNUMBER($D$7),EDATE($D$7,108),"n.a.")</x:f>
        <x:v>49614</x:v>
      </x:c>
      <x:c r="E127" s="7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</x:row>
    <x:row r="128" ht="22" customHeight="1">
      <x:c r="A128" s="2"/>
      <x:c r="B128" s="2"/>
      <x:c r="C128" s="23" t="n">
        <x:v>110</x:v>
      </x:c>
      <x:c r="D128" s="24" t="n">
        <x:f>IF(ISNUMBER($D$7),EDATE($D$7,109),"n.a.")</x:f>
        <x:v>49644</x:v>
      </x:c>
      <x:c r="E128" s="7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</x:row>
    <x:row r="129" ht="22" customHeight="1">
      <x:c r="A129" s="2"/>
      <x:c r="B129" s="2"/>
      <x:c r="C129" s="23" t="n">
        <x:v>111</x:v>
      </x:c>
      <x:c r="D129" s="24" t="n">
        <x:f>IF(ISNUMBER($D$7),EDATE($D$7,110),"n.a.")</x:f>
        <x:v>49675</x:v>
      </x:c>
      <x:c r="E129" s="7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</x:row>
    <x:row r="130" ht="22" customHeight="1">
      <x:c r="A130" s="2"/>
      <x:c r="B130" s="2"/>
      <x:c r="C130" s="23" t="n">
        <x:v>112</x:v>
      </x:c>
      <x:c r="D130" s="24" t="n">
        <x:f>IF(ISNUMBER($D$7),EDATE($D$7,111),"n.a.")</x:f>
        <x:v>49706</x:v>
      </x:c>
      <x:c r="E130" s="7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</x:row>
    <x:row r="131" ht="22" customHeight="1">
      <x:c r="A131" s="2"/>
      <x:c r="B131" s="2"/>
      <x:c r="C131" s="23" t="n">
        <x:v>113</x:v>
      </x:c>
      <x:c r="D131" s="24" t="n">
        <x:f>IF(ISNUMBER($D$7),EDATE($D$7,112),"n.a.")</x:f>
        <x:v>49735</x:v>
      </x:c>
      <x:c r="E131" s="7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</x:row>
    <x:row r="132" ht="22" customHeight="1">
      <x:c r="A132" s="2"/>
      <x:c r="B132" s="2"/>
      <x:c r="C132" s="23" t="n">
        <x:v>114</x:v>
      </x:c>
      <x:c r="D132" s="24" t="n">
        <x:f>IF(ISNUMBER($D$7),EDATE($D$7,113),"n.a.")</x:f>
        <x:v>49766</x:v>
      </x:c>
      <x:c r="E132" s="7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</x:row>
    <x:row r="133" ht="22" customHeight="1">
      <x:c r="A133" s="2"/>
      <x:c r="B133" s="2"/>
      <x:c r="C133" s="23" t="n">
        <x:v>115</x:v>
      </x:c>
      <x:c r="D133" s="24" t="n">
        <x:f>IF(ISNUMBER($D$7),EDATE($D$7,114),"n.a.")</x:f>
        <x:v>49796</x:v>
      </x:c>
      <x:c r="E133" s="7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</x:row>
    <x:row r="134" ht="22" customHeight="1">
      <x:c r="A134" s="2"/>
      <x:c r="B134" s="2"/>
      <x:c r="C134" s="23" t="n">
        <x:v>116</x:v>
      </x:c>
      <x:c r="D134" s="24" t="n">
        <x:f>IF(ISNUMBER($D$7),EDATE($D$7,115),"n.a.")</x:f>
        <x:v>49827</x:v>
      </x:c>
      <x:c r="E134" s="7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</x:row>
    <x:row r="135" ht="22" customHeight="1">
      <x:c r="A135" s="2"/>
      <x:c r="B135" s="2"/>
      <x:c r="C135" s="23" t="n">
        <x:v>117</x:v>
      </x:c>
      <x:c r="D135" s="24" t="n">
        <x:f>IF(ISNUMBER($D$7),EDATE($D$7,116),"n.a.")</x:f>
        <x:v>49857</x:v>
      </x:c>
      <x:c r="E135" s="7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</x:row>
    <x:row r="136" ht="22" customHeight="1">
      <x:c r="A136" s="2"/>
      <x:c r="B136" s="2"/>
      <x:c r="C136" s="23" t="n">
        <x:v>118</x:v>
      </x:c>
      <x:c r="D136" s="24" t="n">
        <x:f>IF(ISNUMBER($D$7),EDATE($D$7,117),"n.a.")</x:f>
        <x:v>49888</x:v>
      </x:c>
      <x:c r="E136" s="7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</x:row>
    <x:row r="137" ht="22" customHeight="1">
      <x:c r="A137" s="2"/>
      <x:c r="B137" s="2"/>
      <x:c r="C137" s="23" t="n">
        <x:v>119</x:v>
      </x:c>
      <x:c r="D137" s="24" t="n">
        <x:f>IF(ISNUMBER($D$7),EDATE($D$7,118),"n.a.")</x:f>
        <x:v>49919</x:v>
      </x:c>
      <x:c r="E137" s="7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</x:row>
    <x:row r="138" ht="22" customHeight="1">
      <x:c r="A138" s="2"/>
      <x:c r="B138" s="2"/>
      <x:c r="C138" s="23" t="n">
        <x:v>120</x:v>
      </x:c>
      <x:c r="D138" s="24" t="n">
        <x:f>IF(ISNUMBER($D$7),EDATE($D$7,119),"n.a.")</x:f>
        <x:v>49949</x:v>
      </x:c>
      <x:c r="E138" s="7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</x:row>
    <x:row r="139" ht="22" customHeight="1">
      <x:c r="A139" s="2"/>
      <x:c r="B139" s="2"/>
      <x:c r="C139" s="23" t="n">
        <x:v>121</x:v>
      </x:c>
      <x:c r="D139" s="24" t="n">
        <x:f>IF(ISNUMBER($D$7),EDATE($D$7,120),"n.a.")</x:f>
        <x:v>49980</x:v>
      </x:c>
      <x:c r="E139" s="7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</x:row>
    <x:row r="140" ht="22" customHeight="1">
      <x:c r="A140" s="2"/>
      <x:c r="B140" s="2"/>
      <x:c r="C140" s="23" t="n">
        <x:v>122</x:v>
      </x:c>
      <x:c r="D140" s="24" t="n">
        <x:f>IF(ISNUMBER($D$7),EDATE($D$7,121),"n.a.")</x:f>
        <x:v>50010</x:v>
      </x:c>
      <x:c r="E140" s="7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</x:row>
    <x:row r="141" ht="22" customHeight="1">
      <x:c r="A141" s="2"/>
      <x:c r="B141" s="2"/>
      <x:c r="C141" s="23" t="n">
        <x:v>123</x:v>
      </x:c>
      <x:c r="D141" s="24" t="n">
        <x:f>IF(ISNUMBER($D$7),EDATE($D$7,122),"n.a.")</x:f>
        <x:v>50041</x:v>
      </x:c>
      <x:c r="E141" s="7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</x:row>
    <x:row r="142" ht="22" customHeight="1">
      <x:c r="A142" s="2"/>
      <x:c r="B142" s="2"/>
      <x:c r="C142" s="23" t="n">
        <x:v>124</x:v>
      </x:c>
      <x:c r="D142" s="24" t="n">
        <x:f>IF(ISNUMBER($D$7),EDATE($D$7,123),"n.a.")</x:f>
        <x:v>50072</x:v>
      </x:c>
      <x:c r="E142" s="7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</x:row>
    <x:row r="143" ht="22" customHeight="1">
      <x:c r="A143" s="2"/>
      <x:c r="B143" s="2"/>
      <x:c r="C143" s="23" t="n">
        <x:v>125</x:v>
      </x:c>
      <x:c r="D143" s="24" t="n">
        <x:f>IF(ISNUMBER($D$7),EDATE($D$7,124),"n.a.")</x:f>
        <x:v>50100</x:v>
      </x:c>
      <x:c r="E143" s="7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</x:row>
    <x:row r="144" ht="22" customHeight="1">
      <x:c r="A144" s="2"/>
      <x:c r="B144" s="2"/>
      <x:c r="C144" s="23" t="n">
        <x:v>126</x:v>
      </x:c>
      <x:c r="D144" s="24" t="n">
        <x:f>IF(ISNUMBER($D$7),EDATE($D$7,125),"n.a.")</x:f>
        <x:v>50131</x:v>
      </x:c>
      <x:c r="E144" s="7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</x:row>
    <x:row r="145" ht="22" customHeight="1">
      <x:c r="A145" s="2"/>
      <x:c r="B145" s="2"/>
      <x:c r="C145" s="23" t="n">
        <x:v>127</x:v>
      </x:c>
      <x:c r="D145" s="24" t="n">
        <x:f>IF(ISNUMBER($D$7),EDATE($D$7,126),"n.a.")</x:f>
        <x:v>50161</x:v>
      </x:c>
      <x:c r="E145" s="7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</x:row>
    <x:row r="146" ht="22" customHeight="1">
      <x:c r="A146" s="2"/>
      <x:c r="B146" s="2"/>
      <x:c r="C146" s="23" t="n">
        <x:v>128</x:v>
      </x:c>
      <x:c r="D146" s="24" t="n">
        <x:f>IF(ISNUMBER($D$7),EDATE($D$7,127),"n.a.")</x:f>
        <x:v>50192</x:v>
      </x:c>
      <x:c r="E146" s="7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</x:row>
    <x:row r="147" ht="22" customHeight="1">
      <x:c r="A147" s="2"/>
      <x:c r="B147" s="2"/>
      <x:c r="C147" s="23" t="n">
        <x:v>129</x:v>
      </x:c>
      <x:c r="D147" s="24" t="n">
        <x:f>IF(ISNUMBER($D$7),EDATE($D$7,128),"n.a.")</x:f>
        <x:v>50222</x:v>
      </x:c>
      <x:c r="E147" s="7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</x:row>
    <x:row r="148" ht="22" customHeight="1">
      <x:c r="A148" s="2"/>
      <x:c r="B148" s="2"/>
      <x:c r="C148" s="23" t="n">
        <x:v>130</x:v>
      </x:c>
      <x:c r="D148" s="24" t="n">
        <x:f>IF(ISNUMBER($D$7),EDATE($D$7,129),"n.a.")</x:f>
        <x:v>50253</x:v>
      </x:c>
      <x:c r="E148" s="7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</x:row>
    <x:row r="149" ht="22" customHeight="1">
      <x:c r="A149" s="2"/>
      <x:c r="B149" s="2"/>
      <x:c r="C149" s="23" t="n">
        <x:v>131</x:v>
      </x:c>
      <x:c r="D149" s="24" t="n">
        <x:f>IF(ISNUMBER($D$7),EDATE($D$7,130),"n.a.")</x:f>
        <x:v>50284</x:v>
      </x:c>
      <x:c r="E149" s="7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</x:row>
    <x:row r="150" ht="22" customHeight="1">
      <x:c r="A150" s="2"/>
      <x:c r="B150" s="2"/>
      <x:c r="C150" s="23" t="n">
        <x:v>132</x:v>
      </x:c>
      <x:c r="D150" s="24" t="n">
        <x:f>IF(ISNUMBER($D$7),EDATE($D$7,131),"n.a.")</x:f>
        <x:v>50314</x:v>
      </x:c>
      <x:c r="E150" s="7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</x:row>
    <x:row r="151" ht="22" customHeight="1">
      <x:c r="A151" s="2"/>
      <x:c r="B151" s="2"/>
      <x:c r="C151" s="23" t="n">
        <x:v>133</x:v>
      </x:c>
      <x:c r="D151" s="24" t="n">
        <x:f>IF(ISNUMBER($D$7),EDATE($D$7,132),"n.a.")</x:f>
        <x:v>50345</x:v>
      </x:c>
      <x:c r="E151" s="7"/>
      <x:c r="F151" s="4"/>
      <x:c r="G151" s="4"/>
      <x:c r="H151" s="4"/>
      <x:c r="I151" s="4"/>
      <x:c r="J151" s="4"/>
      <x:c r="K151" s="4"/>
      <x:c r="L151" s="4"/>
      <x:c r="M151" s="4"/>
      <x:c r="N151" s="4"/>
      <x:c r="O151" s="4"/>
      <x:c r="P151" s="4"/>
    </x:row>
    <x:row r="152" ht="22" customHeight="1">
      <x:c r="A152" s="2"/>
      <x:c r="B152" s="2"/>
      <x:c r="C152" s="23" t="n">
        <x:v>134</x:v>
      </x:c>
      <x:c r="D152" s="24" t="n">
        <x:f>IF(ISNUMBER($D$7),EDATE($D$7,133),"n.a.")</x:f>
        <x:v>50375</x:v>
      </x:c>
      <x:c r="E152" s="7"/>
      <x:c r="F152" s="4"/>
      <x:c r="G152" s="4"/>
      <x:c r="H152" s="4"/>
      <x:c r="I152" s="4"/>
      <x:c r="J152" s="4"/>
      <x:c r="K152" s="4"/>
      <x:c r="L152" s="4"/>
      <x:c r="M152" s="4"/>
      <x:c r="N152" s="4"/>
      <x:c r="O152" s="4"/>
      <x:c r="P152" s="4"/>
    </x:row>
    <x:row r="153" ht="22" customHeight="1">
      <x:c r="A153" s="2"/>
      <x:c r="B153" s="2"/>
      <x:c r="C153" s="23" t="n">
        <x:v>135</x:v>
      </x:c>
      <x:c r="D153" s="24" t="n">
        <x:f>IF(ISNUMBER($D$7),EDATE($D$7,134),"n.a.")</x:f>
        <x:v>50406</x:v>
      </x:c>
      <x:c r="E153" s="7"/>
      <x:c r="F153" s="4"/>
      <x:c r="G153" s="4"/>
      <x:c r="H153" s="4"/>
      <x:c r="I153" s="4"/>
      <x:c r="J153" s="4"/>
      <x:c r="K153" s="4"/>
      <x:c r="L153" s="4"/>
      <x:c r="M153" s="4"/>
      <x:c r="N153" s="4"/>
      <x:c r="O153" s="4"/>
      <x:c r="P153" s="4"/>
    </x:row>
    <x:row r="154" ht="22" customHeight="1">
      <x:c r="A154" s="2"/>
      <x:c r="B154" s="2"/>
      <x:c r="C154" s="23" t="n">
        <x:v>136</x:v>
      </x:c>
      <x:c r="D154" s="24" t="n">
        <x:f>IF(ISNUMBER($D$7),EDATE($D$7,135),"n.a.")</x:f>
        <x:v>50437</x:v>
      </x:c>
      <x:c r="E154" s="7"/>
      <x:c r="F154" s="4"/>
      <x:c r="G154" s="4"/>
      <x:c r="H154" s="4"/>
      <x:c r="I154" s="4"/>
      <x:c r="J154" s="4"/>
      <x:c r="K154" s="4"/>
      <x:c r="L154" s="4"/>
      <x:c r="M154" s="4"/>
      <x:c r="N154" s="4"/>
      <x:c r="O154" s="4"/>
      <x:c r="P154" s="4"/>
    </x:row>
    <x:row r="155" ht="22" customHeight="1">
      <x:c r="A155" s="2"/>
      <x:c r="B155" s="2"/>
      <x:c r="C155" s="23" t="n">
        <x:v>137</x:v>
      </x:c>
      <x:c r="D155" s="24" t="n">
        <x:f>IF(ISNUMBER($D$7),EDATE($D$7,136),"n.a.")</x:f>
        <x:v>50465</x:v>
      </x:c>
      <x:c r="E155" s="7"/>
      <x:c r="F155" s="4"/>
      <x:c r="G155" s="4"/>
      <x:c r="H155" s="4"/>
      <x:c r="I155" s="4"/>
      <x:c r="J155" s="4"/>
      <x:c r="K155" s="4"/>
      <x:c r="L155" s="4"/>
      <x:c r="M155" s="4"/>
      <x:c r="N155" s="4"/>
      <x:c r="O155" s="4"/>
      <x:c r="P155" s="4"/>
    </x:row>
    <x:row r="156" ht="22" customHeight="1">
      <x:c r="A156" s="2"/>
      <x:c r="B156" s="2"/>
      <x:c r="C156" s="23" t="n">
        <x:v>138</x:v>
      </x:c>
      <x:c r="D156" s="24" t="n">
        <x:f>IF(ISNUMBER($D$7),EDATE($D$7,137),"n.a.")</x:f>
        <x:v>50496</x:v>
      </x:c>
      <x:c r="E156" s="7"/>
      <x:c r="F156" s="4"/>
      <x:c r="G156" s="4"/>
      <x:c r="H156" s="4"/>
      <x:c r="I156" s="4"/>
      <x:c r="J156" s="4"/>
      <x:c r="K156" s="4"/>
      <x:c r="L156" s="4"/>
      <x:c r="M156" s="4"/>
      <x:c r="N156" s="4"/>
      <x:c r="O156" s="4"/>
      <x:c r="P156" s="4"/>
    </x:row>
    <x:row r="157" ht="22" customHeight="1">
      <x:c r="A157" s="2"/>
      <x:c r="B157" s="2"/>
      <x:c r="C157" s="23" t="n">
        <x:v>139</x:v>
      </x:c>
      <x:c r="D157" s="24" t="n">
        <x:f>IF(ISNUMBER($D$7),EDATE($D$7,138),"n.a.")</x:f>
        <x:v>50526</x:v>
      </x:c>
      <x:c r="E157" s="7"/>
      <x:c r="F157" s="4"/>
      <x:c r="G157" s="4"/>
      <x:c r="H157" s="4"/>
      <x:c r="I157" s="4"/>
      <x:c r="J157" s="4"/>
      <x:c r="K157" s="4"/>
      <x:c r="L157" s="4"/>
      <x:c r="M157" s="4"/>
      <x:c r="N157" s="4"/>
      <x:c r="O157" s="4"/>
      <x:c r="P157" s="4"/>
    </x:row>
    <x:row r="158" ht="22" customHeight="1">
      <x:c r="A158" s="2"/>
      <x:c r="B158" s="2"/>
      <x:c r="C158" s="23" t="n">
        <x:v>140</x:v>
      </x:c>
      <x:c r="D158" s="24" t="n">
        <x:f>IF(ISNUMBER($D$7),EDATE($D$7,139),"n.a.")</x:f>
        <x:v>50557</x:v>
      </x:c>
      <x:c r="E158" s="7"/>
      <x:c r="F158" s="4"/>
      <x:c r="G158" s="4"/>
      <x:c r="H158" s="4"/>
      <x:c r="I158" s="4"/>
      <x:c r="J158" s="4"/>
      <x:c r="K158" s="4"/>
      <x:c r="L158" s="4"/>
      <x:c r="M158" s="4"/>
      <x:c r="N158" s="4"/>
      <x:c r="O158" s="4"/>
      <x:c r="P158" s="4"/>
    </x:row>
    <x:row r="159" ht="22" customHeight="1">
      <x:c r="A159" s="2"/>
      <x:c r="B159" s="2"/>
      <x:c r="C159" s="23" t="n">
        <x:v>141</x:v>
      </x:c>
      <x:c r="D159" s="24" t="n">
        <x:f>IF(ISNUMBER($D$7),EDATE($D$7,140),"n.a.")</x:f>
        <x:v>50587</x:v>
      </x:c>
      <x:c r="E159" s="7"/>
      <x:c r="F159" s="4"/>
      <x:c r="G159" s="4"/>
      <x:c r="H159" s="4"/>
      <x:c r="I159" s="4"/>
      <x:c r="J159" s="4"/>
      <x:c r="K159" s="4"/>
      <x:c r="L159" s="4"/>
      <x:c r="M159" s="4"/>
      <x:c r="N159" s="4"/>
      <x:c r="O159" s="4"/>
      <x:c r="P159" s="4"/>
    </x:row>
    <x:row r="160" ht="22" customHeight="1">
      <x:c r="A160" s="2"/>
      <x:c r="B160" s="2"/>
      <x:c r="C160" s="23" t="n">
        <x:v>142</x:v>
      </x:c>
      <x:c r="D160" s="24" t="n">
        <x:f>IF(ISNUMBER($D$7),EDATE($D$7,141),"n.a.")</x:f>
        <x:v>50618</x:v>
      </x:c>
      <x:c r="E160" s="7"/>
      <x:c r="F160" s="4"/>
      <x:c r="G160" s="4"/>
      <x:c r="H160" s="4"/>
      <x:c r="I160" s="4"/>
      <x:c r="J160" s="4"/>
      <x:c r="K160" s="4"/>
      <x:c r="L160" s="4"/>
      <x:c r="M160" s="4"/>
      <x:c r="N160" s="4"/>
      <x:c r="O160" s="4"/>
      <x:c r="P160" s="4"/>
    </x:row>
    <x:row r="161" ht="22" customHeight="1">
      <x:c r="A161" s="2"/>
      <x:c r="B161" s="2"/>
      <x:c r="C161" s="23" t="n">
        <x:v>143</x:v>
      </x:c>
      <x:c r="D161" s="24" t="n">
        <x:f>IF(ISNUMBER($D$7),EDATE($D$7,142),"n.a.")</x:f>
        <x:v>50649</x:v>
      </x:c>
      <x:c r="E161" s="7"/>
      <x:c r="F161" s="4"/>
      <x:c r="G161" s="4"/>
      <x:c r="H161" s="4"/>
      <x:c r="I161" s="4"/>
      <x:c r="J161" s="4"/>
      <x:c r="K161" s="4"/>
      <x:c r="L161" s="4"/>
      <x:c r="M161" s="4"/>
      <x:c r="N161" s="4"/>
      <x:c r="O161" s="4"/>
      <x:c r="P161" s="4"/>
    </x:row>
    <x:row r="162" ht="22" customHeight="1">
      <x:c r="A162" s="2"/>
      <x:c r="B162" s="2"/>
      <x:c r="C162" s="23" t="n">
        <x:v>144</x:v>
      </x:c>
      <x:c r="D162" s="24" t="n">
        <x:f>IF(ISNUMBER($D$7),EDATE($D$7,143),"n.a.")</x:f>
        <x:v>50679</x:v>
      </x:c>
      <x:c r="E162" s="7"/>
      <x:c r="F162" s="4"/>
      <x:c r="G162" s="4"/>
      <x:c r="H162" s="4"/>
      <x:c r="I162" s="4"/>
      <x:c r="J162" s="4"/>
      <x:c r="K162" s="4"/>
      <x:c r="L162" s="4"/>
      <x:c r="M162" s="4"/>
      <x:c r="N162" s="4"/>
      <x:c r="O162" s="4"/>
      <x:c r="P162" s="4"/>
    </x:row>
    <x:row r="163" ht="22" customHeight="1">
      <x:c r="A163" s="2"/>
      <x:c r="B163" s="2"/>
      <x:c r="C163" s="23" t="n">
        <x:v>145</x:v>
      </x:c>
      <x:c r="D163" s="24" t="n">
        <x:f>IF(ISNUMBER($D$7),EDATE($D$7,144),"n.a.")</x:f>
        <x:v>50710</x:v>
      </x:c>
      <x:c r="E163" s="7"/>
      <x:c r="F163" s="4"/>
      <x:c r="G163" s="4"/>
      <x:c r="H163" s="4"/>
      <x:c r="I163" s="4"/>
      <x:c r="J163" s="4"/>
      <x:c r="K163" s="4"/>
      <x:c r="L163" s="4"/>
      <x:c r="M163" s="4"/>
      <x:c r="N163" s="4"/>
      <x:c r="O163" s="4"/>
      <x:c r="P163" s="4"/>
    </x:row>
    <x:row r="164" ht="22" customHeight="1">
      <x:c r="A164" s="2"/>
      <x:c r="B164" s="2"/>
      <x:c r="C164" s="23" t="n">
        <x:v>146</x:v>
      </x:c>
      <x:c r="D164" s="24" t="n">
        <x:f>IF(ISNUMBER($D$7),EDATE($D$7,145),"n.a.")</x:f>
        <x:v>50740</x:v>
      </x:c>
      <x:c r="E164" s="7"/>
      <x:c r="F164" s="4"/>
      <x:c r="G164" s="4"/>
      <x:c r="H164" s="4"/>
      <x:c r="I164" s="4"/>
      <x:c r="J164" s="4"/>
      <x:c r="K164" s="4"/>
      <x:c r="L164" s="4"/>
      <x:c r="M164" s="4"/>
      <x:c r="N164" s="4"/>
      <x:c r="O164" s="4"/>
      <x:c r="P164" s="4"/>
    </x:row>
    <x:row r="165" ht="22" customHeight="1">
      <x:c r="A165" s="2"/>
      <x:c r="B165" s="2"/>
      <x:c r="C165" s="23" t="n">
        <x:v>147</x:v>
      </x:c>
      <x:c r="D165" s="24" t="n">
        <x:f>IF(ISNUMBER($D$7),EDATE($D$7,146),"n.a.")</x:f>
        <x:v>50771</x:v>
      </x:c>
      <x:c r="E165" s="7"/>
      <x:c r="F165" s="4"/>
      <x:c r="G165" s="4"/>
      <x:c r="H165" s="4"/>
      <x:c r="I165" s="4"/>
      <x:c r="J165" s="4"/>
      <x:c r="K165" s="4"/>
      <x:c r="L165" s="4"/>
      <x:c r="M165" s="4"/>
      <x:c r="N165" s="4"/>
      <x:c r="O165" s="4"/>
      <x:c r="P165" s="4"/>
    </x:row>
    <x:row r="166" ht="22" customHeight="1">
      <x:c r="A166" s="2"/>
      <x:c r="B166" s="2"/>
      <x:c r="C166" s="23" t="n">
        <x:v>148</x:v>
      </x:c>
      <x:c r="D166" s="24" t="n">
        <x:f>IF(ISNUMBER($D$7),EDATE($D$7,147),"n.a.")</x:f>
        <x:v>50802</x:v>
      </x:c>
      <x:c r="E166" s="7"/>
      <x:c r="F166" s="4"/>
      <x:c r="G166" s="4"/>
      <x:c r="H166" s="4"/>
      <x:c r="I166" s="4"/>
      <x:c r="J166" s="4"/>
      <x:c r="K166" s="4"/>
      <x:c r="L166" s="4"/>
      <x:c r="M166" s="4"/>
      <x:c r="N166" s="4"/>
      <x:c r="O166" s="4"/>
      <x:c r="P166" s="4"/>
    </x:row>
    <x:row r="167" ht="22" customHeight="1">
      <x:c r="A167" s="2"/>
      <x:c r="B167" s="2"/>
      <x:c r="C167" s="23" t="n">
        <x:v>149</x:v>
      </x:c>
      <x:c r="D167" s="24" t="n">
        <x:f>IF(ISNUMBER($D$7),EDATE($D$7,148),"n.a.")</x:f>
        <x:v>50830</x:v>
      </x:c>
      <x:c r="E167" s="7"/>
      <x:c r="F167" s="4"/>
      <x:c r="G167" s="4"/>
      <x:c r="H167" s="4"/>
      <x:c r="I167" s="4"/>
      <x:c r="J167" s="4"/>
      <x:c r="K167" s="4"/>
      <x:c r="L167" s="4"/>
      <x:c r="M167" s="4"/>
      <x:c r="N167" s="4"/>
      <x:c r="O167" s="4"/>
      <x:c r="P167" s="4"/>
    </x:row>
    <x:row r="168" ht="22" customHeight="1">
      <x:c r="A168" s="2"/>
      <x:c r="B168" s="2"/>
      <x:c r="C168" s="23" t="n">
        <x:v>150</x:v>
      </x:c>
      <x:c r="D168" s="24" t="n">
        <x:f>IF(ISNUMBER($D$7),EDATE($D$7,149),"n.a.")</x:f>
        <x:v>50861</x:v>
      </x:c>
      <x:c r="E168" s="7"/>
      <x:c r="F168" s="4"/>
      <x:c r="G168" s="4"/>
      <x:c r="H168" s="4"/>
      <x:c r="I168" s="4"/>
      <x:c r="J168" s="4"/>
      <x:c r="K168" s="4"/>
      <x:c r="L168" s="4"/>
      <x:c r="M168" s="4"/>
      <x:c r="N168" s="4"/>
      <x:c r="O168" s="4"/>
      <x:c r="P168" s="4"/>
    </x:row>
    <x:row r="169" ht="22" customHeight="1">
      <x:c r="A169" s="2"/>
      <x:c r="B169" s="2"/>
      <x:c r="C169" s="23" t="n">
        <x:v>151</x:v>
      </x:c>
      <x:c r="D169" s="24" t="n">
        <x:f>IF(ISNUMBER($D$7),EDATE($D$7,150),"n.a.")</x:f>
        <x:v>50891</x:v>
      </x:c>
      <x:c r="E169" s="7"/>
      <x:c r="F169" s="4"/>
      <x:c r="G169" s="4"/>
      <x:c r="H169" s="4"/>
      <x:c r="I169" s="4"/>
      <x:c r="J169" s="4"/>
      <x:c r="K169" s="4"/>
      <x:c r="L169" s="4"/>
      <x:c r="M169" s="4"/>
      <x:c r="N169" s="4"/>
      <x:c r="O169" s="4"/>
      <x:c r="P169" s="4"/>
    </x:row>
    <x:row r="170" ht="22" customHeight="1">
      <x:c r="A170" s="2"/>
      <x:c r="B170" s="2"/>
      <x:c r="C170" s="23" t="n">
        <x:v>152</x:v>
      </x:c>
      <x:c r="D170" s="24" t="n">
        <x:f>IF(ISNUMBER($D$7),EDATE($D$7,151),"n.a.")</x:f>
        <x:v>50922</x:v>
      </x:c>
      <x:c r="E170" s="7"/>
      <x:c r="F170" s="4"/>
      <x:c r="G170" s="4"/>
      <x:c r="H170" s="4"/>
      <x:c r="I170" s="4"/>
      <x:c r="J170" s="4"/>
      <x:c r="K170" s="4"/>
      <x:c r="L170" s="4"/>
      <x:c r="M170" s="4"/>
      <x:c r="N170" s="4"/>
      <x:c r="O170" s="4"/>
      <x:c r="P170" s="4"/>
    </x:row>
    <x:row r="171" ht="22" customHeight="1">
      <x:c r="A171" s="2"/>
      <x:c r="B171" s="2"/>
      <x:c r="C171" s="23" t="n">
        <x:v>153</x:v>
      </x:c>
      <x:c r="D171" s="24" t="n">
        <x:f>IF(ISNUMBER($D$7),EDATE($D$7,152),"n.a.")</x:f>
        <x:v>50952</x:v>
      </x:c>
      <x:c r="E171" s="7"/>
      <x:c r="F171" s="4"/>
      <x:c r="G171" s="4"/>
      <x:c r="H171" s="4"/>
      <x:c r="I171" s="4"/>
      <x:c r="J171" s="4"/>
      <x:c r="K171" s="4"/>
      <x:c r="L171" s="4"/>
      <x:c r="M171" s="4"/>
      <x:c r="N171" s="4"/>
      <x:c r="O171" s="4"/>
      <x:c r="P171" s="4"/>
    </x:row>
    <x:row r="172" ht="22" customHeight="1">
      <x:c r="A172" s="2"/>
      <x:c r="B172" s="2"/>
      <x:c r="C172" s="23" t="n">
        <x:v>154</x:v>
      </x:c>
      <x:c r="D172" s="24" t="n">
        <x:f>IF(ISNUMBER($D$7),EDATE($D$7,153),"n.a.")</x:f>
        <x:v>50983</x:v>
      </x:c>
      <x:c r="E172" s="7"/>
      <x:c r="F172" s="4"/>
      <x:c r="G172" s="4"/>
      <x:c r="H172" s="4"/>
      <x:c r="I172" s="4"/>
      <x:c r="J172" s="4"/>
      <x:c r="K172" s="4"/>
      <x:c r="L172" s="4"/>
      <x:c r="M172" s="4"/>
      <x:c r="N172" s="4"/>
      <x:c r="O172" s="4"/>
      <x:c r="P172" s="4"/>
    </x:row>
    <x:row r="173" ht="22" customHeight="1">
      <x:c r="A173" s="2"/>
      <x:c r="B173" s="2"/>
      <x:c r="C173" s="23" t="n">
        <x:v>155</x:v>
      </x:c>
      <x:c r="D173" s="24" t="n">
        <x:f>IF(ISNUMBER($D$7),EDATE($D$7,154),"n.a.")</x:f>
        <x:v>51014</x:v>
      </x:c>
      <x:c r="E173" s="7"/>
      <x:c r="F173" s="4"/>
      <x:c r="G173" s="4"/>
      <x:c r="H173" s="4"/>
      <x:c r="I173" s="4"/>
      <x:c r="J173" s="4"/>
      <x:c r="K173" s="4"/>
      <x:c r="L173" s="4"/>
      <x:c r="M173" s="4"/>
      <x:c r="N173" s="4"/>
      <x:c r="O173" s="4"/>
      <x:c r="P173" s="4"/>
    </x:row>
    <x:row r="174" ht="22" customHeight="1">
      <x:c r="A174" s="2"/>
      <x:c r="B174" s="2"/>
      <x:c r="C174" s="23" t="n">
        <x:v>156</x:v>
      </x:c>
      <x:c r="D174" s="24" t="n">
        <x:f>IF(ISNUMBER($D$7),EDATE($D$7,155),"n.a.")</x:f>
        <x:v>51044</x:v>
      </x:c>
      <x:c r="E174" s="7"/>
      <x:c r="F174" s="4"/>
      <x:c r="G174" s="4"/>
      <x:c r="H174" s="4"/>
      <x:c r="I174" s="4"/>
      <x:c r="J174" s="4"/>
      <x:c r="K174" s="4"/>
      <x:c r="L174" s="4"/>
      <x:c r="M174" s="4"/>
      <x:c r="N174" s="4"/>
      <x:c r="O174" s="4"/>
      <x:c r="P174" s="4"/>
    </x:row>
    <x:row r="175" ht="22" customHeight="1">
      <x:c r="A175" s="2"/>
      <x:c r="B175" s="2"/>
      <x:c r="C175" s="23" t="n">
        <x:v>157</x:v>
      </x:c>
      <x:c r="D175" s="24" t="n">
        <x:f>IF(ISNUMBER($D$7),EDATE($D$7,156),"n.a.")</x:f>
        <x:v>51075</x:v>
      </x:c>
      <x:c r="E175" s="7"/>
      <x:c r="F175" s="4"/>
      <x:c r="G175" s="4"/>
      <x:c r="H175" s="4"/>
      <x:c r="I175" s="4"/>
      <x:c r="J175" s="4"/>
      <x:c r="K175" s="4"/>
      <x:c r="L175" s="4"/>
      <x:c r="M175" s="4"/>
      <x:c r="N175" s="4"/>
      <x:c r="O175" s="4"/>
      <x:c r="P175" s="4"/>
    </x:row>
    <x:row r="176" ht="22" customHeight="1">
      <x:c r="A176" s="2"/>
      <x:c r="B176" s="2"/>
      <x:c r="C176" s="23" t="n">
        <x:v>158</x:v>
      </x:c>
      <x:c r="D176" s="24" t="n">
        <x:f>IF(ISNUMBER($D$7),EDATE($D$7,157),"n.a.")</x:f>
        <x:v>51105</x:v>
      </x:c>
      <x:c r="E176" s="7"/>
      <x:c r="F176" s="4"/>
      <x:c r="G176" s="4"/>
      <x:c r="H176" s="4"/>
      <x:c r="I176" s="4"/>
      <x:c r="J176" s="4"/>
      <x:c r="K176" s="4"/>
      <x:c r="L176" s="4"/>
      <x:c r="M176" s="4"/>
      <x:c r="N176" s="4"/>
      <x:c r="O176" s="4"/>
      <x:c r="P176" s="4"/>
    </x:row>
    <x:row r="177" ht="22" customHeight="1">
      <x:c r="A177" s="2"/>
      <x:c r="B177" s="2"/>
      <x:c r="C177" s="23" t="n">
        <x:v>159</x:v>
      </x:c>
      <x:c r="D177" s="24" t="n">
        <x:f>IF(ISNUMBER($D$7),EDATE($D$7,158),"n.a.")</x:f>
        <x:v>51136</x:v>
      </x:c>
      <x:c r="E177" s="7"/>
      <x:c r="F177" s="4"/>
      <x:c r="G177" s="4"/>
      <x:c r="H177" s="4"/>
      <x:c r="I177" s="4"/>
      <x:c r="J177" s="4"/>
      <x:c r="K177" s="4"/>
      <x:c r="L177" s="4"/>
      <x:c r="M177" s="4"/>
      <x:c r="N177" s="4"/>
      <x:c r="O177" s="4"/>
      <x:c r="P177" s="4"/>
    </x:row>
    <x:row r="178" ht="22" customHeight="1">
      <x:c r="A178" s="2"/>
      <x:c r="B178" s="2"/>
      <x:c r="C178" s="23" t="n">
        <x:v>160</x:v>
      </x:c>
      <x:c r="D178" s="24" t="n">
        <x:f>IF(ISNUMBER($D$7),EDATE($D$7,159),"n.a.")</x:f>
        <x:v>51167</x:v>
      </x:c>
      <x:c r="E178" s="7"/>
      <x:c r="F178" s="4"/>
      <x:c r="G178" s="4"/>
      <x:c r="H178" s="4"/>
      <x:c r="I178" s="4"/>
      <x:c r="J178" s="4"/>
      <x:c r="K178" s="4"/>
      <x:c r="L178" s="4"/>
      <x:c r="M178" s="4"/>
      <x:c r="N178" s="4"/>
      <x:c r="O178" s="4"/>
      <x:c r="P178" s="4"/>
    </x:row>
    <x:row r="179" ht="22" customHeight="1">
      <x:c r="A179" s="2"/>
      <x:c r="B179" s="2"/>
      <x:c r="C179" s="23" t="n">
        <x:v>161</x:v>
      </x:c>
      <x:c r="D179" s="24" t="n">
        <x:f>IF(ISNUMBER($D$7),EDATE($D$7,160),"n.a.")</x:f>
        <x:v>51196</x:v>
      </x:c>
      <x:c r="E179" s="7"/>
      <x:c r="F179" s="4"/>
      <x:c r="G179" s="4"/>
      <x:c r="H179" s="4"/>
      <x:c r="I179" s="4"/>
      <x:c r="J179" s="4"/>
      <x:c r="K179" s="4"/>
      <x:c r="L179" s="4"/>
      <x:c r="M179" s="4"/>
      <x:c r="N179" s="4"/>
      <x:c r="O179" s="4"/>
      <x:c r="P179" s="4"/>
    </x:row>
    <x:row r="180" ht="22" customHeight="1">
      <x:c r="A180" s="2"/>
      <x:c r="B180" s="2"/>
      <x:c r="C180" s="23" t="n">
        <x:v>162</x:v>
      </x:c>
      <x:c r="D180" s="24" t="n">
        <x:f>IF(ISNUMBER($D$7),EDATE($D$7,161),"n.a.")</x:f>
        <x:v>51227</x:v>
      </x:c>
      <x:c r="E180" s="7"/>
      <x:c r="F180" s="4"/>
      <x:c r="G180" s="4"/>
      <x:c r="H180" s="4"/>
      <x:c r="I180" s="4"/>
      <x:c r="J180" s="4"/>
      <x:c r="K180" s="4"/>
      <x:c r="L180" s="4"/>
      <x:c r="M180" s="4"/>
      <x:c r="N180" s="4"/>
      <x:c r="O180" s="4"/>
      <x:c r="P180" s="4"/>
    </x:row>
    <x:row r="181" ht="22" customHeight="1">
      <x:c r="A181" s="2"/>
      <x:c r="B181" s="2"/>
      <x:c r="C181" s="23" t="n">
        <x:v>163</x:v>
      </x:c>
      <x:c r="D181" s="24" t="n">
        <x:f>IF(ISNUMBER($D$7),EDATE($D$7,162),"n.a.")</x:f>
        <x:v>51257</x:v>
      </x:c>
      <x:c r="E181" s="7"/>
      <x:c r="F181" s="4"/>
      <x:c r="G181" s="4"/>
      <x:c r="H181" s="4"/>
      <x:c r="I181" s="4"/>
      <x:c r="J181" s="4"/>
      <x:c r="K181" s="4"/>
      <x:c r="L181" s="4"/>
      <x:c r="M181" s="4"/>
      <x:c r="N181" s="4"/>
      <x:c r="O181" s="4"/>
      <x:c r="P181" s="4"/>
    </x:row>
    <x:row r="182" ht="22" customHeight="1">
      <x:c r="A182" s="2"/>
      <x:c r="B182" s="2"/>
      <x:c r="C182" s="23" t="n">
        <x:v>164</x:v>
      </x:c>
      <x:c r="D182" s="24" t="n">
        <x:f>IF(ISNUMBER($D$7),EDATE($D$7,163),"n.a.")</x:f>
        <x:v>51288</x:v>
      </x:c>
      <x:c r="E182" s="7"/>
      <x:c r="F182" s="4"/>
      <x:c r="G182" s="4"/>
      <x:c r="H182" s="4"/>
      <x:c r="I182" s="4"/>
      <x:c r="J182" s="4"/>
      <x:c r="K182" s="4"/>
      <x:c r="L182" s="4"/>
      <x:c r="M182" s="4"/>
      <x:c r="N182" s="4"/>
      <x:c r="O182" s="4"/>
      <x:c r="P182" s="4"/>
    </x:row>
    <x:row r="183" ht="22" customHeight="1">
      <x:c r="A183" s="2"/>
      <x:c r="B183" s="2"/>
      <x:c r="C183" s="23" t="n">
        <x:v>165</x:v>
      </x:c>
      <x:c r="D183" s="24" t="n">
        <x:f>IF(ISNUMBER($D$7),EDATE($D$7,164),"n.a.")</x:f>
        <x:v>51318</x:v>
      </x:c>
      <x:c r="E183" s="7"/>
      <x:c r="F183" s="4"/>
      <x:c r="G183" s="4"/>
      <x:c r="H183" s="4"/>
      <x:c r="I183" s="4"/>
      <x:c r="J183" s="4"/>
      <x:c r="K183" s="4"/>
      <x:c r="L183" s="4"/>
      <x:c r="M183" s="4"/>
      <x:c r="N183" s="4"/>
      <x:c r="O183" s="4"/>
      <x:c r="P183" s="4"/>
    </x:row>
    <x:row r="184" ht="22" customHeight="1">
      <x:c r="A184" s="2"/>
      <x:c r="B184" s="2"/>
      <x:c r="C184" s="23" t="n">
        <x:v>166</x:v>
      </x:c>
      <x:c r="D184" s="24" t="n">
        <x:f>IF(ISNUMBER($D$7),EDATE($D$7,165),"n.a.")</x:f>
        <x:v>51349</x:v>
      </x:c>
      <x:c r="E184" s="7"/>
      <x:c r="F184" s="4"/>
      <x:c r="G184" s="4"/>
      <x:c r="H184" s="4"/>
      <x:c r="I184" s="4"/>
      <x:c r="J184" s="4"/>
      <x:c r="K184" s="4"/>
      <x:c r="L184" s="4"/>
      <x:c r="M184" s="4"/>
      <x:c r="N184" s="4"/>
      <x:c r="O184" s="4"/>
      <x:c r="P184" s="4"/>
    </x:row>
    <x:row r="185" ht="22" customHeight="1">
      <x:c r="A185" s="2"/>
      <x:c r="B185" s="2"/>
      <x:c r="C185" s="23" t="n">
        <x:v>167</x:v>
      </x:c>
      <x:c r="D185" s="24" t="n">
        <x:f>IF(ISNUMBER($D$7),EDATE($D$7,166),"n.a.")</x:f>
        <x:v>51380</x:v>
      </x:c>
      <x:c r="E185" s="7"/>
      <x:c r="F185" s="4"/>
      <x:c r="G185" s="4"/>
      <x:c r="H185" s="4"/>
      <x:c r="I185" s="4"/>
      <x:c r="J185" s="4"/>
      <x:c r="K185" s="4"/>
      <x:c r="L185" s="4"/>
      <x:c r="M185" s="4"/>
      <x:c r="N185" s="4"/>
      <x:c r="O185" s="4"/>
      <x:c r="P185" s="4"/>
    </x:row>
    <x:row r="186" ht="22" customHeight="1">
      <x:c r="A186" s="2"/>
      <x:c r="B186" s="2"/>
      <x:c r="C186" s="23" t="n">
        <x:v>168</x:v>
      </x:c>
      <x:c r="D186" s="24" t="n">
        <x:f>IF(ISNUMBER($D$7),EDATE($D$7,167),"n.a.")</x:f>
        <x:v>51410</x:v>
      </x:c>
      <x:c r="E186" s="7"/>
      <x:c r="F186" s="4"/>
      <x:c r="G186" s="4"/>
      <x:c r="H186" s="4"/>
      <x:c r="I186" s="4"/>
      <x:c r="J186" s="4"/>
      <x:c r="K186" s="4"/>
      <x:c r="L186" s="4"/>
      <x:c r="M186" s="4"/>
      <x:c r="N186" s="4"/>
      <x:c r="O186" s="4"/>
      <x:c r="P186" s="4"/>
    </x:row>
    <x:row r="187" ht="22" customHeight="1">
      <x:c r="A187" s="2"/>
      <x:c r="B187" s="2"/>
      <x:c r="C187" s="23" t="n">
        <x:v>169</x:v>
      </x:c>
      <x:c r="D187" s="24" t="n">
        <x:f>IF(ISNUMBER($D$7),EDATE($D$7,168),"n.a.")</x:f>
        <x:v>51441</x:v>
      </x:c>
      <x:c r="E187" s="7"/>
      <x:c r="F187" s="4"/>
      <x:c r="G187" s="4"/>
      <x:c r="H187" s="4"/>
      <x:c r="I187" s="4"/>
      <x:c r="J187" s="4"/>
      <x:c r="K187" s="4"/>
      <x:c r="L187" s="4"/>
      <x:c r="M187" s="4"/>
      <x:c r="N187" s="4"/>
      <x:c r="O187" s="4"/>
      <x:c r="P187" s="4"/>
    </x:row>
    <x:row r="188" ht="22" customHeight="1">
      <x:c r="A188" s="2"/>
      <x:c r="B188" s="2"/>
      <x:c r="C188" s="23" t="n">
        <x:v>170</x:v>
      </x:c>
      <x:c r="D188" s="24" t="n">
        <x:f>IF(ISNUMBER($D$7),EDATE($D$7,169),"n.a.")</x:f>
        <x:v>51471</x:v>
      </x:c>
      <x:c r="E188" s="7"/>
      <x:c r="F188" s="4"/>
      <x:c r="G188" s="4"/>
      <x:c r="H188" s="4"/>
      <x:c r="I188" s="4"/>
      <x:c r="J188" s="4"/>
      <x:c r="K188" s="4"/>
      <x:c r="L188" s="4"/>
      <x:c r="M188" s="4"/>
      <x:c r="N188" s="4"/>
      <x:c r="O188" s="4"/>
      <x:c r="P188" s="4"/>
    </x:row>
    <x:row r="189" ht="22" customHeight="1">
      <x:c r="A189" s="2"/>
      <x:c r="B189" s="2"/>
      <x:c r="C189" s="23" t="n">
        <x:v>171</x:v>
      </x:c>
      <x:c r="D189" s="24" t="n">
        <x:f>IF(ISNUMBER($D$7),EDATE($D$7,170),"n.a.")</x:f>
        <x:v>51502</x:v>
      </x:c>
      <x:c r="E189" s="7"/>
      <x:c r="F189" s="4"/>
      <x:c r="G189" s="4"/>
      <x:c r="H189" s="4"/>
      <x:c r="I189" s="4"/>
      <x:c r="J189" s="4"/>
      <x:c r="K189" s="4"/>
      <x:c r="L189" s="4"/>
      <x:c r="M189" s="4"/>
      <x:c r="N189" s="4"/>
      <x:c r="O189" s="4"/>
      <x:c r="P189" s="4"/>
    </x:row>
    <x:row r="190" ht="22" customHeight="1">
      <x:c r="A190" s="2"/>
      <x:c r="B190" s="2"/>
      <x:c r="C190" s="23" t="n">
        <x:v>172</x:v>
      </x:c>
      <x:c r="D190" s="24" t="n">
        <x:f>IF(ISNUMBER($D$7),EDATE($D$7,171),"n.a.")</x:f>
        <x:v>51533</x:v>
      </x:c>
      <x:c r="E190" s="7"/>
      <x:c r="F190" s="4"/>
      <x:c r="G190" s="4"/>
      <x:c r="H190" s="4"/>
      <x:c r="I190" s="4"/>
      <x:c r="J190" s="4"/>
      <x:c r="K190" s="4"/>
      <x:c r="L190" s="4"/>
      <x:c r="M190" s="4"/>
      <x:c r="N190" s="4"/>
      <x:c r="O190" s="4"/>
      <x:c r="P190" s="4"/>
    </x:row>
    <x:row r="191" ht="22" customHeight="1">
      <x:c r="A191" s="2"/>
      <x:c r="B191" s="2"/>
      <x:c r="C191" s="23" t="n">
        <x:v>173</x:v>
      </x:c>
      <x:c r="D191" s="24" t="n">
        <x:f>IF(ISNUMBER($D$7),EDATE($D$7,172),"n.a.")</x:f>
        <x:v>51561</x:v>
      </x:c>
      <x:c r="E191" s="7"/>
      <x:c r="F191" s="4"/>
      <x:c r="G191" s="4"/>
      <x:c r="H191" s="4"/>
      <x:c r="I191" s="4"/>
      <x:c r="J191" s="4"/>
      <x:c r="K191" s="4"/>
      <x:c r="L191" s="4"/>
      <x:c r="M191" s="4"/>
      <x:c r="N191" s="4"/>
      <x:c r="O191" s="4"/>
      <x:c r="P191" s="4"/>
    </x:row>
    <x:row r="192" ht="22" customHeight="1">
      <x:c r="A192" s="2"/>
      <x:c r="B192" s="2"/>
      <x:c r="C192" s="23" t="n">
        <x:v>174</x:v>
      </x:c>
      <x:c r="D192" s="24" t="n">
        <x:f>IF(ISNUMBER($D$7),EDATE($D$7,173),"n.a.")</x:f>
        <x:v>51592</x:v>
      </x:c>
      <x:c r="E192" s="7"/>
      <x:c r="F192" s="4"/>
      <x:c r="G192" s="4"/>
      <x:c r="H192" s="4"/>
      <x:c r="I192" s="4"/>
      <x:c r="J192" s="4"/>
      <x:c r="K192" s="4"/>
      <x:c r="L192" s="4"/>
      <x:c r="M192" s="4"/>
      <x:c r="N192" s="4"/>
      <x:c r="O192" s="4"/>
      <x:c r="P192" s="4"/>
    </x:row>
    <x:row r="193" ht="22" customHeight="1">
      <x:c r="A193" s="2"/>
      <x:c r="B193" s="2"/>
      <x:c r="C193" s="23" t="n">
        <x:v>175</x:v>
      </x:c>
      <x:c r="D193" s="24" t="n">
        <x:f>IF(ISNUMBER($D$7),EDATE($D$7,174),"n.a.")</x:f>
        <x:v>51622</x:v>
      </x:c>
      <x:c r="E193" s="7"/>
      <x:c r="F193" s="4"/>
      <x:c r="G193" s="4"/>
      <x:c r="H193" s="4"/>
      <x:c r="I193" s="4"/>
      <x:c r="J193" s="4"/>
      <x:c r="K193" s="4"/>
      <x:c r="L193" s="4"/>
      <x:c r="M193" s="4"/>
      <x:c r="N193" s="4"/>
      <x:c r="O193" s="4"/>
      <x:c r="P193" s="4"/>
    </x:row>
    <x:row r="194" ht="22" customHeight="1">
      <x:c r="A194" s="2"/>
      <x:c r="B194" s="2"/>
      <x:c r="C194" s="23" t="n">
        <x:v>176</x:v>
      </x:c>
      <x:c r="D194" s="24" t="n">
        <x:f>IF(ISNUMBER($D$7),EDATE($D$7,175),"n.a.")</x:f>
        <x:v>51653</x:v>
      </x:c>
      <x:c r="E194" s="7"/>
      <x:c r="F194" s="4"/>
      <x:c r="G194" s="4"/>
      <x:c r="H194" s="4"/>
      <x:c r="I194" s="4"/>
      <x:c r="J194" s="4"/>
      <x:c r="K194" s="4"/>
      <x:c r="L194" s="4"/>
      <x:c r="M194" s="4"/>
      <x:c r="N194" s="4"/>
      <x:c r="O194" s="4"/>
      <x:c r="P194" s="4"/>
    </x:row>
    <x:row r="195" ht="22" customHeight="1">
      <x:c r="A195" s="2"/>
      <x:c r="B195" s="2"/>
      <x:c r="C195" s="23" t="n">
        <x:v>177</x:v>
      </x:c>
      <x:c r="D195" s="24" t="n">
        <x:f>IF(ISNUMBER($D$7),EDATE($D$7,176),"n.a.")</x:f>
        <x:v>51683</x:v>
      </x:c>
      <x:c r="E195" s="7"/>
      <x:c r="F195" s="4"/>
      <x:c r="G195" s="4"/>
      <x:c r="H195" s="4"/>
      <x:c r="I195" s="4"/>
      <x:c r="J195" s="4"/>
      <x:c r="K195" s="4"/>
      <x:c r="L195" s="4"/>
      <x:c r="M195" s="4"/>
      <x:c r="N195" s="4"/>
      <x:c r="O195" s="4"/>
      <x:c r="P195" s="4"/>
    </x:row>
    <x:row r="196" ht="22" customHeight="1">
      <x:c r="A196" s="2"/>
      <x:c r="B196" s="2"/>
      <x:c r="C196" s="23" t="n">
        <x:v>178</x:v>
      </x:c>
      <x:c r="D196" s="24" t="n">
        <x:f>IF(ISNUMBER($D$7),EDATE($D$7,177),"n.a.")</x:f>
        <x:v>51714</x:v>
      </x:c>
      <x:c r="E196" s="7"/>
      <x:c r="F196" s="4"/>
      <x:c r="G196" s="4"/>
      <x:c r="H196" s="4"/>
      <x:c r="I196" s="4"/>
      <x:c r="J196" s="4"/>
      <x:c r="K196" s="4"/>
      <x:c r="L196" s="4"/>
      <x:c r="M196" s="4"/>
      <x:c r="N196" s="4"/>
      <x:c r="O196" s="4"/>
      <x:c r="P196" s="4"/>
    </x:row>
    <x:row r="197" ht="22" customHeight="1">
      <x:c r="A197" s="2"/>
      <x:c r="B197" s="2"/>
      <x:c r="C197" s="23" t="n">
        <x:v>179</x:v>
      </x:c>
      <x:c r="D197" s="24" t="n">
        <x:f>IF(ISNUMBER($D$7),EDATE($D$7,178),"n.a.")</x:f>
        <x:v>51745</x:v>
      </x:c>
      <x:c r="E197" s="7"/>
      <x:c r="F197" s="4"/>
      <x:c r="G197" s="4"/>
      <x:c r="H197" s="4"/>
      <x:c r="I197" s="4"/>
      <x:c r="J197" s="4"/>
      <x:c r="K197" s="4"/>
      <x:c r="L197" s="4"/>
      <x:c r="M197" s="4"/>
      <x:c r="N197" s="4"/>
      <x:c r="O197" s="4"/>
      <x:c r="P197" s="4"/>
    </x:row>
    <x:row r="198" ht="22" customHeight="1">
      <x:c r="A198" s="2"/>
      <x:c r="B198" s="2"/>
      <x:c r="C198" s="23" t="n">
        <x:v>180</x:v>
      </x:c>
      <x:c r="D198" s="24" t="n">
        <x:f>IF(ISNUMBER($D$7),EDATE($D$7,179),"n.a.")</x:f>
        <x:v>51775</x:v>
      </x:c>
      <x:c r="E198" s="7"/>
      <x:c r="F198" s="4"/>
      <x:c r="G198" s="4"/>
      <x:c r="H198" s="4"/>
      <x:c r="I198" s="4"/>
      <x:c r="J198" s="4"/>
      <x:c r="K198" s="4"/>
      <x:c r="L198" s="4"/>
      <x:c r="M198" s="4"/>
      <x:c r="N198" s="4"/>
      <x:c r="O198" s="4"/>
      <x:c r="P198" s="4"/>
    </x:row>
    <x:row r="199" ht="22" customHeight="1">
      <x:c r="A199" s="2"/>
      <x:c r="B199" s="2"/>
      <x:c r="C199" s="23" t="n">
        <x:v>181</x:v>
      </x:c>
      <x:c r="D199" s="24" t="n">
        <x:f>IF(ISNUMBER($D$7),EDATE($D$7,180),"n.a.")</x:f>
        <x:v>51806</x:v>
      </x:c>
      <x:c r="E199" s="7"/>
      <x:c r="F199" s="4"/>
      <x:c r="G199" s="4"/>
      <x:c r="H199" s="4"/>
      <x:c r="I199" s="4"/>
      <x:c r="J199" s="4"/>
      <x:c r="K199" s="4"/>
      <x:c r="L199" s="4"/>
      <x:c r="M199" s="4"/>
      <x:c r="N199" s="4"/>
      <x:c r="O199" s="4"/>
      <x:c r="P199" s="4"/>
    </x:row>
    <x:row r="200" ht="22" customHeight="1">
      <x:c r="A200" s="2"/>
      <x:c r="B200" s="2"/>
      <x:c r="C200" s="23" t="n">
        <x:v>182</x:v>
      </x:c>
      <x:c r="D200" s="24" t="n">
        <x:f>IF(ISNUMBER($D$7),EDATE($D$7,181),"n.a.")</x:f>
        <x:v>51836</x:v>
      </x:c>
      <x:c r="E200" s="7"/>
      <x:c r="F200" s="4"/>
      <x:c r="G200" s="4"/>
      <x:c r="H200" s="4"/>
      <x:c r="I200" s="4"/>
      <x:c r="J200" s="4"/>
      <x:c r="K200" s="4"/>
      <x:c r="L200" s="4"/>
      <x:c r="M200" s="4"/>
      <x:c r="N200" s="4"/>
      <x:c r="O200" s="4"/>
      <x:c r="P200" s="4"/>
    </x:row>
    <x:row r="201" ht="22" customHeight="1">
      <x:c r="A201" s="2"/>
      <x:c r="B201" s="2"/>
      <x:c r="C201" s="23" t="n">
        <x:v>183</x:v>
      </x:c>
      <x:c r="D201" s="24" t="n">
        <x:f>IF(ISNUMBER($D$7),EDATE($D$7,182),"n.a.")</x:f>
        <x:v>51867</x:v>
      </x:c>
      <x:c r="E201" s="7"/>
      <x:c r="F201" s="4"/>
      <x:c r="G201" s="4"/>
      <x:c r="H201" s="4"/>
      <x:c r="I201" s="4"/>
      <x:c r="J201" s="4"/>
      <x:c r="K201" s="4"/>
      <x:c r="L201" s="4"/>
      <x:c r="M201" s="4"/>
      <x:c r="N201" s="4"/>
      <x:c r="O201" s="4"/>
      <x:c r="P201" s="4"/>
    </x:row>
    <x:row r="202" ht="22" customHeight="1">
      <x:c r="A202" s="2"/>
      <x:c r="B202" s="2"/>
      <x:c r="C202" s="23" t="n">
        <x:v>184</x:v>
      </x:c>
      <x:c r="D202" s="24" t="n">
        <x:f>IF(ISNUMBER($D$7),EDATE($D$7,183),"n.a.")</x:f>
        <x:v>51898</x:v>
      </x:c>
      <x:c r="E202" s="7"/>
      <x:c r="F202" s="4"/>
      <x:c r="G202" s="4"/>
      <x:c r="H202" s="4"/>
      <x:c r="I202" s="4"/>
      <x:c r="J202" s="4"/>
      <x:c r="K202" s="4"/>
      <x:c r="L202" s="4"/>
      <x:c r="M202" s="4"/>
      <x:c r="N202" s="4"/>
      <x:c r="O202" s="4"/>
      <x:c r="P202" s="4"/>
    </x:row>
    <x:row r="203" ht="22" customHeight="1">
      <x:c r="A203" s="2"/>
      <x:c r="B203" s="2"/>
      <x:c r="C203" s="23" t="n">
        <x:v>185</x:v>
      </x:c>
      <x:c r="D203" s="24" t="n">
        <x:f>IF(ISNUMBER($D$7),EDATE($D$7,184),"n.a.")</x:f>
        <x:v>51926</x:v>
      </x:c>
      <x:c r="E203" s="7"/>
      <x:c r="F203" s="4"/>
      <x:c r="G203" s="4"/>
      <x:c r="H203" s="4"/>
      <x:c r="I203" s="4"/>
      <x:c r="J203" s="4"/>
      <x:c r="K203" s="4"/>
      <x:c r="L203" s="4"/>
      <x:c r="M203" s="4"/>
      <x:c r="N203" s="4"/>
      <x:c r="O203" s="4"/>
      <x:c r="P203" s="4"/>
    </x:row>
    <x:row r="204" ht="22" customHeight="1">
      <x:c r="A204" s="2"/>
      <x:c r="B204" s="2"/>
      <x:c r="C204" s="23" t="n">
        <x:v>186</x:v>
      </x:c>
      <x:c r="D204" s="24" t="n">
        <x:f>IF(ISNUMBER($D$7),EDATE($D$7,185),"n.a.")</x:f>
        <x:v>51957</x:v>
      </x:c>
      <x:c r="E204" s="7"/>
      <x:c r="F204" s="4"/>
      <x:c r="G204" s="4"/>
      <x:c r="H204" s="4"/>
      <x:c r="I204" s="4"/>
      <x:c r="J204" s="4"/>
      <x:c r="K204" s="4"/>
      <x:c r="L204" s="4"/>
      <x:c r="M204" s="4"/>
      <x:c r="N204" s="4"/>
      <x:c r="O204" s="4"/>
      <x:c r="P204" s="4"/>
    </x:row>
    <x:row r="205" ht="22" customHeight="1">
      <x:c r="A205" s="2"/>
      <x:c r="B205" s="2"/>
      <x:c r="C205" s="23" t="n">
        <x:v>187</x:v>
      </x:c>
      <x:c r="D205" s="24" t="n">
        <x:f>IF(ISNUMBER($D$7),EDATE($D$7,186),"n.a.")</x:f>
        <x:v>51987</x:v>
      </x:c>
      <x:c r="E205" s="7"/>
      <x:c r="F205" s="4"/>
      <x:c r="G205" s="4"/>
      <x:c r="H205" s="4"/>
      <x:c r="I205" s="4"/>
      <x:c r="J205" s="4"/>
      <x:c r="K205" s="4"/>
      <x:c r="L205" s="4"/>
      <x:c r="M205" s="4"/>
      <x:c r="N205" s="4"/>
      <x:c r="O205" s="4"/>
      <x:c r="P205" s="4"/>
    </x:row>
    <x:row r="206" ht="22" customHeight="1">
      <x:c r="A206" s="2"/>
      <x:c r="B206" s="2"/>
      <x:c r="C206" s="23" t="n">
        <x:v>188</x:v>
      </x:c>
      <x:c r="D206" s="24" t="n">
        <x:f>IF(ISNUMBER($D$7),EDATE($D$7,187),"n.a.")</x:f>
        <x:v>52018</x:v>
      </x:c>
      <x:c r="E206" s="7"/>
      <x:c r="F206" s="4"/>
      <x:c r="G206" s="4"/>
      <x:c r="H206" s="4"/>
      <x:c r="I206" s="4"/>
      <x:c r="J206" s="4"/>
      <x:c r="K206" s="4"/>
      <x:c r="L206" s="4"/>
      <x:c r="M206" s="4"/>
      <x:c r="N206" s="4"/>
      <x:c r="O206" s="4"/>
      <x:c r="P206" s="4"/>
    </x:row>
    <x:row r="207" ht="22" customHeight="1">
      <x:c r="A207" s="2"/>
      <x:c r="B207" s="2"/>
      <x:c r="C207" s="23" t="n">
        <x:v>189</x:v>
      </x:c>
      <x:c r="D207" s="24" t="n">
        <x:f>IF(ISNUMBER($D$7),EDATE($D$7,188),"n.a.")</x:f>
        <x:v>52048</x:v>
      </x:c>
      <x:c r="E207" s="7"/>
      <x:c r="F207" s="4"/>
      <x:c r="G207" s="4"/>
      <x:c r="H207" s="4"/>
      <x:c r="I207" s="4"/>
      <x:c r="J207" s="4"/>
      <x:c r="K207" s="4"/>
      <x:c r="L207" s="4"/>
      <x:c r="M207" s="4"/>
      <x:c r="N207" s="4"/>
      <x:c r="O207" s="4"/>
      <x:c r="P207" s="4"/>
    </x:row>
    <x:row r="208" ht="22" customHeight="1">
      <x:c r="A208" s="2"/>
      <x:c r="B208" s="2"/>
      <x:c r="C208" s="23" t="n">
        <x:v>190</x:v>
      </x:c>
      <x:c r="D208" s="24" t="n">
        <x:f>IF(ISNUMBER($D$7),EDATE($D$7,189),"n.a.")</x:f>
        <x:v>52079</x:v>
      </x:c>
      <x:c r="E208" s="7"/>
      <x:c r="F208" s="4"/>
      <x:c r="G208" s="4"/>
      <x:c r="H208" s="4"/>
      <x:c r="I208" s="4"/>
      <x:c r="J208" s="4"/>
      <x:c r="K208" s="4"/>
      <x:c r="L208" s="4"/>
      <x:c r="M208" s="4"/>
      <x:c r="N208" s="4"/>
      <x:c r="O208" s="4"/>
      <x:c r="P208" s="4"/>
    </x:row>
    <x:row r="209" ht="22" customHeight="1">
      <x:c r="A209" s="2"/>
      <x:c r="B209" s="2"/>
      <x:c r="C209" s="23" t="n">
        <x:v>191</x:v>
      </x:c>
      <x:c r="D209" s="24" t="n">
        <x:f>IF(ISNUMBER($D$7),EDATE($D$7,190),"n.a.")</x:f>
        <x:v>52110</x:v>
      </x:c>
      <x:c r="E209" s="7"/>
      <x:c r="F209" s="4"/>
      <x:c r="G209" s="4"/>
      <x:c r="H209" s="4"/>
      <x:c r="I209" s="4"/>
      <x:c r="J209" s="4"/>
      <x:c r="K209" s="4"/>
      <x:c r="L209" s="4"/>
      <x:c r="M209" s="4"/>
      <x:c r="N209" s="4"/>
      <x:c r="O209" s="4"/>
      <x:c r="P209" s="4"/>
    </x:row>
    <x:row r="210" ht="22" customHeight="1">
      <x:c r="A210" s="2"/>
      <x:c r="B210" s="2"/>
      <x:c r="C210" s="23" t="n">
        <x:v>192</x:v>
      </x:c>
      <x:c r="D210" s="24" t="n">
        <x:f>IF(ISNUMBER($D$7),EDATE($D$7,191),"n.a.")</x:f>
        <x:v>52140</x:v>
      </x:c>
      <x:c r="E210" s="7"/>
      <x:c r="F210" s="4"/>
      <x:c r="G210" s="4"/>
      <x:c r="H210" s="4"/>
      <x:c r="I210" s="4"/>
      <x:c r="J210" s="4"/>
      <x:c r="K210" s="4"/>
      <x:c r="L210" s="4"/>
      <x:c r="M210" s="4"/>
      <x:c r="N210" s="4"/>
      <x:c r="O210" s="4"/>
      <x:c r="P210" s="4"/>
    </x:row>
    <x:row r="211" ht="22" customHeight="1">
      <x:c r="A211" s="2"/>
      <x:c r="B211" s="2"/>
      <x:c r="C211" s="23" t="n">
        <x:v>193</x:v>
      </x:c>
      <x:c r="D211" s="24" t="n">
        <x:f>IF(ISNUMBER($D$7),EDATE($D$7,192),"n.a.")</x:f>
        <x:v>52171</x:v>
      </x:c>
      <x:c r="E211" s="7"/>
      <x:c r="F211" s="4"/>
      <x:c r="G211" s="4"/>
      <x:c r="H211" s="4"/>
      <x:c r="I211" s="4"/>
      <x:c r="J211" s="4"/>
      <x:c r="K211" s="4"/>
      <x:c r="L211" s="4"/>
      <x:c r="M211" s="4"/>
      <x:c r="N211" s="4"/>
      <x:c r="O211" s="4"/>
      <x:c r="P211" s="4"/>
    </x:row>
    <x:row r="212" ht="22" customHeight="1">
      <x:c r="A212" s="2"/>
      <x:c r="B212" s="2"/>
      <x:c r="C212" s="23" t="n">
        <x:v>194</x:v>
      </x:c>
      <x:c r="D212" s="24" t="n">
        <x:f>IF(ISNUMBER($D$7),EDATE($D$7,193),"n.a.")</x:f>
        <x:v>52201</x:v>
      </x:c>
      <x:c r="E212" s="7"/>
      <x:c r="F212" s="4"/>
      <x:c r="G212" s="4"/>
      <x:c r="H212" s="4"/>
      <x:c r="I212" s="4"/>
      <x:c r="J212" s="4"/>
      <x:c r="K212" s="4"/>
      <x:c r="L212" s="4"/>
      <x:c r="M212" s="4"/>
      <x:c r="N212" s="4"/>
      <x:c r="O212" s="4"/>
      <x:c r="P212" s="4"/>
    </x:row>
    <x:row r="213" ht="22" customHeight="1">
      <x:c r="A213" s="2"/>
      <x:c r="B213" s="2"/>
      <x:c r="C213" s="23" t="n">
        <x:v>195</x:v>
      </x:c>
      <x:c r="D213" s="24" t="n">
        <x:f>IF(ISNUMBER($D$7),EDATE($D$7,194),"n.a.")</x:f>
        <x:v>52232</x:v>
      </x:c>
      <x:c r="E213" s="7"/>
      <x:c r="F213" s="4"/>
      <x:c r="G213" s="4"/>
      <x:c r="H213" s="4"/>
      <x:c r="I213" s="4"/>
      <x:c r="J213" s="4"/>
      <x:c r="K213" s="4"/>
      <x:c r="L213" s="4"/>
      <x:c r="M213" s="4"/>
      <x:c r="N213" s="4"/>
      <x:c r="O213" s="4"/>
      <x:c r="P213" s="4"/>
    </x:row>
    <x:row r="214" ht="22" customHeight="1">
      <x:c r="A214" s="2"/>
      <x:c r="B214" s="2"/>
      <x:c r="C214" s="23" t="n">
        <x:v>196</x:v>
      </x:c>
      <x:c r="D214" s="24" t="n">
        <x:f>IF(ISNUMBER($D$7),EDATE($D$7,195),"n.a.")</x:f>
        <x:v>52263</x:v>
      </x:c>
      <x:c r="E214" s="7"/>
      <x:c r="F214" s="4"/>
      <x:c r="G214" s="4"/>
      <x:c r="H214" s="4"/>
      <x:c r="I214" s="4"/>
      <x:c r="J214" s="4"/>
      <x:c r="K214" s="4"/>
      <x:c r="L214" s="4"/>
      <x:c r="M214" s="4"/>
      <x:c r="N214" s="4"/>
      <x:c r="O214" s="4"/>
      <x:c r="P214" s="4"/>
    </x:row>
    <x:row r="215" ht="22" customHeight="1">
      <x:c r="A215" s="2"/>
      <x:c r="B215" s="2"/>
      <x:c r="C215" s="23" t="n">
        <x:v>197</x:v>
      </x:c>
      <x:c r="D215" s="24" t="n">
        <x:f>IF(ISNUMBER($D$7),EDATE($D$7,196),"n.a.")</x:f>
        <x:v>52291</x:v>
      </x:c>
      <x:c r="E215" s="7"/>
      <x:c r="F215" s="4"/>
      <x:c r="G215" s="4"/>
      <x:c r="H215" s="4"/>
      <x:c r="I215" s="4"/>
      <x:c r="J215" s="4"/>
      <x:c r="K215" s="4"/>
      <x:c r="L215" s="4"/>
      <x:c r="M215" s="4"/>
      <x:c r="N215" s="4"/>
      <x:c r="O215" s="4"/>
      <x:c r="P215" s="4"/>
    </x:row>
    <x:row r="216" ht="22" customHeight="1">
      <x:c r="A216" s="2"/>
      <x:c r="B216" s="2"/>
      <x:c r="C216" s="23" t="n">
        <x:v>198</x:v>
      </x:c>
      <x:c r="D216" s="24" t="n">
        <x:f>IF(ISNUMBER($D$7),EDATE($D$7,197),"n.a.")</x:f>
        <x:v>52322</x:v>
      </x:c>
      <x:c r="E216" s="7"/>
      <x:c r="F216" s="4"/>
      <x:c r="G216" s="4"/>
      <x:c r="H216" s="4"/>
      <x:c r="I216" s="4"/>
      <x:c r="J216" s="4"/>
      <x:c r="K216" s="4"/>
      <x:c r="L216" s="4"/>
      <x:c r="M216" s="4"/>
      <x:c r="N216" s="4"/>
      <x:c r="O216" s="4"/>
      <x:c r="P216" s="4"/>
    </x:row>
    <x:row r="217" ht="22" customHeight="1">
      <x:c r="A217" s="2"/>
      <x:c r="B217" s="2"/>
      <x:c r="C217" s="23" t="n">
        <x:v>199</x:v>
      </x:c>
      <x:c r="D217" s="24" t="n">
        <x:f>IF(ISNUMBER($D$7),EDATE($D$7,198),"n.a.")</x:f>
        <x:v>52352</x:v>
      </x:c>
      <x:c r="E217" s="7"/>
      <x:c r="F217" s="4"/>
      <x:c r="G217" s="4"/>
      <x:c r="H217" s="4"/>
      <x:c r="I217" s="4"/>
      <x:c r="J217" s="4"/>
      <x:c r="K217" s="4"/>
      <x:c r="L217" s="4"/>
      <x:c r="M217" s="4"/>
      <x:c r="N217" s="4"/>
      <x:c r="O217" s="4"/>
      <x:c r="P217" s="4"/>
    </x:row>
    <x:row r="218" ht="22" customHeight="1">
      <x:c r="A218" s="2"/>
      <x:c r="B218" s="2"/>
      <x:c r="C218" s="23" t="n">
        <x:v>200</x:v>
      </x:c>
      <x:c r="D218" s="24" t="n">
        <x:f>IF(ISNUMBER($D$7),EDATE($D$7,199),"n.a.")</x:f>
        <x:v>52383</x:v>
      </x:c>
      <x:c r="E218" s="7"/>
      <x:c r="F218" s="4"/>
      <x:c r="G218" s="4"/>
      <x:c r="H218" s="4"/>
      <x:c r="I218" s="4"/>
      <x:c r="J218" s="4"/>
      <x:c r="K218" s="4"/>
      <x:c r="L218" s="4"/>
      <x:c r="M218" s="4"/>
      <x:c r="N218" s="4"/>
      <x:c r="O218" s="4"/>
      <x:c r="P218" s="4"/>
    </x:row>
    <x:row r="219" ht="22" customHeight="1">
      <x:c r="A219" s="2"/>
      <x:c r="B219" s="2"/>
      <x:c r="C219" s="23" t="n">
        <x:v>201</x:v>
      </x:c>
      <x:c r="D219" s="24" t="n">
        <x:f>IF(ISNUMBER($D$7),EDATE($D$7,200),"n.a.")</x:f>
        <x:v>52413</x:v>
      </x:c>
      <x:c r="E219" s="7"/>
      <x:c r="F219" s="4"/>
      <x:c r="G219" s="4"/>
      <x:c r="H219" s="4"/>
      <x:c r="I219" s="4"/>
      <x:c r="J219" s="4"/>
      <x:c r="K219" s="4"/>
      <x:c r="L219" s="4"/>
      <x:c r="M219" s="4"/>
      <x:c r="N219" s="4"/>
      <x:c r="O219" s="4"/>
      <x:c r="P219" s="4"/>
    </x:row>
    <x:row r="220" ht="22" customHeight="1">
      <x:c r="A220" s="2"/>
      <x:c r="B220" s="2"/>
      <x:c r="C220" s="23" t="n">
        <x:v>202</x:v>
      </x:c>
      <x:c r="D220" s="24" t="n">
        <x:f>IF(ISNUMBER($D$7),EDATE($D$7,201),"n.a.")</x:f>
        <x:v>52444</x:v>
      </x:c>
      <x:c r="E220" s="7"/>
      <x:c r="F220" s="4"/>
      <x:c r="G220" s="4"/>
      <x:c r="H220" s="4"/>
      <x:c r="I220" s="4"/>
      <x:c r="J220" s="4"/>
      <x:c r="K220" s="4"/>
      <x:c r="L220" s="4"/>
      <x:c r="M220" s="4"/>
      <x:c r="N220" s="4"/>
      <x:c r="O220" s="4"/>
      <x:c r="P220" s="4"/>
    </x:row>
    <x:row r="221" ht="22" customHeight="1">
      <x:c r="A221" s="2"/>
      <x:c r="B221" s="2"/>
      <x:c r="C221" s="23" t="n">
        <x:v>203</x:v>
      </x:c>
      <x:c r="D221" s="24" t="n">
        <x:f>IF(ISNUMBER($D$7),EDATE($D$7,202),"n.a.")</x:f>
        <x:v>52475</x:v>
      </x:c>
      <x:c r="E221" s="7"/>
      <x:c r="F221" s="4"/>
      <x:c r="G221" s="4"/>
      <x:c r="H221" s="4"/>
      <x:c r="I221" s="4"/>
      <x:c r="J221" s="4"/>
      <x:c r="K221" s="4"/>
      <x:c r="L221" s="4"/>
      <x:c r="M221" s="4"/>
      <x:c r="N221" s="4"/>
      <x:c r="O221" s="4"/>
      <x:c r="P221" s="4"/>
    </x:row>
    <x:row r="222" ht="22" customHeight="1">
      <x:c r="A222" s="2"/>
      <x:c r="B222" s="2"/>
      <x:c r="C222" s="23" t="n">
        <x:v>204</x:v>
      </x:c>
      <x:c r="D222" s="24" t="n">
        <x:f>IF(ISNUMBER($D$7),EDATE($D$7,203),"n.a.")</x:f>
        <x:v>52505</x:v>
      </x:c>
      <x:c r="E222" s="7"/>
      <x:c r="F222" s="4"/>
      <x:c r="G222" s="4"/>
      <x:c r="H222" s="4"/>
      <x:c r="I222" s="4"/>
      <x:c r="J222" s="4"/>
      <x:c r="K222" s="4"/>
      <x:c r="L222" s="4"/>
      <x:c r="M222" s="4"/>
      <x:c r="N222" s="4"/>
      <x:c r="O222" s="4"/>
      <x:c r="P222" s="4"/>
    </x:row>
    <x:row r="223" ht="22" customHeight="1">
      <x:c r="A223" s="2"/>
      <x:c r="B223" s="2"/>
      <x:c r="C223" s="23" t="n">
        <x:v>205</x:v>
      </x:c>
      <x:c r="D223" s="24" t="n">
        <x:f>IF(ISNUMBER($D$7),EDATE($D$7,204),"n.a.")</x:f>
        <x:v>52536</x:v>
      </x:c>
      <x:c r="E223" s="7"/>
      <x:c r="F223" s="4"/>
      <x:c r="G223" s="4"/>
      <x:c r="H223" s="4"/>
      <x:c r="I223" s="4"/>
      <x:c r="J223" s="4"/>
      <x:c r="K223" s="4"/>
      <x:c r="L223" s="4"/>
      <x:c r="M223" s="4"/>
      <x:c r="N223" s="4"/>
      <x:c r="O223" s="4"/>
      <x:c r="P223" s="4"/>
    </x:row>
    <x:row r="224" ht="22" customHeight="1">
      <x:c r="A224" s="2"/>
      <x:c r="B224" s="2"/>
      <x:c r="C224" s="23" t="n">
        <x:v>206</x:v>
      </x:c>
      <x:c r="D224" s="24" t="n">
        <x:f>IF(ISNUMBER($D$7),EDATE($D$7,205),"n.a.")</x:f>
        <x:v>52566</x:v>
      </x:c>
      <x:c r="E224" s="7"/>
      <x:c r="F224" s="4"/>
      <x:c r="G224" s="4"/>
      <x:c r="H224" s="4"/>
      <x:c r="I224" s="4"/>
      <x:c r="J224" s="4"/>
      <x:c r="K224" s="4"/>
      <x:c r="L224" s="4"/>
      <x:c r="M224" s="4"/>
      <x:c r="N224" s="4"/>
      <x:c r="O224" s="4"/>
      <x:c r="P224" s="4"/>
    </x:row>
    <x:row r="225" ht="22" customHeight="1">
      <x:c r="A225" s="2"/>
      <x:c r="B225" s="2"/>
      <x:c r="C225" s="23" t="n">
        <x:v>207</x:v>
      </x:c>
      <x:c r="D225" s="24" t="n">
        <x:f>IF(ISNUMBER($D$7),EDATE($D$7,206),"n.a.")</x:f>
        <x:v>52597</x:v>
      </x:c>
      <x:c r="E225" s="7"/>
      <x:c r="F225" s="4"/>
      <x:c r="G225" s="4"/>
      <x:c r="H225" s="4"/>
      <x:c r="I225" s="4"/>
      <x:c r="J225" s="4"/>
      <x:c r="K225" s="4"/>
      <x:c r="L225" s="4"/>
      <x:c r="M225" s="4"/>
      <x:c r="N225" s="4"/>
      <x:c r="O225" s="4"/>
      <x:c r="P225" s="4"/>
    </x:row>
    <x:row r="226" ht="22" customHeight="1">
      <x:c r="A226" s="2"/>
      <x:c r="B226" s="2"/>
      <x:c r="C226" s="23" t="n">
        <x:v>208</x:v>
      </x:c>
      <x:c r="D226" s="24" t="n">
        <x:f>IF(ISNUMBER($D$7),EDATE($D$7,207),"n.a.")</x:f>
        <x:v>52628</x:v>
      </x:c>
      <x:c r="E226" s="7"/>
      <x:c r="F226" s="4"/>
      <x:c r="G226" s="4"/>
      <x:c r="H226" s="4"/>
      <x:c r="I226" s="4"/>
      <x:c r="J226" s="4"/>
      <x:c r="K226" s="4"/>
      <x:c r="L226" s="4"/>
      <x:c r="M226" s="4"/>
      <x:c r="N226" s="4"/>
      <x:c r="O226" s="4"/>
      <x:c r="P226" s="4"/>
    </x:row>
    <x:row r="227" ht="22" customHeight="1">
      <x:c r="A227" s="2"/>
      <x:c r="B227" s="2"/>
      <x:c r="C227" s="23" t="n">
        <x:v>209</x:v>
      </x:c>
      <x:c r="D227" s="24" t="n">
        <x:f>IF(ISNUMBER($D$7),EDATE($D$7,208),"n.a.")</x:f>
        <x:v>52657</x:v>
      </x:c>
      <x:c r="E227" s="7"/>
      <x:c r="F227" s="4"/>
      <x:c r="G227" s="4"/>
      <x:c r="H227" s="4"/>
      <x:c r="I227" s="4"/>
      <x:c r="J227" s="4"/>
      <x:c r="K227" s="4"/>
      <x:c r="L227" s="4"/>
      <x:c r="M227" s="4"/>
      <x:c r="N227" s="4"/>
      <x:c r="O227" s="4"/>
      <x:c r="P227" s="4"/>
    </x:row>
    <x:row r="228" ht="22" customHeight="1">
      <x:c r="A228" s="2"/>
      <x:c r="B228" s="2"/>
      <x:c r="C228" s="23" t="n">
        <x:v>210</x:v>
      </x:c>
      <x:c r="D228" s="24" t="n">
        <x:f>IF(ISNUMBER($D$7),EDATE($D$7,209),"n.a.")</x:f>
        <x:v>52688</x:v>
      </x:c>
      <x:c r="E228" s="7"/>
      <x:c r="F228" s="4"/>
      <x:c r="G228" s="4"/>
      <x:c r="H228" s="4"/>
      <x:c r="I228" s="4"/>
      <x:c r="J228" s="4"/>
      <x:c r="K228" s="4"/>
      <x:c r="L228" s="4"/>
      <x:c r="M228" s="4"/>
      <x:c r="N228" s="4"/>
      <x:c r="O228" s="4"/>
      <x:c r="P228" s="4"/>
    </x:row>
    <x:row r="229" ht="22" customHeight="1">
      <x:c r="A229" s="2"/>
      <x:c r="B229" s="2"/>
      <x:c r="C229" s="23" t="n">
        <x:v>211</x:v>
      </x:c>
      <x:c r="D229" s="24" t="n">
        <x:f>IF(ISNUMBER($D$7),EDATE($D$7,210),"n.a.")</x:f>
        <x:v>52718</x:v>
      </x:c>
      <x:c r="E229" s="7"/>
      <x:c r="F229" s="4"/>
      <x:c r="G229" s="4"/>
      <x:c r="H229" s="4"/>
      <x:c r="I229" s="4"/>
      <x:c r="J229" s="4"/>
      <x:c r="K229" s="4"/>
      <x:c r="L229" s="4"/>
      <x:c r="M229" s="4"/>
      <x:c r="N229" s="4"/>
      <x:c r="O229" s="4"/>
      <x:c r="P229" s="4"/>
    </x:row>
    <x:row r="230" ht="22" customHeight="1">
      <x:c r="A230" s="2"/>
      <x:c r="B230" s="2"/>
      <x:c r="C230" s="23" t="n">
        <x:v>212</x:v>
      </x:c>
      <x:c r="D230" s="24" t="n">
        <x:f>IF(ISNUMBER($D$7),EDATE($D$7,211),"n.a.")</x:f>
        <x:v>52749</x:v>
      </x:c>
      <x:c r="E230" s="7"/>
      <x:c r="F230" s="4"/>
      <x:c r="G230" s="4"/>
      <x:c r="H230" s="4"/>
      <x:c r="I230" s="4"/>
      <x:c r="J230" s="4"/>
      <x:c r="K230" s="4"/>
      <x:c r="L230" s="4"/>
      <x:c r="M230" s="4"/>
      <x:c r="N230" s="4"/>
      <x:c r="O230" s="4"/>
      <x:c r="P230" s="4"/>
    </x:row>
    <x:row r="231" ht="22" customHeight="1">
      <x:c r="A231" s="2"/>
      <x:c r="B231" s="2"/>
      <x:c r="C231" s="23" t="n">
        <x:v>213</x:v>
      </x:c>
      <x:c r="D231" s="24" t="n">
        <x:f>IF(ISNUMBER($D$7),EDATE($D$7,212),"n.a.")</x:f>
        <x:v>52779</x:v>
      </x:c>
      <x:c r="E231" s="7"/>
      <x:c r="F231" s="4"/>
      <x:c r="G231" s="4"/>
      <x:c r="H231" s="4"/>
      <x:c r="I231" s="4"/>
      <x:c r="J231" s="4"/>
      <x:c r="K231" s="4"/>
      <x:c r="L231" s="4"/>
      <x:c r="M231" s="4"/>
      <x:c r="N231" s="4"/>
      <x:c r="O231" s="4"/>
      <x:c r="P231" s="4"/>
    </x:row>
    <x:row r="232" ht="22" customHeight="1">
      <x:c r="A232" s="2"/>
      <x:c r="B232" s="2"/>
      <x:c r="C232" s="23" t="n">
        <x:v>214</x:v>
      </x:c>
      <x:c r="D232" s="24" t="n">
        <x:f>IF(ISNUMBER($D$7),EDATE($D$7,213),"n.a.")</x:f>
        <x:v>52810</x:v>
      </x:c>
      <x:c r="E232" s="7"/>
      <x:c r="F232" s="4"/>
      <x:c r="G232" s="4"/>
      <x:c r="H232" s="4"/>
      <x:c r="I232" s="4"/>
      <x:c r="J232" s="4"/>
      <x:c r="K232" s="4"/>
      <x:c r="L232" s="4"/>
      <x:c r="M232" s="4"/>
      <x:c r="N232" s="4"/>
      <x:c r="O232" s="4"/>
      <x:c r="P232" s="4"/>
    </x:row>
    <x:row r="233" ht="22" customHeight="1">
      <x:c r="A233" s="2"/>
      <x:c r="B233" s="2"/>
      <x:c r="C233" s="23" t="n">
        <x:v>215</x:v>
      </x:c>
      <x:c r="D233" s="24" t="n">
        <x:f>IF(ISNUMBER($D$7),EDATE($D$7,214),"n.a.")</x:f>
        <x:v>52841</x:v>
      </x:c>
      <x:c r="E233" s="7"/>
      <x:c r="F233" s="4"/>
      <x:c r="G233" s="4"/>
      <x:c r="H233" s="4"/>
      <x:c r="I233" s="4"/>
      <x:c r="J233" s="4"/>
      <x:c r="K233" s="4"/>
      <x:c r="L233" s="4"/>
      <x:c r="M233" s="4"/>
      <x:c r="N233" s="4"/>
      <x:c r="O233" s="4"/>
      <x:c r="P233" s="4"/>
    </x:row>
    <x:row r="234" ht="22" customHeight="1">
      <x:c r="A234" s="2"/>
      <x:c r="B234" s="2"/>
      <x:c r="C234" s="23" t="n">
        <x:v>216</x:v>
      </x:c>
      <x:c r="D234" s="24" t="n">
        <x:f>IF(ISNUMBER($D$7),EDATE($D$7,215),"n.a.")</x:f>
        <x:v>52871</x:v>
      </x:c>
      <x:c r="E234" s="7"/>
      <x:c r="F234" s="4"/>
      <x:c r="G234" s="4"/>
      <x:c r="H234" s="4"/>
      <x:c r="I234" s="4"/>
      <x:c r="J234" s="4"/>
      <x:c r="K234" s="4"/>
      <x:c r="L234" s="4"/>
      <x:c r="M234" s="4"/>
      <x:c r="N234" s="4"/>
      <x:c r="O234" s="4"/>
      <x:c r="P234" s="4"/>
    </x:row>
    <x:row r="235" ht="22" customHeight="1">
      <x:c r="A235" s="2"/>
      <x:c r="B235" s="2"/>
      <x:c r="C235" s="23" t="n">
        <x:v>217</x:v>
      </x:c>
      <x:c r="D235" s="24" t="n">
        <x:f>IF(ISNUMBER($D$7),EDATE($D$7,216),"n.a.")</x:f>
        <x:v>52902</x:v>
      </x:c>
      <x:c r="E235" s="7"/>
      <x:c r="F235" s="4"/>
      <x:c r="G235" s="4"/>
      <x:c r="H235" s="4"/>
      <x:c r="I235" s="4"/>
      <x:c r="J235" s="4"/>
      <x:c r="K235" s="4"/>
      <x:c r="L235" s="4"/>
      <x:c r="M235" s="4"/>
      <x:c r="N235" s="4"/>
      <x:c r="O235" s="4"/>
      <x:c r="P235" s="4"/>
    </x:row>
    <x:row r="236" ht="22" customHeight="1">
      <x:c r="A236" s="2"/>
      <x:c r="B236" s="2"/>
      <x:c r="C236" s="23" t="n">
        <x:v>218</x:v>
      </x:c>
      <x:c r="D236" s="24" t="n">
        <x:f>IF(ISNUMBER($D$7),EDATE($D$7,217),"n.a.")</x:f>
        <x:v>52932</x:v>
      </x:c>
      <x:c r="E236" s="7"/>
      <x:c r="F236" s="4"/>
      <x:c r="G236" s="4"/>
      <x:c r="H236" s="4"/>
      <x:c r="I236" s="4"/>
      <x:c r="J236" s="4"/>
      <x:c r="K236" s="4"/>
      <x:c r="L236" s="4"/>
      <x:c r="M236" s="4"/>
      <x:c r="N236" s="4"/>
      <x:c r="O236" s="4"/>
      <x:c r="P236" s="4"/>
    </x:row>
    <x:row r="237" ht="22" customHeight="1">
      <x:c r="A237" s="2"/>
      <x:c r="B237" s="2"/>
      <x:c r="C237" s="23" t="n">
        <x:v>219</x:v>
      </x:c>
      <x:c r="D237" s="24" t="n">
        <x:f>IF(ISNUMBER($D$7),EDATE($D$7,218),"n.a.")</x:f>
        <x:v>52963</x:v>
      </x:c>
      <x:c r="E237" s="7"/>
      <x:c r="F237" s="4"/>
      <x:c r="G237" s="4"/>
      <x:c r="H237" s="4"/>
      <x:c r="I237" s="4"/>
      <x:c r="J237" s="4"/>
      <x:c r="K237" s="4"/>
      <x:c r="L237" s="4"/>
      <x:c r="M237" s="4"/>
      <x:c r="N237" s="4"/>
      <x:c r="O237" s="4"/>
      <x:c r="P237" s="4"/>
    </x:row>
    <x:row r="238" ht="22" customHeight="1">
      <x:c r="A238" s="2"/>
      <x:c r="B238" s="2"/>
      <x:c r="C238" s="23" t="n">
        <x:v>220</x:v>
      </x:c>
      <x:c r="D238" s="24" t="n">
        <x:f>IF(ISNUMBER($D$7),EDATE($D$7,219),"n.a.")</x:f>
        <x:v>52994</x:v>
      </x:c>
      <x:c r="E238" s="7"/>
      <x:c r="F238" s="4"/>
      <x:c r="G238" s="4"/>
      <x:c r="H238" s="4"/>
      <x:c r="I238" s="4"/>
      <x:c r="J238" s="4"/>
      <x:c r="K238" s="4"/>
      <x:c r="L238" s="4"/>
      <x:c r="M238" s="4"/>
      <x:c r="N238" s="4"/>
      <x:c r="O238" s="4"/>
      <x:c r="P238" s="4"/>
    </x:row>
    <x:row r="239" ht="22" customHeight="1">
      <x:c r="A239" s="2"/>
      <x:c r="B239" s="2"/>
      <x:c r="C239" s="23" t="n">
        <x:v>221</x:v>
      </x:c>
      <x:c r="D239" s="24" t="n">
        <x:f>IF(ISNUMBER($D$7),EDATE($D$7,220),"n.a.")</x:f>
        <x:v>53022</x:v>
      </x:c>
      <x:c r="E239" s="7"/>
      <x:c r="F239" s="4"/>
      <x:c r="G239" s="4"/>
      <x:c r="H239" s="4"/>
      <x:c r="I239" s="4"/>
      <x:c r="J239" s="4"/>
      <x:c r="K239" s="4"/>
      <x:c r="L239" s="4"/>
      <x:c r="M239" s="4"/>
      <x:c r="N239" s="4"/>
      <x:c r="O239" s="4"/>
      <x:c r="P239" s="4"/>
    </x:row>
    <x:row r="240" ht="22" customHeight="1">
      <x:c r="A240" s="2"/>
      <x:c r="B240" s="2"/>
      <x:c r="C240" s="23" t="n">
        <x:v>222</x:v>
      </x:c>
      <x:c r="D240" s="24" t="n">
        <x:f>IF(ISNUMBER($D$7),EDATE($D$7,221),"n.a.")</x:f>
        <x:v>53053</x:v>
      </x:c>
      <x:c r="E240" s="7"/>
      <x:c r="F240" s="4"/>
      <x:c r="G240" s="4"/>
      <x:c r="H240" s="4"/>
      <x:c r="I240" s="4"/>
      <x:c r="J240" s="4"/>
      <x:c r="K240" s="4"/>
      <x:c r="L240" s="4"/>
      <x:c r="M240" s="4"/>
      <x:c r="N240" s="4"/>
      <x:c r="O240" s="4"/>
      <x:c r="P240" s="4"/>
    </x:row>
    <x:row r="241" ht="22" customHeight="1">
      <x:c r="A241" s="2"/>
      <x:c r="B241" s="2"/>
      <x:c r="C241" s="23" t="n">
        <x:v>223</x:v>
      </x:c>
      <x:c r="D241" s="24" t="n">
        <x:f>IF(ISNUMBER($D$7),EDATE($D$7,222),"n.a.")</x:f>
        <x:v>53083</x:v>
      </x:c>
      <x:c r="E241" s="7"/>
      <x:c r="F241" s="4"/>
      <x:c r="G241" s="4"/>
      <x:c r="H241" s="4"/>
      <x:c r="I241" s="4"/>
      <x:c r="J241" s="4"/>
      <x:c r="K241" s="4"/>
      <x:c r="L241" s="4"/>
      <x:c r="M241" s="4"/>
      <x:c r="N241" s="4"/>
      <x:c r="O241" s="4"/>
      <x:c r="P241" s="4"/>
    </x:row>
    <x:row r="242" ht="22" customHeight="1">
      <x:c r="A242" s="2"/>
      <x:c r="B242" s="2"/>
      <x:c r="C242" s="23" t="n">
        <x:v>224</x:v>
      </x:c>
      <x:c r="D242" s="24" t="n">
        <x:f>IF(ISNUMBER($D$7),EDATE($D$7,223),"n.a.")</x:f>
        <x:v>53114</x:v>
      </x:c>
      <x:c r="E242" s="7"/>
      <x:c r="F242" s="4"/>
      <x:c r="G242" s="4"/>
      <x:c r="H242" s="4"/>
      <x:c r="I242" s="4"/>
      <x:c r="J242" s="4"/>
      <x:c r="K242" s="4"/>
      <x:c r="L242" s="4"/>
      <x:c r="M242" s="4"/>
      <x:c r="N242" s="4"/>
      <x:c r="O242" s="4"/>
      <x:c r="P242" s="4"/>
    </x:row>
    <x:row r="243" ht="22" customHeight="1">
      <x:c r="A243" s="2"/>
      <x:c r="B243" s="2"/>
      <x:c r="C243" s="23" t="n">
        <x:v>225</x:v>
      </x:c>
      <x:c r="D243" s="24" t="n">
        <x:f>IF(ISNUMBER($D$7),EDATE($D$7,224),"n.a.")</x:f>
        <x:v>53144</x:v>
      </x:c>
      <x:c r="E243" s="7"/>
      <x:c r="F243" s="4"/>
      <x:c r="G243" s="4"/>
      <x:c r="H243" s="4"/>
      <x:c r="I243" s="4"/>
      <x:c r="J243" s="4"/>
      <x:c r="K243" s="4"/>
      <x:c r="L243" s="4"/>
      <x:c r="M243" s="4"/>
      <x:c r="N243" s="4"/>
      <x:c r="O243" s="4"/>
      <x:c r="P243" s="4"/>
    </x:row>
    <x:row r="244" ht="22" customHeight="1">
      <x:c r="A244" s="2"/>
      <x:c r="B244" s="2"/>
      <x:c r="C244" s="23" t="n">
        <x:v>226</x:v>
      </x:c>
      <x:c r="D244" s="24" t="n">
        <x:f>IF(ISNUMBER($D$7),EDATE($D$7,225),"n.a.")</x:f>
        <x:v>53175</x:v>
      </x:c>
      <x:c r="E244" s="7"/>
      <x:c r="F244" s="4"/>
      <x:c r="G244" s="4"/>
      <x:c r="H244" s="4"/>
      <x:c r="I244" s="4"/>
      <x:c r="J244" s="4"/>
      <x:c r="K244" s="4"/>
      <x:c r="L244" s="4"/>
      <x:c r="M244" s="4"/>
      <x:c r="N244" s="4"/>
      <x:c r="O244" s="4"/>
      <x:c r="P244" s="4"/>
    </x:row>
    <x:row r="245" ht="22" customHeight="1">
      <x:c r="A245" s="2"/>
      <x:c r="B245" s="2"/>
      <x:c r="C245" s="23" t="n">
        <x:v>227</x:v>
      </x:c>
      <x:c r="D245" s="24" t="n">
        <x:f>IF(ISNUMBER($D$7),EDATE($D$7,226),"n.a.")</x:f>
        <x:v>53206</x:v>
      </x:c>
      <x:c r="E245" s="7"/>
      <x:c r="F245" s="4"/>
      <x:c r="G245" s="4"/>
      <x:c r="H245" s="4"/>
      <x:c r="I245" s="4"/>
      <x:c r="J245" s="4"/>
      <x:c r="K245" s="4"/>
      <x:c r="L245" s="4"/>
      <x:c r="M245" s="4"/>
      <x:c r="N245" s="4"/>
      <x:c r="O245" s="4"/>
      <x:c r="P245" s="4"/>
    </x:row>
    <x:row r="246" ht="22" customHeight="1">
      <x:c r="A246" s="2"/>
      <x:c r="B246" s="2"/>
      <x:c r="C246" s="23" t="n">
        <x:v>228</x:v>
      </x:c>
      <x:c r="D246" s="24" t="n">
        <x:f>IF(ISNUMBER($D$7),EDATE($D$7,227),"n.a.")</x:f>
        <x:v>53236</x:v>
      </x:c>
      <x:c r="E246" s="7"/>
      <x:c r="F246" s="4"/>
      <x:c r="G246" s="4"/>
      <x:c r="H246" s="4"/>
      <x:c r="I246" s="4"/>
      <x:c r="J246" s="4"/>
      <x:c r="K246" s="4"/>
      <x:c r="L246" s="4"/>
      <x:c r="M246" s="4"/>
      <x:c r="N246" s="4"/>
      <x:c r="O246" s="4"/>
      <x:c r="P246" s="4"/>
    </x:row>
    <x:row r="247" ht="22" customHeight="1">
      <x:c r="A247" s="2"/>
      <x:c r="B247" s="2"/>
      <x:c r="C247" s="23" t="n">
        <x:v>229</x:v>
      </x:c>
      <x:c r="D247" s="24" t="n">
        <x:f>IF(ISNUMBER($D$7),EDATE($D$7,228),"n.a.")</x:f>
        <x:v>53267</x:v>
      </x:c>
      <x:c r="E247" s="7"/>
      <x:c r="F247" s="4"/>
      <x:c r="G247" s="4"/>
      <x:c r="H247" s="4"/>
      <x:c r="I247" s="4"/>
      <x:c r="J247" s="4"/>
      <x:c r="K247" s="4"/>
      <x:c r="L247" s="4"/>
      <x:c r="M247" s="4"/>
      <x:c r="N247" s="4"/>
      <x:c r="O247" s="4"/>
      <x:c r="P247" s="4"/>
    </x:row>
    <x:row r="248" ht="22" customHeight="1">
      <x:c r="A248" s="2"/>
      <x:c r="B248" s="2"/>
      <x:c r="C248" s="23" t="n">
        <x:v>230</x:v>
      </x:c>
      <x:c r="D248" s="24" t="n">
        <x:f>IF(ISNUMBER($D$7),EDATE($D$7,229),"n.a.")</x:f>
        <x:v>53297</x:v>
      </x:c>
      <x:c r="E248" s="7"/>
      <x:c r="F248" s="4"/>
      <x:c r="G248" s="4"/>
      <x:c r="H248" s="4"/>
      <x:c r="I248" s="4"/>
      <x:c r="J248" s="4"/>
      <x:c r="K248" s="4"/>
      <x:c r="L248" s="4"/>
      <x:c r="M248" s="4"/>
      <x:c r="N248" s="4"/>
      <x:c r="O248" s="4"/>
      <x:c r="P248" s="4"/>
    </x:row>
    <x:row r="249" ht="22" customHeight="1">
      <x:c r="A249" s="2"/>
      <x:c r="B249" s="2"/>
      <x:c r="C249" s="23" t="n">
        <x:v>231</x:v>
      </x:c>
      <x:c r="D249" s="24" t="n">
        <x:f>IF(ISNUMBER($D$7),EDATE($D$7,230),"n.a.")</x:f>
        <x:v>53328</x:v>
      </x:c>
      <x:c r="E249" s="7"/>
      <x:c r="F249" s="4"/>
      <x:c r="G249" s="4"/>
      <x:c r="H249" s="4"/>
      <x:c r="I249" s="4"/>
      <x:c r="J249" s="4"/>
      <x:c r="K249" s="4"/>
      <x:c r="L249" s="4"/>
      <x:c r="M249" s="4"/>
      <x:c r="N249" s="4"/>
      <x:c r="O249" s="4"/>
      <x:c r="P249" s="4"/>
    </x:row>
    <x:row r="250" ht="22" customHeight="1">
      <x:c r="A250" s="2"/>
      <x:c r="B250" s="2"/>
      <x:c r="C250" s="23" t="n">
        <x:v>232</x:v>
      </x:c>
      <x:c r="D250" s="24" t="n">
        <x:f>IF(ISNUMBER($D$7),EDATE($D$7,231),"n.a.")</x:f>
        <x:v>53359</x:v>
      </x:c>
      <x:c r="E250" s="7"/>
      <x:c r="F250" s="4"/>
      <x:c r="G250" s="4"/>
      <x:c r="H250" s="4"/>
      <x:c r="I250" s="4"/>
      <x:c r="J250" s="4"/>
      <x:c r="K250" s="4"/>
      <x:c r="L250" s="4"/>
      <x:c r="M250" s="4"/>
      <x:c r="N250" s="4"/>
      <x:c r="O250" s="4"/>
      <x:c r="P250" s="4"/>
    </x:row>
    <x:row r="251" ht="22" customHeight="1">
      <x:c r="A251" s="2"/>
      <x:c r="B251" s="2"/>
      <x:c r="C251" s="23" t="n">
        <x:v>233</x:v>
      </x:c>
      <x:c r="D251" s="24" t="n">
        <x:f>IF(ISNUMBER($D$7),EDATE($D$7,232),"n.a.")</x:f>
        <x:v>53387</x:v>
      </x:c>
      <x:c r="E251" s="7"/>
      <x:c r="F251" s="4"/>
      <x:c r="G251" s="4"/>
      <x:c r="H251" s="4"/>
      <x:c r="I251" s="4"/>
      <x:c r="J251" s="4"/>
      <x:c r="K251" s="4"/>
      <x:c r="L251" s="4"/>
      <x:c r="M251" s="4"/>
      <x:c r="N251" s="4"/>
      <x:c r="O251" s="4"/>
      <x:c r="P251" s="4"/>
    </x:row>
    <x:row r="252" ht="22" customHeight="1">
      <x:c r="A252" s="2"/>
      <x:c r="B252" s="2"/>
      <x:c r="C252" s="23" t="n">
        <x:v>234</x:v>
      </x:c>
      <x:c r="D252" s="24" t="n">
        <x:f>IF(ISNUMBER($D$7),EDATE($D$7,233),"n.a.")</x:f>
        <x:v>53418</x:v>
      </x:c>
      <x:c r="E252" s="7"/>
      <x:c r="F252" s="4"/>
      <x:c r="G252" s="4"/>
      <x:c r="H252" s="4"/>
      <x:c r="I252" s="4"/>
      <x:c r="J252" s="4"/>
      <x:c r="K252" s="4"/>
      <x:c r="L252" s="4"/>
      <x:c r="M252" s="4"/>
      <x:c r="N252" s="4"/>
      <x:c r="O252" s="4"/>
      <x:c r="P252" s="4"/>
    </x:row>
    <x:row r="253" ht="22" customHeight="1">
      <x:c r="A253" s="2"/>
      <x:c r="B253" s="2"/>
      <x:c r="C253" s="23" t="n">
        <x:v>235</x:v>
      </x:c>
      <x:c r="D253" s="24" t="n">
        <x:f>IF(ISNUMBER($D$7),EDATE($D$7,234),"n.a.")</x:f>
        <x:v>53448</x:v>
      </x:c>
      <x:c r="E253" s="7"/>
      <x:c r="F253" s="4"/>
      <x:c r="G253" s="4"/>
      <x:c r="H253" s="4"/>
      <x:c r="I253" s="4"/>
      <x:c r="J253" s="4"/>
      <x:c r="K253" s="4"/>
      <x:c r="L253" s="4"/>
      <x:c r="M253" s="4"/>
      <x:c r="N253" s="4"/>
      <x:c r="O253" s="4"/>
      <x:c r="P253" s="4"/>
    </x:row>
    <x:row r="254" ht="22" customHeight="1">
      <x:c r="A254" s="2"/>
      <x:c r="B254" s="2"/>
      <x:c r="C254" s="23" t="n">
        <x:v>236</x:v>
      </x:c>
      <x:c r="D254" s="24" t="n">
        <x:f>IF(ISNUMBER($D$7),EDATE($D$7,235),"n.a.")</x:f>
        <x:v>53479</x:v>
      </x:c>
      <x:c r="E254" s="7"/>
      <x:c r="F254" s="4"/>
      <x:c r="G254" s="4"/>
      <x:c r="H254" s="4"/>
      <x:c r="I254" s="4"/>
      <x:c r="J254" s="4"/>
      <x:c r="K254" s="4"/>
      <x:c r="L254" s="4"/>
      <x:c r="M254" s="4"/>
      <x:c r="N254" s="4"/>
      <x:c r="O254" s="4"/>
      <x:c r="P254" s="4"/>
    </x:row>
    <x:row r="255" ht="22" customHeight="1">
      <x:c r="A255" s="2"/>
      <x:c r="B255" s="2"/>
      <x:c r="C255" s="23" t="n">
        <x:v>237</x:v>
      </x:c>
      <x:c r="D255" s="24" t="n">
        <x:f>IF(ISNUMBER($D$7),EDATE($D$7,236),"n.a.")</x:f>
        <x:v>53509</x:v>
      </x:c>
      <x:c r="E255" s="7"/>
      <x:c r="F255" s="4"/>
      <x:c r="G255" s="4"/>
      <x:c r="H255" s="4"/>
      <x:c r="I255" s="4"/>
      <x:c r="J255" s="4"/>
      <x:c r="K255" s="4"/>
      <x:c r="L255" s="4"/>
      <x:c r="M255" s="4"/>
      <x:c r="N255" s="4"/>
      <x:c r="O255" s="4"/>
      <x:c r="P255" s="4"/>
    </x:row>
    <x:row r="256" ht="22" customHeight="1">
      <x:c r="A256" s="2"/>
      <x:c r="B256" s="2"/>
      <x:c r="C256" s="23" t="n">
        <x:v>238</x:v>
      </x:c>
      <x:c r="D256" s="24" t="n">
        <x:f>IF(ISNUMBER($D$7),EDATE($D$7,237),"n.a.")</x:f>
        <x:v>53540</x:v>
      </x:c>
      <x:c r="E256" s="7"/>
      <x:c r="F256" s="4"/>
      <x:c r="G256" s="4"/>
      <x:c r="H256" s="4"/>
      <x:c r="I256" s="4"/>
      <x:c r="J256" s="4"/>
      <x:c r="K256" s="4"/>
      <x:c r="L256" s="4"/>
      <x:c r="M256" s="4"/>
      <x:c r="N256" s="4"/>
      <x:c r="O256" s="4"/>
      <x:c r="P256" s="4"/>
    </x:row>
    <x:row r="257" ht="22" customHeight="1">
      <x:c r="A257" s="2"/>
      <x:c r="B257" s="2"/>
      <x:c r="C257" s="23" t="n">
        <x:v>239</x:v>
      </x:c>
      <x:c r="D257" s="24" t="n">
        <x:f>IF(ISNUMBER($D$7),EDATE($D$7,238),"n.a.")</x:f>
        <x:v>53571</x:v>
      </x:c>
      <x:c r="E257" s="7"/>
      <x:c r="F257" s="4"/>
      <x:c r="G257" s="4"/>
      <x:c r="H257" s="4"/>
      <x:c r="I257" s="4"/>
      <x:c r="J257" s="4"/>
      <x:c r="K257" s="4"/>
      <x:c r="L257" s="4"/>
      <x:c r="M257" s="4"/>
      <x:c r="N257" s="4"/>
      <x:c r="O257" s="4"/>
      <x:c r="P257" s="4"/>
    </x:row>
    <x:row r="258" ht="22" customHeight="1">
      <x:c r="A258" s="2"/>
      <x:c r="B258" s="2"/>
      <x:c r="C258" s="23" t="n">
        <x:v>240</x:v>
      </x:c>
      <x:c r="D258" s="24" t="n">
        <x:f>IF(ISNUMBER($D$7),EDATE($D$7,239),"n.a.")</x:f>
        <x:v>53601</x:v>
      </x:c>
      <x:c r="E258" s="7"/>
      <x:c r="F258" s="4"/>
      <x:c r="G258" s="4"/>
      <x:c r="H258" s="4"/>
      <x:c r="I258" s="4"/>
      <x:c r="J258" s="4"/>
      <x:c r="K258" s="4"/>
      <x:c r="L258" s="4"/>
      <x:c r="M258" s="4"/>
      <x:c r="N258" s="4"/>
      <x:c r="O258" s="4"/>
      <x:c r="P258" s="4"/>
    </x:row>
    <x:row r="259" ht="22" customHeight="1">
      <x:c r="A259" s="2"/>
      <x:c r="B259" s="2"/>
      <x:c r="C259" s="23" t="n">
        <x:v>241</x:v>
      </x:c>
      <x:c r="D259" s="24" t="n">
        <x:f>IF(ISNUMBER($D$7),EDATE($D$7,240),"n.a.")</x:f>
        <x:v>53632</x:v>
      </x:c>
      <x:c r="E259" s="7"/>
      <x:c r="F259" s="4"/>
      <x:c r="G259" s="4"/>
      <x:c r="H259" s="4"/>
      <x:c r="I259" s="4"/>
      <x:c r="J259" s="4"/>
      <x:c r="K259" s="4"/>
      <x:c r="L259" s="4"/>
      <x:c r="M259" s="4"/>
      <x:c r="N259" s="4"/>
      <x:c r="O259" s="4"/>
      <x:c r="P259" s="4"/>
    </x:row>
    <x:row r="260" ht="22" customHeight="1">
      <x:c r="A260" s="2"/>
      <x:c r="B260" s="2"/>
      <x:c r="C260" s="23" t="n">
        <x:v>242</x:v>
      </x:c>
      <x:c r="D260" s="24" t="n">
        <x:f>IF(ISNUMBER($D$7),EDATE($D$7,241),"n.a.")</x:f>
        <x:v>53662</x:v>
      </x:c>
      <x:c r="E260" s="7"/>
      <x:c r="F260" s="4"/>
      <x:c r="G260" s="4"/>
      <x:c r="H260" s="4"/>
      <x:c r="I260" s="4"/>
      <x:c r="J260" s="4"/>
      <x:c r="K260" s="4"/>
      <x:c r="L260" s="4"/>
      <x:c r="M260" s="4"/>
      <x:c r="N260" s="4"/>
      <x:c r="O260" s="4"/>
      <x:c r="P260" s="4"/>
    </x:row>
    <x:row r="261" ht="22" customHeight="1">
      <x:c r="A261" s="2"/>
      <x:c r="B261" s="2"/>
      <x:c r="C261" s="23" t="n">
        <x:v>243</x:v>
      </x:c>
      <x:c r="D261" s="24" t="n">
        <x:f>IF(ISNUMBER($D$7),EDATE($D$7,242),"n.a.")</x:f>
        <x:v>53693</x:v>
      </x:c>
      <x:c r="E261" s="7"/>
      <x:c r="F261" s="4"/>
      <x:c r="G261" s="4"/>
      <x:c r="H261" s="4"/>
      <x:c r="I261" s="4"/>
      <x:c r="J261" s="4"/>
      <x:c r="K261" s="4"/>
      <x:c r="L261" s="4"/>
      <x:c r="M261" s="4"/>
      <x:c r="N261" s="4"/>
      <x:c r="O261" s="4"/>
      <x:c r="P261" s="4"/>
    </x:row>
    <x:row r="262" ht="22" customHeight="1">
      <x:c r="A262" s="2"/>
      <x:c r="B262" s="2"/>
      <x:c r="C262" s="23" t="n">
        <x:v>244</x:v>
      </x:c>
      <x:c r="D262" s="24" t="n">
        <x:f>IF(ISNUMBER($D$7),EDATE($D$7,243),"n.a.")</x:f>
        <x:v>53724</x:v>
      </x:c>
      <x:c r="E262" s="7"/>
      <x:c r="F262" s="4"/>
      <x:c r="G262" s="4"/>
      <x:c r="H262" s="4"/>
      <x:c r="I262" s="4"/>
      <x:c r="J262" s="4"/>
      <x:c r="K262" s="4"/>
      <x:c r="L262" s="4"/>
      <x:c r="M262" s="4"/>
      <x:c r="N262" s="4"/>
      <x:c r="O262" s="4"/>
      <x:c r="P262" s="4"/>
    </x:row>
    <x:row r="263" ht="22" customHeight="1">
      <x:c r="A263" s="2"/>
      <x:c r="B263" s="2"/>
      <x:c r="C263" s="23" t="n">
        <x:v>245</x:v>
      </x:c>
      <x:c r="D263" s="24" t="n">
        <x:f>IF(ISNUMBER($D$7),EDATE($D$7,244),"n.a.")</x:f>
        <x:v>53752</x:v>
      </x:c>
      <x:c r="E263" s="7"/>
      <x:c r="F263" s="4"/>
      <x:c r="G263" s="4"/>
      <x:c r="H263" s="4"/>
      <x:c r="I263" s="4"/>
      <x:c r="J263" s="4"/>
      <x:c r="K263" s="4"/>
      <x:c r="L263" s="4"/>
      <x:c r="M263" s="4"/>
      <x:c r="N263" s="4"/>
      <x:c r="O263" s="4"/>
      <x:c r="P263" s="4"/>
    </x:row>
    <x:row r="264" ht="22" customHeight="1">
      <x:c r="A264" s="2"/>
      <x:c r="B264" s="2"/>
      <x:c r="C264" s="23" t="n">
        <x:v>246</x:v>
      </x:c>
      <x:c r="D264" s="24" t="n">
        <x:f>IF(ISNUMBER($D$7),EDATE($D$7,245),"n.a.")</x:f>
        <x:v>53783</x:v>
      </x:c>
      <x:c r="E264" s="7"/>
      <x:c r="F264" s="4"/>
      <x:c r="G264" s="4"/>
      <x:c r="H264" s="4"/>
      <x:c r="I264" s="4"/>
      <x:c r="J264" s="4"/>
      <x:c r="K264" s="4"/>
      <x:c r="L264" s="4"/>
      <x:c r="M264" s="4"/>
      <x:c r="N264" s="4"/>
      <x:c r="O264" s="4"/>
      <x:c r="P264" s="4"/>
    </x:row>
    <x:row r="265" ht="22" customHeight="1">
      <x:c r="A265" s="2"/>
      <x:c r="B265" s="2"/>
      <x:c r="C265" s="23" t="n">
        <x:v>247</x:v>
      </x:c>
      <x:c r="D265" s="24" t="n">
        <x:f>IF(ISNUMBER($D$7),EDATE($D$7,246),"n.a.")</x:f>
        <x:v>53813</x:v>
      </x:c>
      <x:c r="E265" s="7"/>
      <x:c r="F265" s="4"/>
      <x:c r="G265" s="4"/>
      <x:c r="H265" s="4"/>
      <x:c r="I265" s="4"/>
      <x:c r="J265" s="4"/>
      <x:c r="K265" s="4"/>
      <x:c r="L265" s="4"/>
      <x:c r="M265" s="4"/>
      <x:c r="N265" s="4"/>
      <x:c r="O265" s="4"/>
      <x:c r="P265" s="4"/>
    </x:row>
    <x:row r="266" ht="22" customHeight="1">
      <x:c r="A266" s="2"/>
      <x:c r="B266" s="2"/>
      <x:c r="C266" s="23" t="n">
        <x:v>248</x:v>
      </x:c>
      <x:c r="D266" s="24" t="n">
        <x:f>IF(ISNUMBER($D$7),EDATE($D$7,247),"n.a.")</x:f>
        <x:v>53844</x:v>
      </x:c>
      <x:c r="E266" s="7"/>
      <x:c r="F266" s="4"/>
      <x:c r="G266" s="4"/>
      <x:c r="H266" s="4"/>
      <x:c r="I266" s="4"/>
      <x:c r="J266" s="4"/>
      <x:c r="K266" s="4"/>
      <x:c r="L266" s="4"/>
      <x:c r="M266" s="4"/>
      <x:c r="N266" s="4"/>
      <x:c r="O266" s="4"/>
      <x:c r="P266" s="4"/>
    </x:row>
    <x:row r="267" ht="22" customHeight="1">
      <x:c r="A267" s="2"/>
      <x:c r="B267" s="2"/>
      <x:c r="C267" s="23" t="n">
        <x:v>249</x:v>
      </x:c>
      <x:c r="D267" s="24" t="n">
        <x:f>IF(ISNUMBER($D$7),EDATE($D$7,248),"n.a.")</x:f>
        <x:v>53874</x:v>
      </x:c>
      <x:c r="E267" s="7"/>
      <x:c r="F267" s="4"/>
      <x:c r="G267" s="4"/>
      <x:c r="H267" s="4"/>
      <x:c r="I267" s="4"/>
      <x:c r="J267" s="4"/>
      <x:c r="K267" s="4"/>
      <x:c r="L267" s="4"/>
      <x:c r="M267" s="4"/>
      <x:c r="N267" s="4"/>
      <x:c r="O267" s="4"/>
      <x:c r="P267" s="4"/>
    </x:row>
    <x:row r="268" ht="22" customHeight="1">
      <x:c r="A268" s="2"/>
      <x:c r="B268" s="2"/>
      <x:c r="C268" s="23" t="n">
        <x:v>250</x:v>
      </x:c>
      <x:c r="D268" s="24" t="n">
        <x:f>IF(ISNUMBER($D$7),EDATE($D$7,249),"n.a.")</x:f>
        <x:v>53905</x:v>
      </x:c>
      <x:c r="E268" s="7"/>
      <x:c r="F268" s="4"/>
      <x:c r="G268" s="4"/>
      <x:c r="H268" s="4"/>
      <x:c r="I268" s="4"/>
      <x:c r="J268" s="4"/>
      <x:c r="K268" s="4"/>
      <x:c r="L268" s="4"/>
      <x:c r="M268" s="4"/>
      <x:c r="N268" s="4"/>
      <x:c r="O268" s="4"/>
      <x:c r="P268" s="4"/>
    </x:row>
    <x:row r="269" ht="22" customHeight="1">
      <x:c r="A269" s="2"/>
      <x:c r="B269" s="2"/>
      <x:c r="C269" s="23" t="n">
        <x:v>251</x:v>
      </x:c>
      <x:c r="D269" s="24" t="n">
        <x:f>IF(ISNUMBER($D$7),EDATE($D$7,250),"n.a.")</x:f>
        <x:v>53936</x:v>
      </x:c>
      <x:c r="E269" s="7"/>
      <x:c r="F269" s="4"/>
      <x:c r="G269" s="4"/>
      <x:c r="H269" s="4"/>
      <x:c r="I269" s="4"/>
      <x:c r="J269" s="4"/>
      <x:c r="K269" s="4"/>
      <x:c r="L269" s="4"/>
      <x:c r="M269" s="4"/>
      <x:c r="N269" s="4"/>
      <x:c r="O269" s="4"/>
      <x:c r="P269" s="4"/>
    </x:row>
    <x:row r="270" ht="22" customHeight="1">
      <x:c r="A270" s="2"/>
      <x:c r="B270" s="2"/>
      <x:c r="C270" s="23" t="n">
        <x:v>252</x:v>
      </x:c>
      <x:c r="D270" s="24" t="n">
        <x:f>IF(ISNUMBER($D$7),EDATE($D$7,251),"n.a.")</x:f>
        <x:v>53966</x:v>
      </x:c>
      <x:c r="E270" s="7"/>
      <x:c r="F270" s="4"/>
      <x:c r="G270" s="4"/>
      <x:c r="H270" s="4"/>
      <x:c r="I270" s="4"/>
      <x:c r="J270" s="4"/>
      <x:c r="K270" s="4"/>
      <x:c r="L270" s="4"/>
      <x:c r="M270" s="4"/>
      <x:c r="N270" s="4"/>
      <x:c r="O270" s="4"/>
      <x:c r="P270" s="4"/>
    </x:row>
    <x:row r="271" ht="22" customHeight="1">
      <x:c r="A271" s="2"/>
      <x:c r="B271" s="2"/>
      <x:c r="C271" s="23" t="n">
        <x:v>253</x:v>
      </x:c>
      <x:c r="D271" s="24" t="n">
        <x:f>IF(ISNUMBER($D$7),EDATE($D$7,252),"n.a.")</x:f>
        <x:v>53997</x:v>
      </x:c>
      <x:c r="E271" s="7"/>
      <x:c r="F271" s="4"/>
      <x:c r="G271" s="4"/>
      <x:c r="H271" s="4"/>
      <x:c r="I271" s="4"/>
      <x:c r="J271" s="4"/>
      <x:c r="K271" s="4"/>
      <x:c r="L271" s="4"/>
      <x:c r="M271" s="4"/>
      <x:c r="N271" s="4"/>
      <x:c r="O271" s="4"/>
      <x:c r="P271" s="4"/>
    </x:row>
    <x:row r="272" ht="22" customHeight="1">
      <x:c r="A272" s="2"/>
      <x:c r="B272" s="2"/>
      <x:c r="C272" s="23" t="n">
        <x:v>254</x:v>
      </x:c>
      <x:c r="D272" s="24" t="n">
        <x:f>IF(ISNUMBER($D$7),EDATE($D$7,253),"n.a.")</x:f>
        <x:v>54027</x:v>
      </x:c>
      <x:c r="E272" s="7"/>
      <x:c r="F272" s="4"/>
      <x:c r="G272" s="4"/>
      <x:c r="H272" s="4"/>
      <x:c r="I272" s="4"/>
      <x:c r="J272" s="4"/>
      <x:c r="K272" s="4"/>
      <x:c r="L272" s="4"/>
      <x:c r="M272" s="4"/>
      <x:c r="N272" s="4"/>
      <x:c r="O272" s="4"/>
      <x:c r="P272" s="4"/>
    </x:row>
    <x:row r="273" ht="22" customHeight="1">
      <x:c r="A273" s="2"/>
      <x:c r="B273" s="2"/>
      <x:c r="C273" s="23" t="n">
        <x:v>255</x:v>
      </x:c>
      <x:c r="D273" s="24" t="n">
        <x:f>IF(ISNUMBER($D$7),EDATE($D$7,254),"n.a.")</x:f>
        <x:v>54058</x:v>
      </x:c>
      <x:c r="E273" s="7"/>
      <x:c r="F273" s="4"/>
      <x:c r="G273" s="4"/>
      <x:c r="H273" s="4"/>
      <x:c r="I273" s="4"/>
      <x:c r="J273" s="4"/>
      <x:c r="K273" s="4"/>
      <x:c r="L273" s="4"/>
      <x:c r="M273" s="4"/>
      <x:c r="N273" s="4"/>
      <x:c r="O273" s="4"/>
      <x:c r="P273" s="4"/>
    </x:row>
    <x:row r="274" ht="22" customHeight="1">
      <x:c r="A274" s="2"/>
      <x:c r="B274" s="2"/>
      <x:c r="C274" s="23" t="n">
        <x:v>256</x:v>
      </x:c>
      <x:c r="D274" s="24" t="n">
        <x:f>IF(ISNUMBER($D$7),EDATE($D$7,255),"n.a.")</x:f>
        <x:v>54089</x:v>
      </x:c>
      <x:c r="E274" s="7"/>
      <x:c r="F274" s="4"/>
      <x:c r="G274" s="4"/>
      <x:c r="H274" s="4"/>
      <x:c r="I274" s="4"/>
      <x:c r="J274" s="4"/>
      <x:c r="K274" s="4"/>
      <x:c r="L274" s="4"/>
      <x:c r="M274" s="4"/>
      <x:c r="N274" s="4"/>
      <x:c r="O274" s="4"/>
      <x:c r="P274" s="4"/>
    </x:row>
    <x:row r="275" ht="22" customHeight="1">
      <x:c r="A275" s="2"/>
      <x:c r="B275" s="2"/>
      <x:c r="C275" s="23" t="n">
        <x:v>257</x:v>
      </x:c>
      <x:c r="D275" s="24" t="n">
        <x:f>IF(ISNUMBER($D$7),EDATE($D$7,256),"n.a.")</x:f>
        <x:v>54118</x:v>
      </x:c>
      <x:c r="E275" s="7"/>
      <x:c r="F275" s="4"/>
      <x:c r="G275" s="4"/>
      <x:c r="H275" s="4"/>
      <x:c r="I275" s="4"/>
      <x:c r="J275" s="4"/>
      <x:c r="K275" s="4"/>
      <x:c r="L275" s="4"/>
      <x:c r="M275" s="4"/>
      <x:c r="N275" s="4"/>
      <x:c r="O275" s="4"/>
      <x:c r="P275" s="4"/>
    </x:row>
    <x:row r="276" ht="22" customHeight="1">
      <x:c r="A276" s="2"/>
      <x:c r="B276" s="2"/>
      <x:c r="C276" s="23" t="n">
        <x:v>258</x:v>
      </x:c>
      <x:c r="D276" s="24" t="n">
        <x:f>IF(ISNUMBER($D$7),EDATE($D$7,257),"n.a.")</x:f>
        <x:v>54149</x:v>
      </x:c>
      <x:c r="E276" s="7"/>
      <x:c r="F276" s="4"/>
      <x:c r="G276" s="4"/>
      <x:c r="H276" s="4"/>
      <x:c r="I276" s="4"/>
      <x:c r="J276" s="4"/>
      <x:c r="K276" s="4"/>
      <x:c r="L276" s="4"/>
      <x:c r="M276" s="4"/>
      <x:c r="N276" s="4"/>
      <x:c r="O276" s="4"/>
      <x:c r="P276" s="4"/>
    </x:row>
    <x:row r="277" ht="22" customHeight="1">
      <x:c r="A277" s="2"/>
      <x:c r="B277" s="2"/>
      <x:c r="C277" s="23" t="n">
        <x:v>259</x:v>
      </x:c>
      <x:c r="D277" s="24" t="n">
        <x:f>IF(ISNUMBER($D$7),EDATE($D$7,258),"n.a.")</x:f>
        <x:v>54179</x:v>
      </x:c>
      <x:c r="E277" s="7"/>
      <x:c r="F277" s="4"/>
      <x:c r="G277" s="4"/>
      <x:c r="H277" s="4"/>
      <x:c r="I277" s="4"/>
      <x:c r="J277" s="4"/>
      <x:c r="K277" s="4"/>
      <x:c r="L277" s="4"/>
      <x:c r="M277" s="4"/>
      <x:c r="N277" s="4"/>
      <x:c r="O277" s="4"/>
      <x:c r="P277" s="4"/>
    </x:row>
    <x:row r="278" ht="22" customHeight="1">
      <x:c r="A278" s="2"/>
      <x:c r="B278" s="2"/>
      <x:c r="C278" s="23" t="n">
        <x:v>260</x:v>
      </x:c>
      <x:c r="D278" s="24" t="n">
        <x:f>IF(ISNUMBER($D$7),EDATE($D$7,259),"n.a.")</x:f>
        <x:v>54210</x:v>
      </x:c>
      <x:c r="E278" s="7"/>
      <x:c r="F278" s="4"/>
      <x:c r="G278" s="4"/>
      <x:c r="H278" s="4"/>
      <x:c r="I278" s="4"/>
      <x:c r="J278" s="4"/>
      <x:c r="K278" s="4"/>
      <x:c r="L278" s="4"/>
      <x:c r="M278" s="4"/>
      <x:c r="N278" s="4"/>
      <x:c r="O278" s="4"/>
      <x:c r="P278" s="4"/>
    </x:row>
    <x:row r="279" ht="22" customHeight="1">
      <x:c r="A279" s="2"/>
      <x:c r="B279" s="2"/>
      <x:c r="C279" s="23" t="n">
        <x:v>261</x:v>
      </x:c>
      <x:c r="D279" s="24" t="n">
        <x:f>IF(ISNUMBER($D$7),EDATE($D$7,260),"n.a.")</x:f>
        <x:v>54240</x:v>
      </x:c>
      <x:c r="E279" s="7"/>
      <x:c r="F279" s="4"/>
      <x:c r="G279" s="4"/>
      <x:c r="H279" s="4"/>
      <x:c r="I279" s="4"/>
      <x:c r="J279" s="4"/>
      <x:c r="K279" s="4"/>
      <x:c r="L279" s="4"/>
      <x:c r="M279" s="4"/>
      <x:c r="N279" s="4"/>
      <x:c r="O279" s="4"/>
      <x:c r="P279" s="4"/>
    </x:row>
    <x:row r="280" ht="22" customHeight="1">
      <x:c r="A280" s="2"/>
      <x:c r="B280" s="2"/>
      <x:c r="C280" s="23" t="n">
        <x:v>262</x:v>
      </x:c>
      <x:c r="D280" s="24" t="n">
        <x:f>IF(ISNUMBER($D$7),EDATE($D$7,261),"n.a.")</x:f>
        <x:v>54271</x:v>
      </x:c>
      <x:c r="E280" s="7"/>
      <x:c r="F280" s="4"/>
      <x:c r="G280" s="4"/>
      <x:c r="H280" s="4"/>
      <x:c r="I280" s="4"/>
      <x:c r="J280" s="4"/>
      <x:c r="K280" s="4"/>
      <x:c r="L280" s="4"/>
      <x:c r="M280" s="4"/>
      <x:c r="N280" s="4"/>
      <x:c r="O280" s="4"/>
      <x:c r="P280" s="4"/>
    </x:row>
    <x:row r="281" ht="22" customHeight="1">
      <x:c r="A281" s="2"/>
      <x:c r="B281" s="2"/>
      <x:c r="C281" s="23" t="n">
        <x:v>263</x:v>
      </x:c>
      <x:c r="D281" s="24" t="n">
        <x:f>IF(ISNUMBER($D$7),EDATE($D$7,262),"n.a.")</x:f>
        <x:v>54302</x:v>
      </x:c>
      <x:c r="E281" s="7"/>
      <x:c r="F281" s="4"/>
      <x:c r="G281" s="4"/>
      <x:c r="H281" s="4"/>
      <x:c r="I281" s="4"/>
      <x:c r="J281" s="4"/>
      <x:c r="K281" s="4"/>
      <x:c r="L281" s="4"/>
      <x:c r="M281" s="4"/>
      <x:c r="N281" s="4"/>
      <x:c r="O281" s="4"/>
      <x:c r="P281" s="4"/>
    </x:row>
    <x:row r="282" ht="22" customHeight="1">
      <x:c r="A282" s="2"/>
      <x:c r="B282" s="2"/>
      <x:c r="C282" s="23" t="n">
        <x:v>264</x:v>
      </x:c>
      <x:c r="D282" s="24" t="n">
        <x:f>IF(ISNUMBER($D$7),EDATE($D$7,263),"n.a.")</x:f>
        <x:v>54332</x:v>
      </x:c>
      <x:c r="E282" s="7"/>
      <x:c r="F282" s="4"/>
      <x:c r="G282" s="4"/>
      <x:c r="H282" s="4"/>
      <x:c r="I282" s="4"/>
      <x:c r="J282" s="4"/>
      <x:c r="K282" s="4"/>
      <x:c r="L282" s="4"/>
      <x:c r="M282" s="4"/>
      <x:c r="N282" s="4"/>
      <x:c r="O282" s="4"/>
      <x:c r="P282" s="4"/>
    </x:row>
    <x:row r="283" ht="22" customHeight="1">
      <x:c r="A283" s="2"/>
      <x:c r="B283" s="2"/>
      <x:c r="C283" s="23" t="n">
        <x:v>265</x:v>
      </x:c>
      <x:c r="D283" s="24" t="n">
        <x:f>IF(ISNUMBER($D$7),EDATE($D$7,264),"n.a.")</x:f>
        <x:v>54363</x:v>
      </x:c>
      <x:c r="E283" s="7"/>
      <x:c r="F283" s="4"/>
      <x:c r="G283" s="4"/>
      <x:c r="H283" s="4"/>
      <x:c r="I283" s="4"/>
      <x:c r="J283" s="4"/>
      <x:c r="K283" s="4"/>
      <x:c r="L283" s="4"/>
      <x:c r="M283" s="4"/>
      <x:c r="N283" s="4"/>
      <x:c r="O283" s="4"/>
      <x:c r="P283" s="4"/>
    </x:row>
    <x:row r="284" ht="22" customHeight="1">
      <x:c r="A284" s="2"/>
      <x:c r="B284" s="2"/>
      <x:c r="C284" s="23" t="n">
        <x:v>266</x:v>
      </x:c>
      <x:c r="D284" s="24" t="n">
        <x:f>IF(ISNUMBER($D$7),EDATE($D$7,265),"n.a.")</x:f>
        <x:v>54393</x:v>
      </x:c>
      <x:c r="E284" s="7"/>
      <x:c r="F284" s="4"/>
      <x:c r="G284" s="4"/>
      <x:c r="H284" s="4"/>
      <x:c r="I284" s="4"/>
      <x:c r="J284" s="4"/>
      <x:c r="K284" s="4"/>
      <x:c r="L284" s="4"/>
      <x:c r="M284" s="4"/>
      <x:c r="N284" s="4"/>
      <x:c r="O284" s="4"/>
      <x:c r="P284" s="4"/>
    </x:row>
    <x:row r="285" ht="22" customHeight="1">
      <x:c r="A285" s="2"/>
      <x:c r="B285" s="2"/>
      <x:c r="C285" s="23" t="n">
        <x:v>267</x:v>
      </x:c>
      <x:c r="D285" s="24" t="n">
        <x:f>IF(ISNUMBER($D$7),EDATE($D$7,266),"n.a.")</x:f>
        <x:v>54424</x:v>
      </x:c>
      <x:c r="E285" s="7"/>
      <x:c r="F285" s="4"/>
      <x:c r="G285" s="4"/>
      <x:c r="H285" s="4"/>
      <x:c r="I285" s="4"/>
      <x:c r="J285" s="4"/>
      <x:c r="K285" s="4"/>
      <x:c r="L285" s="4"/>
      <x:c r="M285" s="4"/>
      <x:c r="N285" s="4"/>
      <x:c r="O285" s="4"/>
      <x:c r="P285" s="4"/>
    </x:row>
    <x:row r="286" ht="22" customHeight="1">
      <x:c r="A286" s="2"/>
      <x:c r="B286" s="2"/>
      <x:c r="C286" s="23" t="n">
        <x:v>268</x:v>
      </x:c>
      <x:c r="D286" s="24" t="n">
        <x:f>IF(ISNUMBER($D$7),EDATE($D$7,267),"n.a.")</x:f>
        <x:v>54455</x:v>
      </x:c>
      <x:c r="E286" s="7"/>
      <x:c r="F286" s="4"/>
      <x:c r="G286" s="4"/>
      <x:c r="H286" s="4"/>
      <x:c r="I286" s="4"/>
      <x:c r="J286" s="4"/>
      <x:c r="K286" s="4"/>
      <x:c r="L286" s="4"/>
      <x:c r="M286" s="4"/>
      <x:c r="N286" s="4"/>
      <x:c r="O286" s="4"/>
      <x:c r="P286" s="4"/>
    </x:row>
    <x:row r="287" ht="22" customHeight="1">
      <x:c r="A287" s="2"/>
      <x:c r="B287" s="2"/>
      <x:c r="C287" s="23" t="n">
        <x:v>269</x:v>
      </x:c>
      <x:c r="D287" s="24" t="n">
        <x:f>IF(ISNUMBER($D$7),EDATE($D$7,268),"n.a.")</x:f>
        <x:v>54483</x:v>
      </x:c>
      <x:c r="E287" s="7"/>
      <x:c r="F287" s="4"/>
      <x:c r="G287" s="4"/>
      <x:c r="H287" s="4"/>
      <x:c r="I287" s="4"/>
      <x:c r="J287" s="4"/>
      <x:c r="K287" s="4"/>
      <x:c r="L287" s="4"/>
      <x:c r="M287" s="4"/>
      <x:c r="N287" s="4"/>
      <x:c r="O287" s="4"/>
      <x:c r="P287" s="4"/>
    </x:row>
    <x:row r="288" ht="22" customHeight="1">
      <x:c r="A288" s="2"/>
      <x:c r="B288" s="2"/>
      <x:c r="C288" s="23" t="n">
        <x:v>270</x:v>
      </x:c>
      <x:c r="D288" s="24" t="n">
        <x:f>IF(ISNUMBER($D$7),EDATE($D$7,269),"n.a.")</x:f>
        <x:v>54514</x:v>
      </x:c>
      <x:c r="E288" s="7"/>
      <x:c r="F288" s="4"/>
      <x:c r="G288" s="4"/>
      <x:c r="H288" s="4"/>
      <x:c r="I288" s="4"/>
      <x:c r="J288" s="4"/>
      <x:c r="K288" s="4"/>
      <x:c r="L288" s="4"/>
      <x:c r="M288" s="4"/>
      <x:c r="N288" s="4"/>
      <x:c r="O288" s="4"/>
      <x:c r="P288" s="4"/>
    </x:row>
    <x:row r="289" ht="22" customHeight="1">
      <x:c r="A289" s="2"/>
      <x:c r="B289" s="2"/>
      <x:c r="C289" s="23" t="n">
        <x:v>271</x:v>
      </x:c>
      <x:c r="D289" s="24" t="n">
        <x:f>IF(ISNUMBER($D$7),EDATE($D$7,270),"n.a.")</x:f>
        <x:v>54544</x:v>
      </x:c>
      <x:c r="E289" s="7"/>
      <x:c r="F289" s="4"/>
      <x:c r="G289" s="4"/>
      <x:c r="H289" s="4"/>
      <x:c r="I289" s="4"/>
      <x:c r="J289" s="4"/>
      <x:c r="K289" s="4"/>
      <x:c r="L289" s="4"/>
      <x:c r="M289" s="4"/>
      <x:c r="N289" s="4"/>
      <x:c r="O289" s="4"/>
      <x:c r="P289" s="4"/>
    </x:row>
    <x:row r="290" ht="22" customHeight="1">
      <x:c r="A290" s="2"/>
      <x:c r="B290" s="2"/>
      <x:c r="C290" s="23" t="n">
        <x:v>272</x:v>
      </x:c>
      <x:c r="D290" s="24" t="n">
        <x:f>IF(ISNUMBER($D$7),EDATE($D$7,271),"n.a.")</x:f>
        <x:v>54575</x:v>
      </x:c>
      <x:c r="E290" s="7"/>
      <x:c r="F290" s="4"/>
      <x:c r="G290" s="4"/>
      <x:c r="H290" s="4"/>
      <x:c r="I290" s="4"/>
      <x:c r="J290" s="4"/>
      <x:c r="K290" s="4"/>
      <x:c r="L290" s="4"/>
      <x:c r="M290" s="4"/>
      <x:c r="N290" s="4"/>
      <x:c r="O290" s="4"/>
      <x:c r="P290" s="4"/>
    </x:row>
    <x:row r="291" ht="22" customHeight="1">
      <x:c r="A291" s="2"/>
      <x:c r="B291" s="2"/>
      <x:c r="C291" s="23" t="n">
        <x:v>273</x:v>
      </x:c>
      <x:c r="D291" s="24" t="n">
        <x:f>IF(ISNUMBER($D$7),EDATE($D$7,272),"n.a.")</x:f>
        <x:v>54605</x:v>
      </x:c>
      <x:c r="E291" s="7"/>
      <x:c r="F291" s="4"/>
      <x:c r="G291" s="4"/>
      <x:c r="H291" s="4"/>
      <x:c r="I291" s="4"/>
      <x:c r="J291" s="4"/>
      <x:c r="K291" s="4"/>
      <x:c r="L291" s="4"/>
      <x:c r="M291" s="4"/>
      <x:c r="N291" s="4"/>
      <x:c r="O291" s="4"/>
      <x:c r="P291" s="4"/>
    </x:row>
    <x:row r="292" ht="22" customHeight="1">
      <x:c r="A292" s="2"/>
      <x:c r="B292" s="2"/>
      <x:c r="C292" s="23" t="n">
        <x:v>274</x:v>
      </x:c>
      <x:c r="D292" s="24" t="n">
        <x:f>IF(ISNUMBER($D$7),EDATE($D$7,273),"n.a.")</x:f>
        <x:v>54636</x:v>
      </x:c>
      <x:c r="E292" s="7"/>
      <x:c r="F292" s="4"/>
      <x:c r="G292" s="4"/>
      <x:c r="H292" s="4"/>
      <x:c r="I292" s="4"/>
      <x:c r="J292" s="4"/>
      <x:c r="K292" s="4"/>
      <x:c r="L292" s="4"/>
      <x:c r="M292" s="4"/>
      <x:c r="N292" s="4"/>
      <x:c r="O292" s="4"/>
      <x:c r="P292" s="4"/>
    </x:row>
    <x:row r="293" ht="22" customHeight="1">
      <x:c r="A293" s="2"/>
      <x:c r="B293" s="2"/>
      <x:c r="C293" s="23" t="n">
        <x:v>275</x:v>
      </x:c>
      <x:c r="D293" s="24" t="n">
        <x:f>IF(ISNUMBER($D$7),EDATE($D$7,274),"n.a.")</x:f>
        <x:v>54667</x:v>
      </x:c>
      <x:c r="E293" s="7"/>
      <x:c r="F293" s="4"/>
      <x:c r="G293" s="4"/>
      <x:c r="H293" s="4"/>
      <x:c r="I293" s="4"/>
      <x:c r="J293" s="4"/>
      <x:c r="K293" s="4"/>
      <x:c r="L293" s="4"/>
      <x:c r="M293" s="4"/>
      <x:c r="N293" s="4"/>
      <x:c r="O293" s="4"/>
      <x:c r="P293" s="4"/>
    </x:row>
    <x:row r="294" ht="22" customHeight="1">
      <x:c r="A294" s="2"/>
      <x:c r="B294" s="2"/>
      <x:c r="C294" s="23" t="n">
        <x:v>276</x:v>
      </x:c>
      <x:c r="D294" s="24" t="n">
        <x:f>IF(ISNUMBER($D$7),EDATE($D$7,275),"n.a.")</x:f>
        <x:v>54697</x:v>
      </x:c>
      <x:c r="E294" s="7"/>
      <x:c r="F294" s="4"/>
      <x:c r="G294" s="4"/>
      <x:c r="H294" s="4"/>
      <x:c r="I294" s="4"/>
      <x:c r="J294" s="4"/>
      <x:c r="K294" s="4"/>
      <x:c r="L294" s="4"/>
      <x:c r="M294" s="4"/>
      <x:c r="N294" s="4"/>
      <x:c r="O294" s="4"/>
      <x:c r="P294" s="4"/>
    </x:row>
    <x:row r="295" ht="22" customHeight="1">
      <x:c r="A295" s="2"/>
      <x:c r="B295" s="2"/>
      <x:c r="C295" s="23" t="n">
        <x:v>277</x:v>
      </x:c>
      <x:c r="D295" s="24" t="n">
        <x:f>IF(ISNUMBER($D$7),EDATE($D$7,276),"n.a.")</x:f>
        <x:v>54728</x:v>
      </x:c>
      <x:c r="E295" s="7"/>
      <x:c r="F295" s="4"/>
      <x:c r="G295" s="4"/>
      <x:c r="H295" s="4"/>
      <x:c r="I295" s="4"/>
      <x:c r="J295" s="4"/>
      <x:c r="K295" s="4"/>
      <x:c r="L295" s="4"/>
      <x:c r="M295" s="4"/>
      <x:c r="N295" s="4"/>
      <x:c r="O295" s="4"/>
      <x:c r="P295" s="4"/>
    </x:row>
    <x:row r="296" ht="22" customHeight="1">
      <x:c r="A296" s="2"/>
      <x:c r="B296" s="2"/>
      <x:c r="C296" s="23" t="n">
        <x:v>278</x:v>
      </x:c>
      <x:c r="D296" s="24" t="n">
        <x:f>IF(ISNUMBER($D$7),EDATE($D$7,277),"n.a.")</x:f>
        <x:v>54758</x:v>
      </x:c>
      <x:c r="E296" s="7"/>
      <x:c r="F296" s="4"/>
      <x:c r="G296" s="4"/>
      <x:c r="H296" s="4"/>
      <x:c r="I296" s="4"/>
      <x:c r="J296" s="4"/>
      <x:c r="K296" s="4"/>
      <x:c r="L296" s="4"/>
      <x:c r="M296" s="4"/>
      <x:c r="N296" s="4"/>
      <x:c r="O296" s="4"/>
      <x:c r="P296" s="4"/>
    </x:row>
    <x:row r="297" ht="22" customHeight="1">
      <x:c r="A297" s="2"/>
      <x:c r="B297" s="2"/>
      <x:c r="C297" s="23" t="n">
        <x:v>279</x:v>
      </x:c>
      <x:c r="D297" s="24" t="n">
        <x:f>IF(ISNUMBER($D$7),EDATE($D$7,278),"n.a.")</x:f>
        <x:v>54789</x:v>
      </x:c>
      <x:c r="E297" s="7"/>
      <x:c r="F297" s="4"/>
      <x:c r="G297" s="4"/>
      <x:c r="H297" s="4"/>
      <x:c r="I297" s="4"/>
      <x:c r="J297" s="4"/>
      <x:c r="K297" s="4"/>
      <x:c r="L297" s="4"/>
      <x:c r="M297" s="4"/>
      <x:c r="N297" s="4"/>
      <x:c r="O297" s="4"/>
      <x:c r="P297" s="4"/>
    </x:row>
    <x:row r="298" ht="22" customHeight="1">
      <x:c r="A298" s="2"/>
      <x:c r="B298" s="2"/>
      <x:c r="C298" s="23" t="n">
        <x:v>280</x:v>
      </x:c>
      <x:c r="D298" s="24" t="n">
        <x:f>IF(ISNUMBER($D$7),EDATE($D$7,279),"n.a.")</x:f>
        <x:v>54820</x:v>
      </x:c>
      <x:c r="E298" s="7"/>
      <x:c r="F298" s="4"/>
      <x:c r="G298" s="4"/>
      <x:c r="H298" s="4"/>
      <x:c r="I298" s="4"/>
      <x:c r="J298" s="4"/>
      <x:c r="K298" s="4"/>
      <x:c r="L298" s="4"/>
      <x:c r="M298" s="4"/>
      <x:c r="N298" s="4"/>
      <x:c r="O298" s="4"/>
      <x:c r="P298" s="4"/>
    </x:row>
    <x:row r="299" ht="22" customHeight="1">
      <x:c r="A299" s="2"/>
      <x:c r="B299" s="2"/>
      <x:c r="C299" s="23" t="n">
        <x:v>281</x:v>
      </x:c>
      <x:c r="D299" s="24" t="n">
        <x:f>IF(ISNUMBER($D$7),EDATE($D$7,280),"n.a.")</x:f>
        <x:v>54848</x:v>
      </x:c>
      <x:c r="E299" s="7"/>
      <x:c r="F299" s="4"/>
      <x:c r="G299" s="4"/>
      <x:c r="H299" s="4"/>
      <x:c r="I299" s="4"/>
      <x:c r="J299" s="4"/>
      <x:c r="K299" s="4"/>
      <x:c r="L299" s="4"/>
      <x:c r="M299" s="4"/>
      <x:c r="N299" s="4"/>
      <x:c r="O299" s="4"/>
      <x:c r="P299" s="4"/>
    </x:row>
    <x:row r="300" ht="22" customHeight="1">
      <x:c r="A300" s="2"/>
      <x:c r="B300" s="2"/>
      <x:c r="C300" s="23" t="n">
        <x:v>282</x:v>
      </x:c>
      <x:c r="D300" s="24" t="n">
        <x:f>IF(ISNUMBER($D$7),EDATE($D$7,281),"n.a.")</x:f>
        <x:v>54879</x:v>
      </x:c>
      <x:c r="E300" s="7"/>
      <x:c r="F300" s="4"/>
      <x:c r="G300" s="4"/>
      <x:c r="H300" s="4"/>
      <x:c r="I300" s="4"/>
      <x:c r="J300" s="4"/>
      <x:c r="K300" s="4"/>
      <x:c r="L300" s="4"/>
      <x:c r="M300" s="4"/>
      <x:c r="N300" s="4"/>
      <x:c r="O300" s="4"/>
      <x:c r="P300" s="4"/>
    </x:row>
    <x:row r="301" ht="22" customHeight="1">
      <x:c r="A301" s="2"/>
      <x:c r="B301" s="2"/>
      <x:c r="C301" s="23" t="n">
        <x:v>283</x:v>
      </x:c>
      <x:c r="D301" s="24" t="n">
        <x:f>IF(ISNUMBER($D$7),EDATE($D$7,282),"n.a.")</x:f>
        <x:v>54909</x:v>
      </x:c>
      <x:c r="E301" s="7"/>
      <x:c r="F301" s="4"/>
      <x:c r="G301" s="4"/>
      <x:c r="H301" s="4"/>
      <x:c r="I301" s="4"/>
      <x:c r="J301" s="4"/>
      <x:c r="K301" s="4"/>
      <x:c r="L301" s="4"/>
      <x:c r="M301" s="4"/>
      <x:c r="N301" s="4"/>
      <x:c r="O301" s="4"/>
      <x:c r="P301" s="4"/>
    </x:row>
    <x:row r="302" ht="22" customHeight="1">
      <x:c r="A302" s="2"/>
      <x:c r="B302" s="2"/>
      <x:c r="C302" s="23" t="n">
        <x:v>284</x:v>
      </x:c>
      <x:c r="D302" s="24" t="n">
        <x:f>IF(ISNUMBER($D$7),EDATE($D$7,283),"n.a.")</x:f>
        <x:v>54940</x:v>
      </x:c>
      <x:c r="E302" s="7"/>
      <x:c r="F302" s="4"/>
      <x:c r="G302" s="4"/>
      <x:c r="H302" s="4"/>
      <x:c r="I302" s="4"/>
      <x:c r="J302" s="4"/>
      <x:c r="K302" s="4"/>
      <x:c r="L302" s="4"/>
      <x:c r="M302" s="4"/>
      <x:c r="N302" s="4"/>
      <x:c r="O302" s="4"/>
      <x:c r="P302" s="4"/>
    </x:row>
    <x:row r="303" ht="22" customHeight="1">
      <x:c r="A303" s="2"/>
      <x:c r="B303" s="2"/>
      <x:c r="C303" s="23" t="n">
        <x:v>285</x:v>
      </x:c>
      <x:c r="D303" s="24" t="n">
        <x:f>IF(ISNUMBER($D$7),EDATE($D$7,284),"n.a.")</x:f>
        <x:v>54970</x:v>
      </x:c>
      <x:c r="E303" s="7"/>
      <x:c r="F303" s="4"/>
      <x:c r="G303" s="4"/>
      <x:c r="H303" s="4"/>
      <x:c r="I303" s="4"/>
      <x:c r="J303" s="4"/>
      <x:c r="K303" s="4"/>
      <x:c r="L303" s="4"/>
      <x:c r="M303" s="4"/>
      <x:c r="N303" s="4"/>
      <x:c r="O303" s="4"/>
      <x:c r="P303" s="4"/>
    </x:row>
    <x:row r="304" ht="22" customHeight="1">
      <x:c r="A304" s="2"/>
      <x:c r="B304" s="2"/>
      <x:c r="C304" s="23" t="n">
        <x:v>286</x:v>
      </x:c>
      <x:c r="D304" s="24" t="n">
        <x:f>IF(ISNUMBER($D$7),EDATE($D$7,285),"n.a.")</x:f>
        <x:v>55001</x:v>
      </x:c>
      <x:c r="E304" s="7"/>
      <x:c r="F304" s="4"/>
      <x:c r="G304" s="4"/>
      <x:c r="H304" s="4"/>
      <x:c r="I304" s="4"/>
      <x:c r="J304" s="4"/>
      <x:c r="K304" s="4"/>
      <x:c r="L304" s="4"/>
      <x:c r="M304" s="4"/>
      <x:c r="N304" s="4"/>
      <x:c r="O304" s="4"/>
      <x:c r="P304" s="4"/>
    </x:row>
    <x:row r="305" ht="22" customHeight="1">
      <x:c r="A305" s="2"/>
      <x:c r="B305" s="2"/>
      <x:c r="C305" s="23" t="n">
        <x:v>287</x:v>
      </x:c>
      <x:c r="D305" s="24" t="n">
        <x:f>IF(ISNUMBER($D$7),EDATE($D$7,286),"n.a.")</x:f>
        <x:v>55032</x:v>
      </x:c>
      <x:c r="E305" s="7"/>
      <x:c r="F305" s="4"/>
      <x:c r="G305" s="4"/>
      <x:c r="H305" s="4"/>
      <x:c r="I305" s="4"/>
      <x:c r="J305" s="4"/>
      <x:c r="K305" s="4"/>
      <x:c r="L305" s="4"/>
      <x:c r="M305" s="4"/>
      <x:c r="N305" s="4"/>
      <x:c r="O305" s="4"/>
      <x:c r="P305" s="4"/>
    </x:row>
    <x:row r="306" ht="22" customHeight="1">
      <x:c r="A306" s="2"/>
      <x:c r="B306" s="2"/>
      <x:c r="C306" s="23" t="n">
        <x:v>288</x:v>
      </x:c>
      <x:c r="D306" s="24" t="n">
        <x:f>IF(ISNUMBER($D$7),EDATE($D$7,287),"n.a.")</x:f>
        <x:v>55062</x:v>
      </x:c>
      <x:c r="E306" s="7"/>
      <x:c r="F306" s="4"/>
      <x:c r="G306" s="4"/>
      <x:c r="H306" s="4"/>
      <x:c r="I306" s="4"/>
      <x:c r="J306" s="4"/>
      <x:c r="K306" s="4"/>
      <x:c r="L306" s="4"/>
      <x:c r="M306" s="4"/>
      <x:c r="N306" s="4"/>
      <x:c r="O306" s="4"/>
      <x:c r="P306" s="4"/>
    </x:row>
    <x:row r="307" ht="22" customHeight="1">
      <x:c r="A307" s="2"/>
      <x:c r="B307" s="2"/>
      <x:c r="C307" s="23" t="n">
        <x:v>289</x:v>
      </x:c>
      <x:c r="D307" s="24" t="n">
        <x:f>IF(ISNUMBER($D$7),EDATE($D$7,288),"n.a.")</x:f>
        <x:v>55093</x:v>
      </x:c>
      <x:c r="E307" s="7"/>
      <x:c r="F307" s="4"/>
      <x:c r="G307" s="4"/>
      <x:c r="H307" s="4"/>
      <x:c r="I307" s="4"/>
      <x:c r="J307" s="4"/>
      <x:c r="K307" s="4"/>
      <x:c r="L307" s="4"/>
      <x:c r="M307" s="4"/>
      <x:c r="N307" s="4"/>
      <x:c r="O307" s="4"/>
      <x:c r="P307" s="4"/>
    </x:row>
    <x:row r="308" ht="22" customHeight="1">
      <x:c r="A308" s="2"/>
      <x:c r="B308" s="2"/>
      <x:c r="C308" s="23" t="n">
        <x:v>290</x:v>
      </x:c>
      <x:c r="D308" s="24" t="n">
        <x:f>IF(ISNUMBER($D$7),EDATE($D$7,289),"n.a.")</x:f>
        <x:v>55123</x:v>
      </x:c>
      <x:c r="E308" s="7"/>
      <x:c r="F308" s="4"/>
      <x:c r="G308" s="4"/>
      <x:c r="H308" s="4"/>
      <x:c r="I308" s="4"/>
      <x:c r="J308" s="4"/>
      <x:c r="K308" s="4"/>
      <x:c r="L308" s="4"/>
      <x:c r="M308" s="4"/>
      <x:c r="N308" s="4"/>
      <x:c r="O308" s="4"/>
      <x:c r="P308" s="4"/>
    </x:row>
    <x:row r="309" ht="22" customHeight="1">
      <x:c r="A309" s="2"/>
      <x:c r="B309" s="2"/>
      <x:c r="C309" s="23" t="n">
        <x:v>291</x:v>
      </x:c>
      <x:c r="D309" s="24" t="n">
        <x:f>IF(ISNUMBER($D$7),EDATE($D$7,290),"n.a.")</x:f>
        <x:v>55154</x:v>
      </x:c>
      <x:c r="E309" s="7"/>
      <x:c r="F309" s="4"/>
      <x:c r="G309" s="4"/>
      <x:c r="H309" s="4"/>
      <x:c r="I309" s="4"/>
      <x:c r="J309" s="4"/>
      <x:c r="K309" s="4"/>
      <x:c r="L309" s="4"/>
      <x:c r="M309" s="4"/>
      <x:c r="N309" s="4"/>
      <x:c r="O309" s="4"/>
      <x:c r="P309" s="4"/>
    </x:row>
    <x:row r="310" ht="22" customHeight="1">
      <x:c r="A310" s="2"/>
      <x:c r="B310" s="2"/>
      <x:c r="C310" s="23" t="n">
        <x:v>292</x:v>
      </x:c>
      <x:c r="D310" s="24" t="n">
        <x:f>IF(ISNUMBER($D$7),EDATE($D$7,291),"n.a.")</x:f>
        <x:v>55185</x:v>
      </x:c>
      <x:c r="E310" s="7"/>
      <x:c r="F310" s="4"/>
      <x:c r="G310" s="4"/>
      <x:c r="H310" s="4"/>
      <x:c r="I310" s="4"/>
      <x:c r="J310" s="4"/>
      <x:c r="K310" s="4"/>
      <x:c r="L310" s="4"/>
      <x:c r="M310" s="4"/>
      <x:c r="N310" s="4"/>
      <x:c r="O310" s="4"/>
      <x:c r="P310" s="4"/>
    </x:row>
    <x:row r="311" ht="22" customHeight="1">
      <x:c r="A311" s="2"/>
      <x:c r="B311" s="2"/>
      <x:c r="C311" s="23" t="n">
        <x:v>293</x:v>
      </x:c>
      <x:c r="D311" s="24" t="n">
        <x:f>IF(ISNUMBER($D$7),EDATE($D$7,292),"n.a.")</x:f>
        <x:v>55213</x:v>
      </x:c>
      <x:c r="E311" s="7"/>
      <x:c r="F311" s="4"/>
      <x:c r="G311" s="4"/>
      <x:c r="H311" s="4"/>
      <x:c r="I311" s="4"/>
      <x:c r="J311" s="4"/>
      <x:c r="K311" s="4"/>
      <x:c r="L311" s="4"/>
      <x:c r="M311" s="4"/>
      <x:c r="N311" s="4"/>
      <x:c r="O311" s="4"/>
      <x:c r="P311" s="4"/>
    </x:row>
    <x:row r="312" ht="22" customHeight="1">
      <x:c r="A312" s="2"/>
      <x:c r="B312" s="2"/>
      <x:c r="C312" s="23" t="n">
        <x:v>294</x:v>
      </x:c>
      <x:c r="D312" s="24" t="n">
        <x:f>IF(ISNUMBER($D$7),EDATE($D$7,293),"n.a.")</x:f>
        <x:v>55244</x:v>
      </x:c>
      <x:c r="E312" s="7"/>
      <x:c r="F312" s="4"/>
      <x:c r="G312" s="4"/>
      <x:c r="H312" s="4"/>
      <x:c r="I312" s="4"/>
      <x:c r="J312" s="4"/>
      <x:c r="K312" s="4"/>
      <x:c r="L312" s="4"/>
      <x:c r="M312" s="4"/>
      <x:c r="N312" s="4"/>
      <x:c r="O312" s="4"/>
      <x:c r="P312" s="4"/>
    </x:row>
    <x:row r="313" ht="22" customHeight="1">
      <x:c r="A313" s="2"/>
      <x:c r="B313" s="2"/>
      <x:c r="C313" s="23" t="n">
        <x:v>295</x:v>
      </x:c>
      <x:c r="D313" s="24" t="n">
        <x:f>IF(ISNUMBER($D$7),EDATE($D$7,294),"n.a.")</x:f>
        <x:v>55274</x:v>
      </x:c>
      <x:c r="E313" s="7"/>
      <x:c r="F313" s="4"/>
      <x:c r="G313" s="4"/>
      <x:c r="H313" s="4"/>
      <x:c r="I313" s="4"/>
      <x:c r="J313" s="4"/>
      <x:c r="K313" s="4"/>
      <x:c r="L313" s="4"/>
      <x:c r="M313" s="4"/>
      <x:c r="N313" s="4"/>
      <x:c r="O313" s="4"/>
      <x:c r="P313" s="4"/>
    </x:row>
    <x:row r="314" ht="22" customHeight="1">
      <x:c r="A314" s="2"/>
      <x:c r="B314" s="2"/>
      <x:c r="C314" s="23" t="n">
        <x:v>296</x:v>
      </x:c>
      <x:c r="D314" s="24" t="n">
        <x:f>IF(ISNUMBER($D$7),EDATE($D$7,295),"n.a.")</x:f>
        <x:v>55305</x:v>
      </x:c>
      <x:c r="E314" s="7"/>
      <x:c r="F314" s="4"/>
      <x:c r="G314" s="4"/>
      <x:c r="H314" s="4"/>
      <x:c r="I314" s="4"/>
      <x:c r="J314" s="4"/>
      <x:c r="K314" s="4"/>
      <x:c r="L314" s="4"/>
      <x:c r="M314" s="4"/>
      <x:c r="N314" s="4"/>
      <x:c r="O314" s="4"/>
      <x:c r="P314" s="4"/>
    </x:row>
    <x:row r="315" ht="22" customHeight="1">
      <x:c r="A315" s="2"/>
      <x:c r="B315" s="2"/>
      <x:c r="C315" s="23" t="n">
        <x:v>297</x:v>
      </x:c>
      <x:c r="D315" s="24" t="n">
        <x:f>IF(ISNUMBER($D$7),EDATE($D$7,296),"n.a.")</x:f>
        <x:v>55335</x:v>
      </x:c>
      <x:c r="E315" s="7"/>
      <x:c r="F315" s="4"/>
      <x:c r="G315" s="4"/>
      <x:c r="H315" s="4"/>
      <x:c r="I315" s="4"/>
      <x:c r="J315" s="4"/>
      <x:c r="K315" s="4"/>
      <x:c r="L315" s="4"/>
      <x:c r="M315" s="4"/>
      <x:c r="N315" s="4"/>
      <x:c r="O315" s="4"/>
      <x:c r="P315" s="4"/>
    </x:row>
    <x:row r="316" ht="22" customHeight="1">
      <x:c r="A316" s="2"/>
      <x:c r="B316" s="2"/>
      <x:c r="C316" s="23" t="n">
        <x:v>298</x:v>
      </x:c>
      <x:c r="D316" s="24" t="n">
        <x:f>IF(ISNUMBER($D$7),EDATE($D$7,297),"n.a.")</x:f>
        <x:v>55366</x:v>
      </x:c>
      <x:c r="E316" s="7"/>
      <x:c r="F316" s="4"/>
      <x:c r="G316" s="4"/>
      <x:c r="H316" s="4"/>
      <x:c r="I316" s="4"/>
      <x:c r="J316" s="4"/>
      <x:c r="K316" s="4"/>
      <x:c r="L316" s="4"/>
      <x:c r="M316" s="4"/>
      <x:c r="N316" s="4"/>
      <x:c r="O316" s="4"/>
      <x:c r="P316" s="4"/>
    </x:row>
    <x:row r="317" ht="22" customHeight="1">
      <x:c r="A317" s="2"/>
      <x:c r="B317" s="2"/>
      <x:c r="C317" s="23" t="n">
        <x:v>299</x:v>
      </x:c>
      <x:c r="D317" s="24" t="n">
        <x:f>IF(ISNUMBER($D$7),EDATE($D$7,298),"n.a.")</x:f>
        <x:v>55397</x:v>
      </x:c>
      <x:c r="E317" s="7"/>
      <x:c r="F317" s="4"/>
      <x:c r="G317" s="4"/>
      <x:c r="H317" s="4"/>
      <x:c r="I317" s="4"/>
      <x:c r="J317" s="4"/>
      <x:c r="K317" s="4"/>
      <x:c r="L317" s="4"/>
      <x:c r="M317" s="4"/>
      <x:c r="N317" s="4"/>
      <x:c r="O317" s="4"/>
      <x:c r="P317" s="4"/>
    </x:row>
    <x:row r="318" ht="22" customHeight="1">
      <x:c r="A318" s="2"/>
      <x:c r="B318" s="2"/>
      <x:c r="C318" s="23" t="n">
        <x:v>300</x:v>
      </x:c>
      <x:c r="D318" s="24" t="n">
        <x:f>IF(ISNUMBER($D$7),EDATE($D$7,299),"n.a.")</x:f>
        <x:v>55427</x:v>
      </x:c>
      <x:c r="E318" s="7"/>
      <x:c r="F318" s="4"/>
      <x:c r="G318" s="4"/>
      <x:c r="H318" s="4"/>
      <x:c r="I318" s="4"/>
      <x:c r="J318" s="4"/>
      <x:c r="K318" s="4"/>
      <x:c r="L318" s="4"/>
      <x:c r="M318" s="4"/>
      <x:c r="N318" s="4"/>
      <x:c r="O318" s="4"/>
      <x:c r="P318" s="4"/>
    </x:row>
    <x:row r="319" ht="22" customHeight="1">
      <x:c r="A319" s="2"/>
      <x:c r="B319" s="2"/>
      <x:c r="C319" s="23" t="n">
        <x:v>301</x:v>
      </x:c>
      <x:c r="D319" s="24" t="n">
        <x:f>IF(ISNUMBER($D$7),EDATE($D$7,300),"n.a.")</x:f>
        <x:v>55458</x:v>
      </x:c>
      <x:c r="E319" s="7"/>
      <x:c r="F319" s="4"/>
      <x:c r="G319" s="4"/>
      <x:c r="H319" s="4"/>
      <x:c r="I319" s="4"/>
      <x:c r="J319" s="4"/>
      <x:c r="K319" s="4"/>
      <x:c r="L319" s="4"/>
      <x:c r="M319" s="4"/>
      <x:c r="N319" s="4"/>
      <x:c r="O319" s="4"/>
      <x:c r="P319" s="4"/>
    </x:row>
    <x:row r="320" ht="22" customHeight="1">
      <x:c r="A320" s="2"/>
      <x:c r="B320" s="2"/>
      <x:c r="C320" s="23" t="n">
        <x:v>302</x:v>
      </x:c>
      <x:c r="D320" s="24" t="n">
        <x:f>IF(ISNUMBER($D$7),EDATE($D$7,301),"n.a.")</x:f>
        <x:v>55488</x:v>
      </x:c>
      <x:c r="E320" s="7"/>
      <x:c r="F320" s="4"/>
      <x:c r="G320" s="4"/>
      <x:c r="H320" s="4"/>
      <x:c r="I320" s="4"/>
      <x:c r="J320" s="4"/>
      <x:c r="K320" s="4"/>
      <x:c r="L320" s="4"/>
      <x:c r="M320" s="4"/>
      <x:c r="N320" s="4"/>
      <x:c r="O320" s="4"/>
      <x:c r="P320" s="4"/>
    </x:row>
    <x:row r="321" ht="22" customHeight="1">
      <x:c r="A321" s="2"/>
      <x:c r="B321" s="2"/>
      <x:c r="C321" s="23" t="n">
        <x:v>303</x:v>
      </x:c>
      <x:c r="D321" s="24" t="n">
        <x:f>IF(ISNUMBER($D$7),EDATE($D$7,302),"n.a.")</x:f>
        <x:v>55519</x:v>
      </x:c>
      <x:c r="E321" s="7"/>
      <x:c r="F321" s="4"/>
      <x:c r="G321" s="4"/>
      <x:c r="H321" s="4"/>
      <x:c r="I321" s="4"/>
      <x:c r="J321" s="4"/>
      <x:c r="K321" s="4"/>
      <x:c r="L321" s="4"/>
      <x:c r="M321" s="4"/>
      <x:c r="N321" s="4"/>
      <x:c r="O321" s="4"/>
      <x:c r="P321" s="4"/>
    </x:row>
    <x:row r="322" ht="22" customHeight="1">
      <x:c r="A322" s="2"/>
      <x:c r="B322" s="2"/>
      <x:c r="C322" s="23" t="n">
        <x:v>304</x:v>
      </x:c>
      <x:c r="D322" s="24" t="n">
        <x:f>IF(ISNUMBER($D$7),EDATE($D$7,303),"n.a.")</x:f>
        <x:v>55550</x:v>
      </x:c>
      <x:c r="E322" s="7"/>
      <x:c r="F322" s="4"/>
      <x:c r="G322" s="4"/>
      <x:c r="H322" s="4"/>
      <x:c r="I322" s="4"/>
      <x:c r="J322" s="4"/>
      <x:c r="K322" s="4"/>
      <x:c r="L322" s="4"/>
      <x:c r="M322" s="4"/>
      <x:c r="N322" s="4"/>
      <x:c r="O322" s="4"/>
      <x:c r="P322" s="4"/>
    </x:row>
    <x:row r="323" ht="22" customHeight="1">
      <x:c r="A323" s="2"/>
      <x:c r="B323" s="2"/>
      <x:c r="C323" s="23" t="n">
        <x:v>305</x:v>
      </x:c>
      <x:c r="D323" s="24" t="n">
        <x:f>IF(ISNUMBER($D$7),EDATE($D$7,304),"n.a.")</x:f>
        <x:v>55579</x:v>
      </x:c>
      <x:c r="E323" s="7"/>
      <x:c r="F323" s="4"/>
      <x:c r="G323" s="4"/>
      <x:c r="H323" s="4"/>
      <x:c r="I323" s="4"/>
      <x:c r="J323" s="4"/>
      <x:c r="K323" s="4"/>
      <x:c r="L323" s="4"/>
      <x:c r="M323" s="4"/>
      <x:c r="N323" s="4"/>
      <x:c r="O323" s="4"/>
      <x:c r="P323" s="4"/>
    </x:row>
    <x:row r="324" ht="22" customHeight="1">
      <x:c r="A324" s="2"/>
      <x:c r="B324" s="2"/>
      <x:c r="C324" s="23" t="n">
        <x:v>306</x:v>
      </x:c>
      <x:c r="D324" s="24" t="n">
        <x:f>IF(ISNUMBER($D$7),EDATE($D$7,305),"n.a.")</x:f>
        <x:v>55610</x:v>
      </x:c>
      <x:c r="E324" s="7"/>
      <x:c r="F324" s="4"/>
      <x:c r="G324" s="4"/>
      <x:c r="H324" s="4"/>
      <x:c r="I324" s="4"/>
      <x:c r="J324" s="4"/>
      <x:c r="K324" s="4"/>
      <x:c r="L324" s="4"/>
      <x:c r="M324" s="4"/>
      <x:c r="N324" s="4"/>
      <x:c r="O324" s="4"/>
      <x:c r="P324" s="4"/>
    </x:row>
    <x:row r="325" ht="22" customHeight="1">
      <x:c r="A325" s="2"/>
      <x:c r="B325" s="2"/>
      <x:c r="C325" s="23" t="n">
        <x:v>307</x:v>
      </x:c>
      <x:c r="D325" s="24" t="n">
        <x:f>IF(ISNUMBER($D$7),EDATE($D$7,306),"n.a.")</x:f>
        <x:v>55640</x:v>
      </x:c>
      <x:c r="E325" s="7"/>
      <x:c r="F325" s="4"/>
      <x:c r="G325" s="4"/>
      <x:c r="H325" s="4"/>
      <x:c r="I325" s="4"/>
      <x:c r="J325" s="4"/>
      <x:c r="K325" s="4"/>
      <x:c r="L325" s="4"/>
      <x:c r="M325" s="4"/>
      <x:c r="N325" s="4"/>
      <x:c r="O325" s="4"/>
      <x:c r="P325" s="4"/>
    </x:row>
    <x:row r="326" ht="22" customHeight="1">
      <x:c r="A326" s="2"/>
      <x:c r="B326" s="2"/>
      <x:c r="C326" s="23" t="n">
        <x:v>308</x:v>
      </x:c>
      <x:c r="D326" s="24" t="n">
        <x:f>IF(ISNUMBER($D$7),EDATE($D$7,307),"n.a.")</x:f>
        <x:v>55671</x:v>
      </x:c>
      <x:c r="E326" s="7"/>
      <x:c r="F326" s="4"/>
      <x:c r="G326" s="4"/>
      <x:c r="H326" s="4"/>
      <x:c r="I326" s="4"/>
      <x:c r="J326" s="4"/>
      <x:c r="K326" s="4"/>
      <x:c r="L326" s="4"/>
      <x:c r="M326" s="4"/>
      <x:c r="N326" s="4"/>
      <x:c r="O326" s="4"/>
      <x:c r="P326" s="4"/>
    </x:row>
    <x:row r="327" ht="22" customHeight="1">
      <x:c r="A327" s="2"/>
      <x:c r="B327" s="2"/>
      <x:c r="C327" s="23" t="n">
        <x:v>309</x:v>
      </x:c>
      <x:c r="D327" s="24" t="n">
        <x:f>IF(ISNUMBER($D$7),EDATE($D$7,308),"n.a.")</x:f>
        <x:v>55701</x:v>
      </x:c>
      <x:c r="E327" s="7"/>
      <x:c r="F327" s="4"/>
      <x:c r="G327" s="4"/>
      <x:c r="H327" s="4"/>
      <x:c r="I327" s="4"/>
      <x:c r="J327" s="4"/>
      <x:c r="K327" s="4"/>
      <x:c r="L327" s="4"/>
      <x:c r="M327" s="4"/>
      <x:c r="N327" s="4"/>
      <x:c r="O327" s="4"/>
      <x:c r="P327" s="4"/>
    </x:row>
    <x:row r="328" ht="22" customHeight="1">
      <x:c r="A328" s="2"/>
      <x:c r="B328" s="2"/>
      <x:c r="C328" s="23" t="n">
        <x:v>310</x:v>
      </x:c>
      <x:c r="D328" s="24" t="n">
        <x:f>IF(ISNUMBER($D$7),EDATE($D$7,309),"n.a.")</x:f>
        <x:v>55732</x:v>
      </x:c>
      <x:c r="E328" s="7"/>
      <x:c r="F328" s="4"/>
      <x:c r="G328" s="4"/>
      <x:c r="H328" s="4"/>
      <x:c r="I328" s="4"/>
      <x:c r="J328" s="4"/>
      <x:c r="K328" s="4"/>
      <x:c r="L328" s="4"/>
      <x:c r="M328" s="4"/>
      <x:c r="N328" s="4"/>
      <x:c r="O328" s="4"/>
      <x:c r="P328" s="4"/>
    </x:row>
    <x:row r="329" ht="22" customHeight="1">
      <x:c r="A329" s="2"/>
      <x:c r="B329" s="2"/>
      <x:c r="C329" s="23" t="n">
        <x:v>311</x:v>
      </x:c>
      <x:c r="D329" s="24" t="n">
        <x:f>IF(ISNUMBER($D$7),EDATE($D$7,310),"n.a.")</x:f>
        <x:v>55763</x:v>
      </x:c>
      <x:c r="E329" s="7"/>
      <x:c r="F329" s="4"/>
      <x:c r="G329" s="4"/>
      <x:c r="H329" s="4"/>
      <x:c r="I329" s="4"/>
      <x:c r="J329" s="4"/>
      <x:c r="K329" s="4"/>
      <x:c r="L329" s="4"/>
      <x:c r="M329" s="4"/>
      <x:c r="N329" s="4"/>
      <x:c r="O329" s="4"/>
      <x:c r="P329" s="4"/>
    </x:row>
    <x:row r="330" ht="22" customHeight="1">
      <x:c r="A330" s="2"/>
      <x:c r="B330" s="2"/>
      <x:c r="C330" s="23" t="n">
        <x:v>312</x:v>
      </x:c>
      <x:c r="D330" s="24" t="n">
        <x:f>IF(ISNUMBER($D$7),EDATE($D$7,311),"n.a.")</x:f>
        <x:v>55793</x:v>
      </x:c>
      <x:c r="E330" s="7"/>
      <x:c r="F330" s="4"/>
      <x:c r="G330" s="4"/>
      <x:c r="H330" s="4"/>
      <x:c r="I330" s="4"/>
      <x:c r="J330" s="4"/>
      <x:c r="K330" s="4"/>
      <x:c r="L330" s="4"/>
      <x:c r="M330" s="4"/>
      <x:c r="N330" s="4"/>
      <x:c r="O330" s="4"/>
      <x:c r="P330" s="4"/>
    </x:row>
    <x:row r="331" ht="22" customHeight="1">
      <x:c r="A331" s="2"/>
      <x:c r="B331" s="2"/>
      <x:c r="C331" s="23" t="n">
        <x:v>313</x:v>
      </x:c>
      <x:c r="D331" s="24" t="n">
        <x:f>IF(ISNUMBER($D$7),EDATE($D$7,312),"n.a.")</x:f>
        <x:v>55824</x:v>
      </x:c>
      <x:c r="E331" s="7"/>
      <x:c r="F331" s="4"/>
      <x:c r="G331" s="4"/>
      <x:c r="H331" s="4"/>
      <x:c r="I331" s="4"/>
      <x:c r="J331" s="4"/>
      <x:c r="K331" s="4"/>
      <x:c r="L331" s="4"/>
      <x:c r="M331" s="4"/>
      <x:c r="N331" s="4"/>
      <x:c r="O331" s="4"/>
      <x:c r="P331" s="4"/>
    </x:row>
    <x:row r="332" ht="22" customHeight="1">
      <x:c r="A332" s="2"/>
      <x:c r="B332" s="2"/>
      <x:c r="C332" s="23" t="n">
        <x:v>314</x:v>
      </x:c>
      <x:c r="D332" s="24" t="n">
        <x:f>IF(ISNUMBER($D$7),EDATE($D$7,313),"n.a.")</x:f>
        <x:v>55854</x:v>
      </x:c>
      <x:c r="E332" s="7"/>
      <x:c r="F332" s="4"/>
      <x:c r="G332" s="4"/>
      <x:c r="H332" s="4"/>
      <x:c r="I332" s="4"/>
      <x:c r="J332" s="4"/>
      <x:c r="K332" s="4"/>
      <x:c r="L332" s="4"/>
      <x:c r="M332" s="4"/>
      <x:c r="N332" s="4"/>
      <x:c r="O332" s="4"/>
      <x:c r="P332" s="4"/>
    </x:row>
    <x:row r="333" ht="22" customHeight="1">
      <x:c r="A333" s="2"/>
      <x:c r="B333" s="2"/>
      <x:c r="C333" s="23" t="n">
        <x:v>315</x:v>
      </x:c>
      <x:c r="D333" s="24" t="n">
        <x:f>IF(ISNUMBER($D$7),EDATE($D$7,314),"n.a.")</x:f>
        <x:v>55885</x:v>
      </x:c>
      <x:c r="E333" s="7"/>
      <x:c r="F333" s="4"/>
      <x:c r="G333" s="4"/>
      <x:c r="H333" s="4"/>
      <x:c r="I333" s="4"/>
      <x:c r="J333" s="4"/>
      <x:c r="K333" s="4"/>
      <x:c r="L333" s="4"/>
      <x:c r="M333" s="4"/>
      <x:c r="N333" s="4"/>
      <x:c r="O333" s="4"/>
      <x:c r="P333" s="4"/>
    </x:row>
    <x:row r="334" ht="22" customHeight="1">
      <x:c r="A334" s="2"/>
      <x:c r="B334" s="2"/>
      <x:c r="C334" s="23" t="n">
        <x:v>316</x:v>
      </x:c>
      <x:c r="D334" s="24" t="n">
        <x:f>IF(ISNUMBER($D$7),EDATE($D$7,315),"n.a.")</x:f>
        <x:v>55916</x:v>
      </x:c>
      <x:c r="E334" s="7"/>
      <x:c r="F334" s="4"/>
      <x:c r="G334" s="4"/>
      <x:c r="H334" s="4"/>
      <x:c r="I334" s="4"/>
      <x:c r="J334" s="4"/>
      <x:c r="K334" s="4"/>
      <x:c r="L334" s="4"/>
      <x:c r="M334" s="4"/>
      <x:c r="N334" s="4"/>
      <x:c r="O334" s="4"/>
      <x:c r="P334" s="4"/>
    </x:row>
    <x:row r="335" ht="22" customHeight="1">
      <x:c r="A335" s="2"/>
      <x:c r="B335" s="2"/>
      <x:c r="C335" s="23" t="n">
        <x:v>317</x:v>
      </x:c>
      <x:c r="D335" s="24" t="n">
        <x:f>IF(ISNUMBER($D$7),EDATE($D$7,316),"n.a.")</x:f>
        <x:v>55944</x:v>
      </x:c>
      <x:c r="E335" s="7"/>
      <x:c r="F335" s="4"/>
      <x:c r="G335" s="4"/>
      <x:c r="H335" s="4"/>
      <x:c r="I335" s="4"/>
      <x:c r="J335" s="4"/>
      <x:c r="K335" s="4"/>
      <x:c r="L335" s="4"/>
      <x:c r="M335" s="4"/>
      <x:c r="N335" s="4"/>
      <x:c r="O335" s="4"/>
      <x:c r="P335" s="4"/>
    </x:row>
    <x:row r="336" ht="22" customHeight="1">
      <x:c r="A336" s="2"/>
      <x:c r="B336" s="2"/>
      <x:c r="C336" s="23" t="n">
        <x:v>318</x:v>
      </x:c>
      <x:c r="D336" s="24" t="n">
        <x:f>IF(ISNUMBER($D$7),EDATE($D$7,317),"n.a.")</x:f>
        <x:v>55975</x:v>
      </x:c>
      <x:c r="E336" s="7"/>
      <x:c r="F336" s="4"/>
      <x:c r="G336" s="4"/>
      <x:c r="H336" s="4"/>
      <x:c r="I336" s="4"/>
      <x:c r="J336" s="4"/>
      <x:c r="K336" s="4"/>
      <x:c r="L336" s="4"/>
      <x:c r="M336" s="4"/>
      <x:c r="N336" s="4"/>
      <x:c r="O336" s="4"/>
      <x:c r="P336" s="4"/>
    </x:row>
    <x:row r="337" ht="22" customHeight="1">
      <x:c r="A337" s="2"/>
      <x:c r="B337" s="2"/>
      <x:c r="C337" s="23" t="n">
        <x:v>319</x:v>
      </x:c>
      <x:c r="D337" s="24" t="n">
        <x:f>IF(ISNUMBER($D$7),EDATE($D$7,318),"n.a.")</x:f>
        <x:v>56005</x:v>
      </x:c>
      <x:c r="E337" s="7"/>
      <x:c r="F337" s="4"/>
      <x:c r="G337" s="4"/>
      <x:c r="H337" s="4"/>
      <x:c r="I337" s="4"/>
      <x:c r="J337" s="4"/>
      <x:c r="K337" s="4"/>
      <x:c r="L337" s="4"/>
      <x:c r="M337" s="4"/>
      <x:c r="N337" s="4"/>
      <x:c r="O337" s="4"/>
      <x:c r="P337" s="4"/>
    </x:row>
    <x:row r="338" ht="22" customHeight="1">
      <x:c r="A338" s="2"/>
      <x:c r="B338" s="2"/>
      <x:c r="C338" s="23" t="n">
        <x:v>320</x:v>
      </x:c>
      <x:c r="D338" s="24" t="n">
        <x:f>IF(ISNUMBER($D$7),EDATE($D$7,319),"n.a.")</x:f>
        <x:v>56036</x:v>
      </x:c>
      <x:c r="E338" s="7"/>
      <x:c r="F338" s="4"/>
      <x:c r="G338" s="4"/>
      <x:c r="H338" s="4"/>
      <x:c r="I338" s="4"/>
      <x:c r="J338" s="4"/>
      <x:c r="K338" s="4"/>
      <x:c r="L338" s="4"/>
      <x:c r="M338" s="4"/>
      <x:c r="N338" s="4"/>
      <x:c r="O338" s="4"/>
      <x:c r="P338" s="4"/>
    </x:row>
    <x:row r="339" ht="22" customHeight="1">
      <x:c r="A339" s="2"/>
      <x:c r="B339" s="2"/>
      <x:c r="C339" s="23" t="n">
        <x:v>321</x:v>
      </x:c>
      <x:c r="D339" s="24" t="n">
        <x:f>IF(ISNUMBER($D$7),EDATE($D$7,320),"n.a.")</x:f>
        <x:v>56066</x:v>
      </x:c>
      <x:c r="E339" s="7"/>
      <x:c r="F339" s="4"/>
      <x:c r="G339" s="4"/>
      <x:c r="H339" s="4"/>
      <x:c r="I339" s="4"/>
      <x:c r="J339" s="4"/>
      <x:c r="K339" s="4"/>
      <x:c r="L339" s="4"/>
      <x:c r="M339" s="4"/>
      <x:c r="N339" s="4"/>
      <x:c r="O339" s="4"/>
      <x:c r="P339" s="4"/>
    </x:row>
    <x:row r="340" ht="22" customHeight="1">
      <x:c r="A340" s="2"/>
      <x:c r="B340" s="2"/>
      <x:c r="C340" s="23" t="n">
        <x:v>322</x:v>
      </x:c>
      <x:c r="D340" s="24" t="n">
        <x:f>IF(ISNUMBER($D$7),EDATE($D$7,321),"n.a.")</x:f>
        <x:v>56097</x:v>
      </x:c>
      <x:c r="E340" s="7"/>
      <x:c r="F340" s="4"/>
      <x:c r="G340" s="4"/>
      <x:c r="H340" s="4"/>
      <x:c r="I340" s="4"/>
      <x:c r="J340" s="4"/>
      <x:c r="K340" s="4"/>
      <x:c r="L340" s="4"/>
      <x:c r="M340" s="4"/>
      <x:c r="N340" s="4"/>
      <x:c r="O340" s="4"/>
      <x:c r="P340" s="4"/>
    </x:row>
    <x:row r="341" ht="22" customHeight="1">
      <x:c r="A341" s="2"/>
      <x:c r="B341" s="2"/>
      <x:c r="C341" s="23" t="n">
        <x:v>323</x:v>
      </x:c>
      <x:c r="D341" s="24" t="n">
        <x:f>IF(ISNUMBER($D$7),EDATE($D$7,322),"n.a.")</x:f>
        <x:v>56128</x:v>
      </x:c>
      <x:c r="E341" s="7"/>
      <x:c r="F341" s="4"/>
      <x:c r="G341" s="4"/>
      <x:c r="H341" s="4"/>
      <x:c r="I341" s="4"/>
      <x:c r="J341" s="4"/>
      <x:c r="K341" s="4"/>
      <x:c r="L341" s="4"/>
      <x:c r="M341" s="4"/>
      <x:c r="N341" s="4"/>
      <x:c r="O341" s="4"/>
      <x:c r="P341" s="4"/>
    </x:row>
    <x:row r="342" ht="22" customHeight="1">
      <x:c r="A342" s="2"/>
      <x:c r="B342" s="2"/>
      <x:c r="C342" s="23" t="n">
        <x:v>324</x:v>
      </x:c>
      <x:c r="D342" s="24" t="n">
        <x:f>IF(ISNUMBER($D$7),EDATE($D$7,323),"n.a.")</x:f>
        <x:v>56158</x:v>
      </x:c>
      <x:c r="E342" s="7"/>
      <x:c r="F342" s="4"/>
      <x:c r="G342" s="4"/>
      <x:c r="H342" s="4"/>
      <x:c r="I342" s="4"/>
      <x:c r="J342" s="4"/>
      <x:c r="K342" s="4"/>
      <x:c r="L342" s="4"/>
      <x:c r="M342" s="4"/>
      <x:c r="N342" s="4"/>
      <x:c r="O342" s="4"/>
      <x:c r="P342" s="4"/>
    </x:row>
    <x:row r="343" ht="22" customHeight="1">
      <x:c r="A343" s="2"/>
      <x:c r="B343" s="2"/>
      <x:c r="C343" s="23" t="n">
        <x:v>325</x:v>
      </x:c>
      <x:c r="D343" s="24" t="n">
        <x:f>IF(ISNUMBER($D$7),EDATE($D$7,324),"n.a.")</x:f>
        <x:v>56189</x:v>
      </x:c>
      <x:c r="E343" s="7"/>
      <x:c r="F343" s="4"/>
      <x:c r="G343" s="4"/>
      <x:c r="H343" s="4"/>
      <x:c r="I343" s="4"/>
      <x:c r="J343" s="4"/>
      <x:c r="K343" s="4"/>
      <x:c r="L343" s="4"/>
      <x:c r="M343" s="4"/>
      <x:c r="N343" s="4"/>
      <x:c r="O343" s="4"/>
      <x:c r="P343" s="4"/>
    </x:row>
    <x:row r="344" ht="22" customHeight="1">
      <x:c r="A344" s="2"/>
      <x:c r="B344" s="2"/>
      <x:c r="C344" s="23" t="n">
        <x:v>326</x:v>
      </x:c>
      <x:c r="D344" s="24" t="n">
        <x:f>IF(ISNUMBER($D$7),EDATE($D$7,325),"n.a.")</x:f>
        <x:v>56219</x:v>
      </x:c>
      <x:c r="E344" s="7"/>
      <x:c r="F344" s="4"/>
      <x:c r="G344" s="4"/>
      <x:c r="H344" s="4"/>
      <x:c r="I344" s="4"/>
      <x:c r="J344" s="4"/>
      <x:c r="K344" s="4"/>
      <x:c r="L344" s="4"/>
      <x:c r="M344" s="4"/>
      <x:c r="N344" s="4"/>
      <x:c r="O344" s="4"/>
      <x:c r="P344" s="4"/>
    </x:row>
    <x:row r="345" ht="22" customHeight="1">
      <x:c r="A345" s="2"/>
      <x:c r="B345" s="2"/>
      <x:c r="C345" s="23" t="n">
        <x:v>327</x:v>
      </x:c>
      <x:c r="D345" s="24" t="n">
        <x:f>IF(ISNUMBER($D$7),EDATE($D$7,326),"n.a.")</x:f>
        <x:v>56250</x:v>
      </x:c>
      <x:c r="E345" s="7"/>
      <x:c r="F345" s="4"/>
      <x:c r="G345" s="4"/>
      <x:c r="H345" s="4"/>
      <x:c r="I345" s="4"/>
      <x:c r="J345" s="4"/>
      <x:c r="K345" s="4"/>
      <x:c r="L345" s="4"/>
      <x:c r="M345" s="4"/>
      <x:c r="N345" s="4"/>
      <x:c r="O345" s="4"/>
      <x:c r="P345" s="4"/>
    </x:row>
    <x:row r="346" ht="22" customHeight="1">
      <x:c r="A346" s="2"/>
      <x:c r="B346" s="2"/>
      <x:c r="C346" s="23" t="n">
        <x:v>328</x:v>
      </x:c>
      <x:c r="D346" s="24" t="n">
        <x:f>IF(ISNUMBER($D$7),EDATE($D$7,327),"n.a.")</x:f>
        <x:v>56281</x:v>
      </x:c>
      <x:c r="E346" s="7"/>
      <x:c r="F346" s="4"/>
      <x:c r="G346" s="4"/>
      <x:c r="H346" s="4"/>
      <x:c r="I346" s="4"/>
      <x:c r="J346" s="4"/>
      <x:c r="K346" s="4"/>
      <x:c r="L346" s="4"/>
      <x:c r="M346" s="4"/>
      <x:c r="N346" s="4"/>
      <x:c r="O346" s="4"/>
      <x:c r="P346" s="4"/>
    </x:row>
    <x:row r="347" ht="22" customHeight="1">
      <x:c r="A347" s="2"/>
      <x:c r="B347" s="2"/>
      <x:c r="C347" s="23" t="n">
        <x:v>329</x:v>
      </x:c>
      <x:c r="D347" s="24" t="n">
        <x:f>IF(ISNUMBER($D$7),EDATE($D$7,328),"n.a.")</x:f>
        <x:v>56309</x:v>
      </x:c>
      <x:c r="E347" s="7"/>
      <x:c r="F347" s="4"/>
      <x:c r="G347" s="4"/>
      <x:c r="H347" s="4"/>
      <x:c r="I347" s="4"/>
      <x:c r="J347" s="4"/>
      <x:c r="K347" s="4"/>
      <x:c r="L347" s="4"/>
      <x:c r="M347" s="4"/>
      <x:c r="N347" s="4"/>
      <x:c r="O347" s="4"/>
      <x:c r="P347" s="4"/>
    </x:row>
    <x:row r="348" ht="22" customHeight="1">
      <x:c r="A348" s="2"/>
      <x:c r="B348" s="2"/>
      <x:c r="C348" s="23" t="n">
        <x:v>330</x:v>
      </x:c>
      <x:c r="D348" s="24" t="n">
        <x:f>IF(ISNUMBER($D$7),EDATE($D$7,329),"n.a.")</x:f>
        <x:v>56340</x:v>
      </x:c>
      <x:c r="E348" s="7"/>
      <x:c r="F348" s="4"/>
      <x:c r="G348" s="4"/>
      <x:c r="H348" s="4"/>
      <x:c r="I348" s="4"/>
      <x:c r="J348" s="4"/>
      <x:c r="K348" s="4"/>
      <x:c r="L348" s="4"/>
      <x:c r="M348" s="4"/>
      <x:c r="N348" s="4"/>
      <x:c r="O348" s="4"/>
      <x:c r="P348" s="4"/>
    </x:row>
    <x:row r="349" ht="22" customHeight="1">
      <x:c r="A349" s="2"/>
      <x:c r="B349" s="2"/>
      <x:c r="C349" s="23" t="n">
        <x:v>331</x:v>
      </x:c>
      <x:c r="D349" s="24" t="n">
        <x:f>IF(ISNUMBER($D$7),EDATE($D$7,330),"n.a.")</x:f>
        <x:v>56370</x:v>
      </x:c>
      <x:c r="E349" s="7"/>
      <x:c r="F349" s="4"/>
      <x:c r="G349" s="4"/>
      <x:c r="H349" s="4"/>
      <x:c r="I349" s="4"/>
      <x:c r="J349" s="4"/>
      <x:c r="K349" s="4"/>
      <x:c r="L349" s="4"/>
      <x:c r="M349" s="4"/>
      <x:c r="N349" s="4"/>
      <x:c r="O349" s="4"/>
      <x:c r="P349" s="4"/>
    </x:row>
    <x:row r="350" ht="22" customHeight="1">
      <x:c r="A350" s="2"/>
      <x:c r="B350" s="2"/>
      <x:c r="C350" s="23" t="n">
        <x:v>332</x:v>
      </x:c>
      <x:c r="D350" s="24" t="n">
        <x:f>IF(ISNUMBER($D$7),EDATE($D$7,331),"n.a.")</x:f>
        <x:v>56401</x:v>
      </x:c>
      <x:c r="E350" s="7"/>
      <x:c r="F350" s="4"/>
      <x:c r="G350" s="4"/>
      <x:c r="H350" s="4"/>
      <x:c r="I350" s="4"/>
      <x:c r="J350" s="4"/>
      <x:c r="K350" s="4"/>
      <x:c r="L350" s="4"/>
      <x:c r="M350" s="4"/>
      <x:c r="N350" s="4"/>
      <x:c r="O350" s="4"/>
      <x:c r="P350" s="4"/>
    </x:row>
    <x:row r="351" ht="22" customHeight="1">
      <x:c r="A351" s="2"/>
      <x:c r="B351" s="2"/>
      <x:c r="C351" s="23" t="n">
        <x:v>333</x:v>
      </x:c>
      <x:c r="D351" s="24" t="n">
        <x:f>IF(ISNUMBER($D$7),EDATE($D$7,332),"n.a.")</x:f>
        <x:v>56431</x:v>
      </x:c>
      <x:c r="E351" s="7"/>
      <x:c r="F351" s="4"/>
      <x:c r="G351" s="4"/>
      <x:c r="H351" s="4"/>
      <x:c r="I351" s="4"/>
      <x:c r="J351" s="4"/>
      <x:c r="K351" s="4"/>
      <x:c r="L351" s="4"/>
      <x:c r="M351" s="4"/>
      <x:c r="N351" s="4"/>
      <x:c r="O351" s="4"/>
      <x:c r="P351" s="4"/>
    </x:row>
    <x:row r="352" ht="22" customHeight="1">
      <x:c r="A352" s="2"/>
      <x:c r="B352" s="2"/>
      <x:c r="C352" s="23" t="n">
        <x:v>334</x:v>
      </x:c>
      <x:c r="D352" s="24" t="n">
        <x:f>IF(ISNUMBER($D$7),EDATE($D$7,333),"n.a.")</x:f>
        <x:v>56462</x:v>
      </x:c>
      <x:c r="E352" s="7"/>
      <x:c r="F352" s="4"/>
      <x:c r="G352" s="4"/>
      <x:c r="H352" s="4"/>
      <x:c r="I352" s="4"/>
      <x:c r="J352" s="4"/>
      <x:c r="K352" s="4"/>
      <x:c r="L352" s="4"/>
      <x:c r="M352" s="4"/>
      <x:c r="N352" s="4"/>
      <x:c r="O352" s="4"/>
      <x:c r="P352" s="4"/>
    </x:row>
    <x:row r="353" ht="22" customHeight="1">
      <x:c r="A353" s="2"/>
      <x:c r="B353" s="2"/>
      <x:c r="C353" s="23" t="n">
        <x:v>335</x:v>
      </x:c>
      <x:c r="D353" s="24" t="n">
        <x:f>IF(ISNUMBER($D$7),EDATE($D$7,334),"n.a.")</x:f>
        <x:v>56493</x:v>
      </x:c>
      <x:c r="E353" s="7"/>
      <x:c r="F353" s="4"/>
      <x:c r="G353" s="4"/>
      <x:c r="H353" s="4"/>
      <x:c r="I353" s="4"/>
      <x:c r="J353" s="4"/>
      <x:c r="K353" s="4"/>
      <x:c r="L353" s="4"/>
      <x:c r="M353" s="4"/>
      <x:c r="N353" s="4"/>
      <x:c r="O353" s="4"/>
      <x:c r="P353" s="4"/>
    </x:row>
    <x:row r="354" ht="22" customHeight="1">
      <x:c r="A354" s="2"/>
      <x:c r="B354" s="2"/>
      <x:c r="C354" s="23" t="n">
        <x:v>336</x:v>
      </x:c>
      <x:c r="D354" s="24" t="n">
        <x:f>IF(ISNUMBER($D$7),EDATE($D$7,335),"n.a.")</x:f>
        <x:v>56523</x:v>
      </x:c>
      <x:c r="E354" s="7"/>
      <x:c r="F354" s="4"/>
      <x:c r="G354" s="4"/>
      <x:c r="H354" s="4"/>
      <x:c r="I354" s="4"/>
      <x:c r="J354" s="4"/>
      <x:c r="K354" s="4"/>
      <x:c r="L354" s="4"/>
      <x:c r="M354" s="4"/>
      <x:c r="N354" s="4"/>
      <x:c r="O354" s="4"/>
      <x:c r="P354" s="4"/>
    </x:row>
    <x:row r="355" ht="22" customHeight="1">
      <x:c r="A355" s="2"/>
      <x:c r="B355" s="2"/>
      <x:c r="C355" s="23" t="n">
        <x:v>337</x:v>
      </x:c>
      <x:c r="D355" s="24" t="n">
        <x:f>IF(ISNUMBER($D$7),EDATE($D$7,336),"n.a.")</x:f>
        <x:v>56554</x:v>
      </x:c>
      <x:c r="E355" s="7"/>
      <x:c r="F355" s="4"/>
      <x:c r="G355" s="4"/>
      <x:c r="H355" s="4"/>
      <x:c r="I355" s="4"/>
      <x:c r="J355" s="4"/>
      <x:c r="K355" s="4"/>
      <x:c r="L355" s="4"/>
      <x:c r="M355" s="4"/>
      <x:c r="N355" s="4"/>
      <x:c r="O355" s="4"/>
      <x:c r="P355" s="4"/>
    </x:row>
    <x:row r="356" ht="22" customHeight="1">
      <x:c r="A356" s="2"/>
      <x:c r="B356" s="2"/>
      <x:c r="C356" s="23" t="n">
        <x:v>338</x:v>
      </x:c>
      <x:c r="D356" s="24" t="n">
        <x:f>IF(ISNUMBER($D$7),EDATE($D$7,337),"n.a.")</x:f>
        <x:v>56584</x:v>
      </x:c>
      <x:c r="E356" s="7"/>
      <x:c r="F356" s="4"/>
      <x:c r="G356" s="4"/>
      <x:c r="H356" s="4"/>
      <x:c r="I356" s="4"/>
      <x:c r="J356" s="4"/>
      <x:c r="K356" s="4"/>
      <x:c r="L356" s="4"/>
      <x:c r="M356" s="4"/>
      <x:c r="N356" s="4"/>
      <x:c r="O356" s="4"/>
      <x:c r="P356" s="4"/>
    </x:row>
    <x:row r="357" ht="22" customHeight="1">
      <x:c r="A357" s="2"/>
      <x:c r="B357" s="2"/>
      <x:c r="C357" s="23" t="n">
        <x:v>339</x:v>
      </x:c>
      <x:c r="D357" s="24" t="n">
        <x:f>IF(ISNUMBER($D$7),EDATE($D$7,338),"n.a.")</x:f>
        <x:v>56615</x:v>
      </x:c>
      <x:c r="E357" s="7"/>
      <x:c r="F357" s="4"/>
      <x:c r="G357" s="4"/>
      <x:c r="H357" s="4"/>
      <x:c r="I357" s="4"/>
      <x:c r="J357" s="4"/>
      <x:c r="K357" s="4"/>
      <x:c r="L357" s="4"/>
      <x:c r="M357" s="4"/>
      <x:c r="N357" s="4"/>
      <x:c r="O357" s="4"/>
      <x:c r="P357" s="4"/>
    </x:row>
    <x:row r="358" ht="22" customHeight="1">
      <x:c r="A358" s="2"/>
      <x:c r="B358" s="2"/>
      <x:c r="C358" s="23" t="n">
        <x:v>340</x:v>
      </x:c>
      <x:c r="D358" s="24" t="n">
        <x:f>IF(ISNUMBER($D$7),EDATE($D$7,339),"n.a.")</x:f>
        <x:v>56646</x:v>
      </x:c>
      <x:c r="E358" s="7"/>
      <x:c r="F358" s="4"/>
      <x:c r="G358" s="4"/>
      <x:c r="H358" s="4"/>
      <x:c r="I358" s="4"/>
      <x:c r="J358" s="4"/>
      <x:c r="K358" s="4"/>
      <x:c r="L358" s="4"/>
      <x:c r="M358" s="4"/>
      <x:c r="N358" s="4"/>
      <x:c r="O358" s="4"/>
      <x:c r="P358" s="4"/>
    </x:row>
    <x:row r="359" ht="22" customHeight="1">
      <x:c r="A359" s="2"/>
      <x:c r="B359" s="2"/>
      <x:c r="C359" s="23" t="n">
        <x:v>341</x:v>
      </x:c>
      <x:c r="D359" s="24" t="n">
        <x:f>IF(ISNUMBER($D$7),EDATE($D$7,340),"n.a.")</x:f>
        <x:v>56674</x:v>
      </x:c>
      <x:c r="E359" s="7"/>
      <x:c r="F359" s="4"/>
      <x:c r="G359" s="4"/>
      <x:c r="H359" s="4"/>
      <x:c r="I359" s="4"/>
      <x:c r="J359" s="4"/>
      <x:c r="K359" s="4"/>
      <x:c r="L359" s="4"/>
      <x:c r="M359" s="4"/>
      <x:c r="N359" s="4"/>
      <x:c r="O359" s="4"/>
      <x:c r="P359" s="4"/>
    </x:row>
    <x:row r="360" ht="22" customHeight="1">
      <x:c r="A360" s="2"/>
      <x:c r="B360" s="2"/>
      <x:c r="C360" s="23" t="n">
        <x:v>342</x:v>
      </x:c>
      <x:c r="D360" s="24" t="n">
        <x:f>IF(ISNUMBER($D$7),EDATE($D$7,341),"n.a.")</x:f>
        <x:v>56705</x:v>
      </x:c>
      <x:c r="E360" s="7"/>
      <x:c r="F360" s="4"/>
      <x:c r="G360" s="4"/>
      <x:c r="H360" s="4"/>
      <x:c r="I360" s="4"/>
      <x:c r="J360" s="4"/>
      <x:c r="K360" s="4"/>
      <x:c r="L360" s="4"/>
      <x:c r="M360" s="4"/>
      <x:c r="N360" s="4"/>
      <x:c r="O360" s="4"/>
      <x:c r="P360" s="4"/>
    </x:row>
    <x:row r="361" ht="22" customHeight="1">
      <x:c r="A361" s="2"/>
      <x:c r="B361" s="2"/>
      <x:c r="C361" s="23" t="n">
        <x:v>343</x:v>
      </x:c>
      <x:c r="D361" s="24" t="n">
        <x:f>IF(ISNUMBER($D$7),EDATE($D$7,342),"n.a.")</x:f>
        <x:v>56735</x:v>
      </x:c>
      <x:c r="E361" s="7"/>
      <x:c r="F361" s="4"/>
      <x:c r="G361" s="4"/>
      <x:c r="H361" s="4"/>
      <x:c r="I361" s="4"/>
      <x:c r="J361" s="4"/>
      <x:c r="K361" s="4"/>
      <x:c r="L361" s="4"/>
      <x:c r="M361" s="4"/>
      <x:c r="N361" s="4"/>
      <x:c r="O361" s="4"/>
      <x:c r="P361" s="4"/>
    </x:row>
    <x:row r="362" ht="22" customHeight="1">
      <x:c r="A362" s="2"/>
      <x:c r="B362" s="2"/>
      <x:c r="C362" s="23" t="n">
        <x:v>344</x:v>
      </x:c>
      <x:c r="D362" s="24" t="n">
        <x:f>IF(ISNUMBER($D$7),EDATE($D$7,343),"n.a.")</x:f>
        <x:v>56766</x:v>
      </x:c>
      <x:c r="E362" s="7"/>
      <x:c r="F362" s="4"/>
      <x:c r="G362" s="4"/>
      <x:c r="H362" s="4"/>
      <x:c r="I362" s="4"/>
      <x:c r="J362" s="4"/>
      <x:c r="K362" s="4"/>
      <x:c r="L362" s="4"/>
      <x:c r="M362" s="4"/>
      <x:c r="N362" s="4"/>
      <x:c r="O362" s="4"/>
      <x:c r="P362" s="4"/>
    </x:row>
    <x:row r="363" ht="22" customHeight="1">
      <x:c r="A363" s="2"/>
      <x:c r="B363" s="2"/>
      <x:c r="C363" s="23" t="n">
        <x:v>345</x:v>
      </x:c>
      <x:c r="D363" s="24" t="n">
        <x:f>IF(ISNUMBER($D$7),EDATE($D$7,344),"n.a.")</x:f>
        <x:v>56796</x:v>
      </x:c>
      <x:c r="E363" s="7"/>
      <x:c r="F363" s="4"/>
      <x:c r="G363" s="4"/>
      <x:c r="H363" s="4"/>
      <x:c r="I363" s="4"/>
      <x:c r="J363" s="4"/>
      <x:c r="K363" s="4"/>
      <x:c r="L363" s="4"/>
      <x:c r="M363" s="4"/>
      <x:c r="N363" s="4"/>
      <x:c r="O363" s="4"/>
      <x:c r="P363" s="4"/>
    </x:row>
    <x:row r="364" ht="22" customHeight="1">
      <x:c r="A364" s="2"/>
      <x:c r="B364" s="2"/>
      <x:c r="C364" s="23" t="n">
        <x:v>346</x:v>
      </x:c>
      <x:c r="D364" s="24" t="n">
        <x:f>IF(ISNUMBER($D$7),EDATE($D$7,345),"n.a.")</x:f>
        <x:v>56827</x:v>
      </x:c>
      <x:c r="E364" s="7"/>
      <x:c r="F364" s="4"/>
      <x:c r="G364" s="4"/>
      <x:c r="H364" s="4"/>
      <x:c r="I364" s="4"/>
      <x:c r="J364" s="4"/>
      <x:c r="K364" s="4"/>
      <x:c r="L364" s="4"/>
      <x:c r="M364" s="4"/>
      <x:c r="N364" s="4"/>
      <x:c r="O364" s="4"/>
      <x:c r="P364" s="4"/>
    </x:row>
    <x:row r="365" ht="22" customHeight="1">
      <x:c r="A365" s="2"/>
      <x:c r="B365" s="2"/>
      <x:c r="C365" s="23" t="n">
        <x:v>347</x:v>
      </x:c>
      <x:c r="D365" s="24" t="n">
        <x:f>IF(ISNUMBER($D$7),EDATE($D$7,346),"n.a.")</x:f>
        <x:v>56858</x:v>
      </x:c>
      <x:c r="E365" s="7"/>
      <x:c r="F365" s="4"/>
      <x:c r="G365" s="4"/>
      <x:c r="H365" s="4"/>
      <x:c r="I365" s="4"/>
      <x:c r="J365" s="4"/>
      <x:c r="K365" s="4"/>
      <x:c r="L365" s="4"/>
      <x:c r="M365" s="4"/>
      <x:c r="N365" s="4"/>
      <x:c r="O365" s="4"/>
      <x:c r="P365" s="4"/>
    </x:row>
    <x:row r="366" ht="22" customHeight="1">
      <x:c r="A366" s="2"/>
      <x:c r="B366" s="2"/>
      <x:c r="C366" s="23" t="n">
        <x:v>348</x:v>
      </x:c>
      <x:c r="D366" s="24" t="n">
        <x:f>IF(ISNUMBER($D$7),EDATE($D$7,347),"n.a.")</x:f>
        <x:v>56888</x:v>
      </x:c>
      <x:c r="E366" s="7"/>
      <x:c r="F366" s="4"/>
      <x:c r="G366" s="4"/>
      <x:c r="H366" s="4"/>
      <x:c r="I366" s="4"/>
      <x:c r="J366" s="4"/>
      <x:c r="K366" s="4"/>
      <x:c r="L366" s="4"/>
      <x:c r="M366" s="4"/>
      <x:c r="N366" s="4"/>
      <x:c r="O366" s="4"/>
      <x:c r="P366" s="4"/>
    </x:row>
    <x:row r="367" ht="22" customHeight="1">
      <x:c r="A367" s="2"/>
      <x:c r="B367" s="2"/>
      <x:c r="C367" s="23" t="n">
        <x:v>349</x:v>
      </x:c>
      <x:c r="D367" s="24" t="n">
        <x:f>IF(ISNUMBER($D$7),EDATE($D$7,348),"n.a.")</x:f>
        <x:v>56919</x:v>
      </x:c>
      <x:c r="E367" s="7"/>
      <x:c r="F367" s="4"/>
      <x:c r="G367" s="4"/>
      <x:c r="H367" s="4"/>
      <x:c r="I367" s="4"/>
      <x:c r="J367" s="4"/>
      <x:c r="K367" s="4"/>
      <x:c r="L367" s="4"/>
      <x:c r="M367" s="4"/>
      <x:c r="N367" s="4"/>
      <x:c r="O367" s="4"/>
      <x:c r="P367" s="4"/>
    </x:row>
    <x:row r="368" ht="22" customHeight="1">
      <x:c r="A368" s="2"/>
      <x:c r="B368" s="2"/>
      <x:c r="C368" s="23" t="n">
        <x:v>350</x:v>
      </x:c>
      <x:c r="D368" s="24" t="n">
        <x:f>IF(ISNUMBER($D$7),EDATE($D$7,349),"n.a.")</x:f>
        <x:v>56949</x:v>
      </x:c>
      <x:c r="E368" s="7"/>
      <x:c r="F368" s="4"/>
      <x:c r="G368" s="4"/>
      <x:c r="H368" s="4"/>
      <x:c r="I368" s="4"/>
      <x:c r="J368" s="4"/>
      <x:c r="K368" s="4"/>
      <x:c r="L368" s="4"/>
      <x:c r="M368" s="4"/>
      <x:c r="N368" s="4"/>
      <x:c r="O368" s="4"/>
      <x:c r="P368" s="4"/>
    </x:row>
    <x:row r="369" ht="22" customHeight="1">
      <x:c r="A369" s="2"/>
      <x:c r="B369" s="2"/>
      <x:c r="C369" s="23" t="n">
        <x:v>351</x:v>
      </x:c>
      <x:c r="D369" s="24" t="n">
        <x:f>IF(ISNUMBER($D$7),EDATE($D$7,350),"n.a.")</x:f>
        <x:v>56980</x:v>
      </x:c>
      <x:c r="E369" s="7"/>
      <x:c r="F369" s="4"/>
      <x:c r="G369" s="4"/>
      <x:c r="H369" s="4"/>
      <x:c r="I369" s="4"/>
      <x:c r="J369" s="4"/>
      <x:c r="K369" s="4"/>
      <x:c r="L369" s="4"/>
      <x:c r="M369" s="4"/>
      <x:c r="N369" s="4"/>
      <x:c r="O369" s="4"/>
      <x:c r="P369" s="4"/>
    </x:row>
    <x:row r="370" ht="22" customHeight="1">
      <x:c r="A370" s="2"/>
      <x:c r="B370" s="2"/>
      <x:c r="C370" s="23" t="n">
        <x:v>352</x:v>
      </x:c>
      <x:c r="D370" s="24" t="n">
        <x:f>IF(ISNUMBER($D$7),EDATE($D$7,351),"n.a.")</x:f>
        <x:v>57011</x:v>
      </x:c>
      <x:c r="E370" s="7"/>
      <x:c r="F370" s="4"/>
      <x:c r="G370" s="4"/>
      <x:c r="H370" s="4"/>
      <x:c r="I370" s="4"/>
      <x:c r="J370" s="4"/>
      <x:c r="K370" s="4"/>
      <x:c r="L370" s="4"/>
      <x:c r="M370" s="4"/>
      <x:c r="N370" s="4"/>
      <x:c r="O370" s="4"/>
      <x:c r="P370" s="4"/>
    </x:row>
    <x:row r="371" ht="22" customHeight="1">
      <x:c r="A371" s="2"/>
      <x:c r="B371" s="2"/>
      <x:c r="C371" s="23" t="n">
        <x:v>353</x:v>
      </x:c>
      <x:c r="D371" s="24" t="n">
        <x:f>IF(ISNUMBER($D$7),EDATE($D$7,352),"n.a.")</x:f>
        <x:v>57040</x:v>
      </x:c>
      <x:c r="E371" s="7"/>
      <x:c r="F371" s="4"/>
      <x:c r="G371" s="4"/>
      <x:c r="H371" s="4"/>
      <x:c r="I371" s="4"/>
      <x:c r="J371" s="4"/>
      <x:c r="K371" s="4"/>
      <x:c r="L371" s="4"/>
      <x:c r="M371" s="4"/>
      <x:c r="N371" s="4"/>
      <x:c r="O371" s="4"/>
      <x:c r="P371" s="4"/>
    </x:row>
    <x:row r="372" ht="22" customHeight="1">
      <x:c r="A372" s="2"/>
      <x:c r="B372" s="2"/>
      <x:c r="C372" s="23" t="n">
        <x:v>354</x:v>
      </x:c>
      <x:c r="D372" s="24" t="n">
        <x:f>IF(ISNUMBER($D$7),EDATE($D$7,353),"n.a.")</x:f>
        <x:v>57071</x:v>
      </x:c>
      <x:c r="E372" s="7"/>
      <x:c r="F372" s="4"/>
      <x:c r="G372" s="4"/>
      <x:c r="H372" s="4"/>
      <x:c r="I372" s="4"/>
      <x:c r="J372" s="4"/>
      <x:c r="K372" s="4"/>
      <x:c r="L372" s="4"/>
      <x:c r="M372" s="4"/>
      <x:c r="N372" s="4"/>
      <x:c r="O372" s="4"/>
      <x:c r="P372" s="4"/>
    </x:row>
    <x:row r="373" ht="22" customHeight="1">
      <x:c r="A373" s="2"/>
      <x:c r="B373" s="2"/>
      <x:c r="C373" s="23" t="n">
        <x:v>355</x:v>
      </x:c>
      <x:c r="D373" s="24" t="n">
        <x:f>IF(ISNUMBER($D$7),EDATE($D$7,354),"n.a.")</x:f>
        <x:v>57101</x:v>
      </x:c>
      <x:c r="E373" s="7"/>
      <x:c r="F373" s="4"/>
      <x:c r="G373" s="4"/>
      <x:c r="H373" s="4"/>
      <x:c r="I373" s="4"/>
      <x:c r="J373" s="4"/>
      <x:c r="K373" s="4"/>
      <x:c r="L373" s="4"/>
      <x:c r="M373" s="4"/>
      <x:c r="N373" s="4"/>
      <x:c r="O373" s="4"/>
      <x:c r="P373" s="4"/>
    </x:row>
    <x:row r="374" ht="22" customHeight="1">
      <x:c r="A374" s="2"/>
      <x:c r="B374" s="2"/>
      <x:c r="C374" s="23" t="n">
        <x:v>356</x:v>
      </x:c>
      <x:c r="D374" s="24" t="n">
        <x:f>IF(ISNUMBER($D$7),EDATE($D$7,355),"n.a.")</x:f>
        <x:v>57132</x:v>
      </x:c>
      <x:c r="E374" s="7"/>
      <x:c r="F374" s="4"/>
      <x:c r="G374" s="4"/>
      <x:c r="H374" s="4"/>
      <x:c r="I374" s="4"/>
      <x:c r="J374" s="4"/>
      <x:c r="K374" s="4"/>
      <x:c r="L374" s="4"/>
      <x:c r="M374" s="4"/>
      <x:c r="N374" s="4"/>
      <x:c r="O374" s="4"/>
      <x:c r="P374" s="4"/>
    </x:row>
    <x:row r="375" ht="22" customHeight="1">
      <x:c r="A375" s="2"/>
      <x:c r="B375" s="2"/>
      <x:c r="C375" s="23" t="n">
        <x:v>357</x:v>
      </x:c>
      <x:c r="D375" s="24" t="n">
        <x:f>IF(ISNUMBER($D$7),EDATE($D$7,356),"n.a.")</x:f>
        <x:v>57162</x:v>
      </x:c>
      <x:c r="E375" s="7"/>
      <x:c r="F375" s="4"/>
      <x:c r="G375" s="4"/>
      <x:c r="H375" s="4"/>
      <x:c r="I375" s="4"/>
      <x:c r="J375" s="4"/>
      <x:c r="K375" s="4"/>
      <x:c r="L375" s="4"/>
      <x:c r="M375" s="4"/>
      <x:c r="N375" s="4"/>
      <x:c r="O375" s="4"/>
      <x:c r="P375" s="4"/>
    </x:row>
    <x:row r="376" ht="22" customHeight="1">
      <x:c r="A376" s="2"/>
      <x:c r="B376" s="2"/>
      <x:c r="C376" s="23" t="n">
        <x:v>358</x:v>
      </x:c>
      <x:c r="D376" s="24" t="n">
        <x:f>IF(ISNUMBER($D$7),EDATE($D$7,357),"n.a.")</x:f>
        <x:v>57193</x:v>
      </x:c>
      <x:c r="E376" s="7"/>
      <x:c r="F376" s="4"/>
      <x:c r="G376" s="4"/>
      <x:c r="H376" s="4"/>
      <x:c r="I376" s="4"/>
      <x:c r="J376" s="4"/>
      <x:c r="K376" s="4"/>
      <x:c r="L376" s="4"/>
      <x:c r="M376" s="4"/>
      <x:c r="N376" s="4"/>
      <x:c r="O376" s="4"/>
      <x:c r="P376" s="4"/>
    </x:row>
    <x:row r="377" ht="22" customHeight="1">
      <x:c r="A377" s="2"/>
      <x:c r="B377" s="2"/>
      <x:c r="C377" s="23" t="n">
        <x:v>359</x:v>
      </x:c>
      <x:c r="D377" s="24" t="n">
        <x:f>IF(ISNUMBER($D$7),EDATE($D$7,358),"n.a.")</x:f>
        <x:v>57224</x:v>
      </x:c>
      <x:c r="E377" s="7"/>
      <x:c r="F377" s="4"/>
      <x:c r="G377" s="4"/>
      <x:c r="H377" s="4"/>
      <x:c r="I377" s="4"/>
      <x:c r="J377" s="4"/>
      <x:c r="K377" s="4"/>
      <x:c r="L377" s="4"/>
      <x:c r="M377" s="4"/>
      <x:c r="N377" s="4"/>
      <x:c r="O377" s="4"/>
      <x:c r="P377" s="4"/>
    </x:row>
    <x:row r="378" ht="22" customHeight="1">
      <x:c r="A378" s="2"/>
      <x:c r="B378" s="2"/>
      <x:c r="C378" s="23" t="n">
        <x:v>360</x:v>
      </x:c>
      <x:c r="D378" s="24" t="n">
        <x:f>IF(ISNUMBER($D$7),EDATE($D$7,359),"n.a.")</x:f>
        <x:v>57254</x:v>
      </x:c>
      <x:c r="E378" s="7"/>
      <x:c r="F378" s="4"/>
      <x:c r="G378" s="4"/>
      <x:c r="H378" s="4"/>
      <x:c r="I378" s="4"/>
      <x:c r="J378" s="4"/>
      <x:c r="K378" s="4"/>
      <x:c r="L378" s="4"/>
      <x:c r="M378" s="4"/>
      <x:c r="N378" s="4"/>
      <x:c r="O378" s="4"/>
      <x:c r="P378" s="4"/>
    </x:row>
  </x:sheetData>
  <x:dataValidations count="382">
    <x:dataValidation type="whole" operator="between" sqref="D5">
      <x:formula1>0</x:formula1>
      <x:formula2>1000000000</x:formula2>
    </x:dataValidation>
    <x:dataValidation type="decimal" operator="between" sqref="D6">
      <x:formula1>0</x:formula1>
      <x:formula2>1000000000</x:formula2>
    </x:dataValidation>
    <x:dataValidation type="decimal" operator="between" sqref="D11">
      <x:formula1>0</x:formula1>
      <x:formula2>1000000000</x:formula2>
    </x:dataValidation>
    <x:dataValidation type="decimal" operator="between" sqref="E11">
      <x:formula1>0</x:formula1>
      <x:formula2>1</x:formula2>
    </x:dataValidation>
    <x:dataValidation type="decimal" operator="between" sqref="F11">
      <x:formula1>0</x:formula1>
      <x:formula2>1000000000</x:formula2>
    </x:dataValidation>
    <x:dataValidation type="decimal" operator="between" sqref="G11">
      <x:formula1>0</x:formula1>
      <x:formula2>1</x:formula2>
    </x:dataValidation>
    <x:dataValidation type="decimal" operator="between" sqref="D12">
      <x:formula1>0</x:formula1>
      <x:formula2>1000000000</x:formula2>
    </x:dataValidation>
    <x:dataValidation type="decimal" operator="between" sqref="E12">
      <x:formula1>0</x:formula1>
      <x:formula2>1</x:formula2>
    </x:dataValidation>
    <x:dataValidation type="decimal" operator="between" sqref="F12">
      <x:formula1>0</x:formula1>
      <x:formula2>1000000000</x:formula2>
    </x:dataValidation>
    <x:dataValidation type="decimal" operator="between" sqref="G12">
      <x:formula1>0</x:formula1>
      <x:formula2>1</x:formula2>
    </x:dataValidation>
    <x:dataValidation type="decimal" operator="between" sqref="D13">
      <x:formula1>0</x:formula1>
      <x:formula2>1000000000</x:formula2>
    </x:dataValidation>
    <x:dataValidation type="decimal" operator="between" sqref="E13">
      <x:formula1>0</x:formula1>
      <x:formula2>1</x:formula2>
    </x:dataValidation>
    <x:dataValidation type="decimal" operator="between" sqref="F13">
      <x:formula1>0</x:formula1>
      <x:formula2>1000000000</x:formula2>
    </x:dataValidation>
    <x:dataValidation type="decimal" operator="between" sqref="G13">
      <x:formula1>0</x:formula1>
      <x:formula2>1</x:formula2>
    </x:dataValidation>
    <x:dataValidation type="decimal" operator="between" sqref="D14">
      <x:formula1>0</x:formula1>
      <x:formula2>1000000000</x:formula2>
    </x:dataValidation>
    <x:dataValidation type="decimal" operator="between" sqref="E14">
      <x:formula1>0</x:formula1>
      <x:formula2>1</x:formula2>
    </x:dataValidation>
    <x:dataValidation type="decimal" operator="between" sqref="F14">
      <x:formula1>0</x:formula1>
      <x:formula2>1000000000</x:formula2>
    </x:dataValidation>
    <x:dataValidation type="decimal" operator="between" sqref="G14">
      <x:formula1>0</x:formula1>
      <x:formula2>1</x:formula2>
    </x:dataValidation>
    <x:dataValidation type="decimal" operator="between" sqref="D15">
      <x:formula1>0</x:formula1>
      <x:formula2>1000000000</x:formula2>
    </x:dataValidation>
    <x:dataValidation type="decimal" operator="between" sqref="E15">
      <x:formula1>0</x:formula1>
      <x:formula2>1</x:formula2>
    </x:dataValidation>
    <x:dataValidation type="decimal" operator="between" sqref="F15">
      <x:formula1>0</x:formula1>
      <x:formula2>1000000000</x:formula2>
    </x:dataValidation>
    <x:dataValidation type="decimal" operator="between" sqref="G15">
      <x:formula1>0</x:formula1>
      <x:formula2>1</x:formula2>
    </x:dataValidation>
    <x:dataValidation type="decimal" operator="between" sqref="E19">
      <x:formula1>0</x:formula1>
      <x:formula2>1000000000</x:formula2>
    </x:dataValidation>
    <x:dataValidation type="decimal" operator="between" sqref="E20">
      <x:formula1>0</x:formula1>
      <x:formula2>1000000000</x:formula2>
    </x:dataValidation>
    <x:dataValidation type="decimal" operator="between" sqref="E21">
      <x:formula1>0</x:formula1>
      <x:formula2>1000000000</x:formula2>
    </x:dataValidation>
    <x:dataValidation type="decimal" operator="between" sqref="E22">
      <x:formula1>0</x:formula1>
      <x:formula2>1000000000</x:formula2>
    </x:dataValidation>
    <x:dataValidation type="decimal" operator="between" sqref="E23">
      <x:formula1>0</x:formula1>
      <x:formula2>1000000000</x:formula2>
    </x:dataValidation>
    <x:dataValidation type="decimal" operator="between" sqref="E24">
      <x:formula1>0</x:formula1>
      <x:formula2>1000000000</x:formula2>
    </x:dataValidation>
    <x:dataValidation type="decimal" operator="between" sqref="E25">
      <x:formula1>0</x:formula1>
      <x:formula2>1000000000</x:formula2>
    </x:dataValidation>
    <x:dataValidation type="decimal" operator="between" sqref="E26">
      <x:formula1>0</x:formula1>
      <x:formula2>1000000000</x:formula2>
    </x:dataValidation>
    <x:dataValidation type="decimal" operator="between" sqref="E27">
      <x:formula1>0</x:formula1>
      <x:formula2>1000000000</x:formula2>
    </x:dataValidation>
    <x:dataValidation type="decimal" operator="between" sqref="E28">
      <x:formula1>0</x:formula1>
      <x:formula2>1000000000</x:formula2>
    </x:dataValidation>
    <x:dataValidation type="decimal" operator="between" sqref="E29">
      <x:formula1>0</x:formula1>
      <x:formula2>1000000000</x:formula2>
    </x:dataValidation>
    <x:dataValidation type="decimal" operator="between" sqref="E30">
      <x:formula1>0</x:formula1>
      <x:formula2>1000000000</x:formula2>
    </x:dataValidation>
    <x:dataValidation type="decimal" operator="between" sqref="E31">
      <x:formula1>0</x:formula1>
      <x:formula2>1000000000</x:formula2>
    </x:dataValidation>
    <x:dataValidation type="decimal" operator="between" sqref="E32">
      <x:formula1>0</x:formula1>
      <x:formula2>1000000000</x:formula2>
    </x:dataValidation>
    <x:dataValidation type="decimal" operator="between" sqref="E33">
      <x:formula1>0</x:formula1>
      <x:formula2>1000000000</x:formula2>
    </x:dataValidation>
    <x:dataValidation type="decimal" operator="between" sqref="E34">
      <x:formula1>0</x:formula1>
      <x:formula2>1000000000</x:formula2>
    </x:dataValidation>
    <x:dataValidation type="decimal" operator="between" sqref="E35">
      <x:formula1>0</x:formula1>
      <x:formula2>1000000000</x:formula2>
    </x:dataValidation>
    <x:dataValidation type="decimal" operator="between" sqref="E36">
      <x:formula1>0</x:formula1>
      <x:formula2>1000000000</x:formula2>
    </x:dataValidation>
    <x:dataValidation type="decimal" operator="between" sqref="E37">
      <x:formula1>0</x:formula1>
      <x:formula2>1000000000</x:formula2>
    </x:dataValidation>
    <x:dataValidation type="decimal" operator="between" sqref="E38">
      <x:formula1>0</x:formula1>
      <x:formula2>1000000000</x:formula2>
    </x:dataValidation>
    <x:dataValidation type="decimal" operator="between" sqref="E39">
      <x:formula1>0</x:formula1>
      <x:formula2>1000000000</x:formula2>
    </x:dataValidation>
    <x:dataValidation type="decimal" operator="between" sqref="E40">
      <x:formula1>0</x:formula1>
      <x:formula2>1000000000</x:formula2>
    </x:dataValidation>
    <x:dataValidation type="decimal" operator="between" sqref="E41">
      <x:formula1>0</x:formula1>
      <x:formula2>1000000000</x:formula2>
    </x:dataValidation>
    <x:dataValidation type="decimal" operator="between" sqref="E42">
      <x:formula1>0</x:formula1>
      <x:formula2>1000000000</x:formula2>
    </x:dataValidation>
    <x:dataValidation type="decimal" operator="between" sqref="E43">
      <x:formula1>0</x:formula1>
      <x:formula2>1000000000</x:formula2>
    </x:dataValidation>
    <x:dataValidation type="decimal" operator="between" sqref="E44">
      <x:formula1>0</x:formula1>
      <x:formula2>1000000000</x:formula2>
    </x:dataValidation>
    <x:dataValidation type="decimal" operator="between" sqref="E45">
      <x:formula1>0</x:formula1>
      <x:formula2>1000000000</x:formula2>
    </x:dataValidation>
    <x:dataValidation type="decimal" operator="between" sqref="E46">
      <x:formula1>0</x:formula1>
      <x:formula2>1000000000</x:formula2>
    </x:dataValidation>
    <x:dataValidation type="decimal" operator="between" sqref="E47">
      <x:formula1>0</x:formula1>
      <x:formula2>1000000000</x:formula2>
    </x:dataValidation>
    <x:dataValidation type="decimal" operator="between" sqref="E48">
      <x:formula1>0</x:formula1>
      <x:formula2>1000000000</x:formula2>
    </x:dataValidation>
    <x:dataValidation type="decimal" operator="between" sqref="E49">
      <x:formula1>0</x:formula1>
      <x:formula2>1000000000</x:formula2>
    </x:dataValidation>
    <x:dataValidation type="decimal" operator="between" sqref="E50">
      <x:formula1>0</x:formula1>
      <x:formula2>1000000000</x:formula2>
    </x:dataValidation>
    <x:dataValidation type="decimal" operator="between" sqref="E51">
      <x:formula1>0</x:formula1>
      <x:formula2>1000000000</x:formula2>
    </x:dataValidation>
    <x:dataValidation type="decimal" operator="between" sqref="E52">
      <x:formula1>0</x:formula1>
      <x:formula2>1000000000</x:formula2>
    </x:dataValidation>
    <x:dataValidation type="decimal" operator="between" sqref="E53">
      <x:formula1>0</x:formula1>
      <x:formula2>1000000000</x:formula2>
    </x:dataValidation>
    <x:dataValidation type="decimal" operator="between" sqref="E54">
      <x:formula1>0</x:formula1>
      <x:formula2>1000000000</x:formula2>
    </x:dataValidation>
    <x:dataValidation type="decimal" operator="between" sqref="E55">
      <x:formula1>0</x:formula1>
      <x:formula2>1000000000</x:formula2>
    </x:dataValidation>
    <x:dataValidation type="decimal" operator="between" sqref="E56">
      <x:formula1>0</x:formula1>
      <x:formula2>1000000000</x:formula2>
    </x:dataValidation>
    <x:dataValidation type="decimal" operator="between" sqref="E57">
      <x:formula1>0</x:formula1>
      <x:formula2>1000000000</x:formula2>
    </x:dataValidation>
    <x:dataValidation type="decimal" operator="between" sqref="E58">
      <x:formula1>0</x:formula1>
      <x:formula2>1000000000</x:formula2>
    </x:dataValidation>
    <x:dataValidation type="decimal" operator="between" sqref="E59">
      <x:formula1>0</x:formula1>
      <x:formula2>1000000000</x:formula2>
    </x:dataValidation>
    <x:dataValidation type="decimal" operator="between" sqref="E60">
      <x:formula1>0</x:formula1>
      <x:formula2>1000000000</x:formula2>
    </x:dataValidation>
    <x:dataValidation type="decimal" operator="between" sqref="E61">
      <x:formula1>0</x:formula1>
      <x:formula2>1000000000</x:formula2>
    </x:dataValidation>
    <x:dataValidation type="decimal" operator="between" sqref="E62">
      <x:formula1>0</x:formula1>
      <x:formula2>1000000000</x:formula2>
    </x:dataValidation>
    <x:dataValidation type="decimal" operator="between" sqref="E63">
      <x:formula1>0</x:formula1>
      <x:formula2>1000000000</x:formula2>
    </x:dataValidation>
    <x:dataValidation type="decimal" operator="between" sqref="E64">
      <x:formula1>0</x:formula1>
      <x:formula2>1000000000</x:formula2>
    </x:dataValidation>
    <x:dataValidation type="decimal" operator="between" sqref="E65">
      <x:formula1>0</x:formula1>
      <x:formula2>1000000000</x:formula2>
    </x:dataValidation>
    <x:dataValidation type="decimal" operator="between" sqref="E66">
      <x:formula1>0</x:formula1>
      <x:formula2>1000000000</x:formula2>
    </x:dataValidation>
    <x:dataValidation type="decimal" operator="between" sqref="E67">
      <x:formula1>0</x:formula1>
      <x:formula2>1000000000</x:formula2>
    </x:dataValidation>
    <x:dataValidation type="decimal" operator="between" sqref="E68">
      <x:formula1>0</x:formula1>
      <x:formula2>1000000000</x:formula2>
    </x:dataValidation>
    <x:dataValidation type="decimal" operator="between" sqref="E69">
      <x:formula1>0</x:formula1>
      <x:formula2>1000000000</x:formula2>
    </x:dataValidation>
    <x:dataValidation type="decimal" operator="between" sqref="E70">
      <x:formula1>0</x:formula1>
      <x:formula2>1000000000</x:formula2>
    </x:dataValidation>
    <x:dataValidation type="decimal" operator="between" sqref="E71">
      <x:formula1>0</x:formula1>
      <x:formula2>1000000000</x:formula2>
    </x:dataValidation>
    <x:dataValidation type="decimal" operator="between" sqref="E72">
      <x:formula1>0</x:formula1>
      <x:formula2>1000000000</x:formula2>
    </x:dataValidation>
    <x:dataValidation type="decimal" operator="between" sqref="E73">
      <x:formula1>0</x:formula1>
      <x:formula2>1000000000</x:formula2>
    </x:dataValidation>
    <x:dataValidation type="decimal" operator="between" sqref="E74">
      <x:formula1>0</x:formula1>
      <x:formula2>1000000000</x:formula2>
    </x:dataValidation>
    <x:dataValidation type="decimal" operator="between" sqref="E75">
      <x:formula1>0</x:formula1>
      <x:formula2>1000000000</x:formula2>
    </x:dataValidation>
    <x:dataValidation type="decimal" operator="between" sqref="E76">
      <x:formula1>0</x:formula1>
      <x:formula2>1000000000</x:formula2>
    </x:dataValidation>
    <x:dataValidation type="decimal" operator="between" sqref="E77">
      <x:formula1>0</x:formula1>
      <x:formula2>1000000000</x:formula2>
    </x:dataValidation>
    <x:dataValidation type="decimal" operator="between" sqref="E78">
      <x:formula1>0</x:formula1>
      <x:formula2>1000000000</x:formula2>
    </x:dataValidation>
    <x:dataValidation type="decimal" operator="between" sqref="E79">
      <x:formula1>0</x:formula1>
      <x:formula2>1000000000</x:formula2>
    </x:dataValidation>
    <x:dataValidation type="decimal" operator="between" sqref="E80">
      <x:formula1>0</x:formula1>
      <x:formula2>1000000000</x:formula2>
    </x:dataValidation>
    <x:dataValidation type="decimal" operator="between" sqref="E81">
      <x:formula1>0</x:formula1>
      <x:formula2>1000000000</x:formula2>
    </x:dataValidation>
    <x:dataValidation type="decimal" operator="between" sqref="E82">
      <x:formula1>0</x:formula1>
      <x:formula2>1000000000</x:formula2>
    </x:dataValidation>
    <x:dataValidation type="decimal" operator="between" sqref="E83">
      <x:formula1>0</x:formula1>
      <x:formula2>1000000000</x:formula2>
    </x:dataValidation>
    <x:dataValidation type="decimal" operator="between" sqref="E84">
      <x:formula1>0</x:formula1>
      <x:formula2>1000000000</x:formula2>
    </x:dataValidation>
    <x:dataValidation type="decimal" operator="between" sqref="E85">
      <x:formula1>0</x:formula1>
      <x:formula2>1000000000</x:formula2>
    </x:dataValidation>
    <x:dataValidation type="decimal" operator="between" sqref="E86">
      <x:formula1>0</x:formula1>
      <x:formula2>1000000000</x:formula2>
    </x:dataValidation>
    <x:dataValidation type="decimal" operator="between" sqref="E87">
      <x:formula1>0</x:formula1>
      <x:formula2>1000000000</x:formula2>
    </x:dataValidation>
    <x:dataValidation type="decimal" operator="between" sqref="E88">
      <x:formula1>0</x:formula1>
      <x:formula2>1000000000</x:formula2>
    </x:dataValidation>
    <x:dataValidation type="decimal" operator="between" sqref="E89">
      <x:formula1>0</x:formula1>
      <x:formula2>1000000000</x:formula2>
    </x:dataValidation>
    <x:dataValidation type="decimal" operator="between" sqref="E90">
      <x:formula1>0</x:formula1>
      <x:formula2>1000000000</x:formula2>
    </x:dataValidation>
    <x:dataValidation type="decimal" operator="between" sqref="E91">
      <x:formula1>0</x:formula1>
      <x:formula2>1000000000</x:formula2>
    </x:dataValidation>
    <x:dataValidation type="decimal" operator="between" sqref="E92">
      <x:formula1>0</x:formula1>
      <x:formula2>1000000000</x:formula2>
    </x:dataValidation>
    <x:dataValidation type="decimal" operator="between" sqref="E93">
      <x:formula1>0</x:formula1>
      <x:formula2>1000000000</x:formula2>
    </x:dataValidation>
    <x:dataValidation type="decimal" operator="between" sqref="E94">
      <x:formula1>0</x:formula1>
      <x:formula2>1000000000</x:formula2>
    </x:dataValidation>
    <x:dataValidation type="decimal" operator="between" sqref="E95">
      <x:formula1>0</x:formula1>
      <x:formula2>1000000000</x:formula2>
    </x:dataValidation>
    <x:dataValidation type="decimal" operator="between" sqref="E96">
      <x:formula1>0</x:formula1>
      <x:formula2>1000000000</x:formula2>
    </x:dataValidation>
    <x:dataValidation type="decimal" operator="between" sqref="E97">
      <x:formula1>0</x:formula1>
      <x:formula2>1000000000</x:formula2>
    </x:dataValidation>
    <x:dataValidation type="decimal" operator="between" sqref="E98">
      <x:formula1>0</x:formula1>
      <x:formula2>1000000000</x:formula2>
    </x:dataValidation>
    <x:dataValidation type="decimal" operator="between" sqref="E99">
      <x:formula1>0</x:formula1>
      <x:formula2>1000000000</x:formula2>
    </x:dataValidation>
    <x:dataValidation type="decimal" operator="between" sqref="E100">
      <x:formula1>0</x:formula1>
      <x:formula2>1000000000</x:formula2>
    </x:dataValidation>
    <x:dataValidation type="decimal" operator="between" sqref="E101">
      <x:formula1>0</x:formula1>
      <x:formula2>1000000000</x:formula2>
    </x:dataValidation>
    <x:dataValidation type="decimal" operator="between" sqref="E102">
      <x:formula1>0</x:formula1>
      <x:formula2>1000000000</x:formula2>
    </x:dataValidation>
    <x:dataValidation type="decimal" operator="between" sqref="E103">
      <x:formula1>0</x:formula1>
      <x:formula2>1000000000</x:formula2>
    </x:dataValidation>
    <x:dataValidation type="decimal" operator="between" sqref="E104">
      <x:formula1>0</x:formula1>
      <x:formula2>1000000000</x:formula2>
    </x:dataValidation>
    <x:dataValidation type="decimal" operator="between" sqref="E105">
      <x:formula1>0</x:formula1>
      <x:formula2>1000000000</x:formula2>
    </x:dataValidation>
    <x:dataValidation type="decimal" operator="between" sqref="E106">
      <x:formula1>0</x:formula1>
      <x:formula2>1000000000</x:formula2>
    </x:dataValidation>
    <x:dataValidation type="decimal" operator="between" sqref="E107">
      <x:formula1>0</x:formula1>
      <x:formula2>1000000000</x:formula2>
    </x:dataValidation>
    <x:dataValidation type="decimal" operator="between" sqref="E108">
      <x:formula1>0</x:formula1>
      <x:formula2>1000000000</x:formula2>
    </x:dataValidation>
    <x:dataValidation type="decimal" operator="between" sqref="E109">
      <x:formula1>0</x:formula1>
      <x:formula2>1000000000</x:formula2>
    </x:dataValidation>
    <x:dataValidation type="decimal" operator="between" sqref="E110">
      <x:formula1>0</x:formula1>
      <x:formula2>1000000000</x:formula2>
    </x:dataValidation>
    <x:dataValidation type="decimal" operator="between" sqref="E111">
      <x:formula1>0</x:formula1>
      <x:formula2>1000000000</x:formula2>
    </x:dataValidation>
    <x:dataValidation type="decimal" operator="between" sqref="E112">
      <x:formula1>0</x:formula1>
      <x:formula2>1000000000</x:formula2>
    </x:dataValidation>
    <x:dataValidation type="decimal" operator="between" sqref="E113">
      <x:formula1>0</x:formula1>
      <x:formula2>1000000000</x:formula2>
    </x:dataValidation>
    <x:dataValidation type="decimal" operator="between" sqref="E114">
      <x:formula1>0</x:formula1>
      <x:formula2>1000000000</x:formula2>
    </x:dataValidation>
    <x:dataValidation type="decimal" operator="between" sqref="E115">
      <x:formula1>0</x:formula1>
      <x:formula2>1000000000</x:formula2>
    </x:dataValidation>
    <x:dataValidation type="decimal" operator="between" sqref="E116">
      <x:formula1>0</x:formula1>
      <x:formula2>1000000000</x:formula2>
    </x:dataValidation>
    <x:dataValidation type="decimal" operator="between" sqref="E117">
      <x:formula1>0</x:formula1>
      <x:formula2>1000000000</x:formula2>
    </x:dataValidation>
    <x:dataValidation type="decimal" operator="between" sqref="E118">
      <x:formula1>0</x:formula1>
      <x:formula2>1000000000</x:formula2>
    </x:dataValidation>
    <x:dataValidation type="decimal" operator="between" sqref="E119">
      <x:formula1>0</x:formula1>
      <x:formula2>1000000000</x:formula2>
    </x:dataValidation>
    <x:dataValidation type="decimal" operator="between" sqref="E120">
      <x:formula1>0</x:formula1>
      <x:formula2>1000000000</x:formula2>
    </x:dataValidation>
    <x:dataValidation type="decimal" operator="between" sqref="E121">
      <x:formula1>0</x:formula1>
      <x:formula2>1000000000</x:formula2>
    </x:dataValidation>
    <x:dataValidation type="decimal" operator="between" sqref="E122">
      <x:formula1>0</x:formula1>
      <x:formula2>1000000000</x:formula2>
    </x:dataValidation>
    <x:dataValidation type="decimal" operator="between" sqref="E123">
      <x:formula1>0</x:formula1>
      <x:formula2>1000000000</x:formula2>
    </x:dataValidation>
    <x:dataValidation type="decimal" operator="between" sqref="E124">
      <x:formula1>0</x:formula1>
      <x:formula2>1000000000</x:formula2>
    </x:dataValidation>
    <x:dataValidation type="decimal" operator="between" sqref="E125">
      <x:formula1>0</x:formula1>
      <x:formula2>1000000000</x:formula2>
    </x:dataValidation>
    <x:dataValidation type="decimal" operator="between" sqref="E126">
      <x:formula1>0</x:formula1>
      <x:formula2>1000000000</x:formula2>
    </x:dataValidation>
    <x:dataValidation type="decimal" operator="between" sqref="E127">
      <x:formula1>0</x:formula1>
      <x:formula2>1000000000</x:formula2>
    </x:dataValidation>
    <x:dataValidation type="decimal" operator="between" sqref="E128">
      <x:formula1>0</x:formula1>
      <x:formula2>1000000000</x:formula2>
    </x:dataValidation>
    <x:dataValidation type="decimal" operator="between" sqref="E129">
      <x:formula1>0</x:formula1>
      <x:formula2>1000000000</x:formula2>
    </x:dataValidation>
    <x:dataValidation type="decimal" operator="between" sqref="E130">
      <x:formula1>0</x:formula1>
      <x:formula2>1000000000</x:formula2>
    </x:dataValidation>
    <x:dataValidation type="decimal" operator="between" sqref="E131">
      <x:formula1>0</x:formula1>
      <x:formula2>1000000000</x:formula2>
    </x:dataValidation>
    <x:dataValidation type="decimal" operator="between" sqref="E132">
      <x:formula1>0</x:formula1>
      <x:formula2>1000000000</x:formula2>
    </x:dataValidation>
    <x:dataValidation type="decimal" operator="between" sqref="E133">
      <x:formula1>0</x:formula1>
      <x:formula2>1000000000</x:formula2>
    </x:dataValidation>
    <x:dataValidation type="decimal" operator="between" sqref="E134">
      <x:formula1>0</x:formula1>
      <x:formula2>1000000000</x:formula2>
    </x:dataValidation>
    <x:dataValidation type="decimal" operator="between" sqref="E135">
      <x:formula1>0</x:formula1>
      <x:formula2>1000000000</x:formula2>
    </x:dataValidation>
    <x:dataValidation type="decimal" operator="between" sqref="E136">
      <x:formula1>0</x:formula1>
      <x:formula2>1000000000</x:formula2>
    </x:dataValidation>
    <x:dataValidation type="decimal" operator="between" sqref="E137">
      <x:formula1>0</x:formula1>
      <x:formula2>1000000000</x:formula2>
    </x:dataValidation>
    <x:dataValidation type="decimal" operator="between" sqref="E138">
      <x:formula1>0</x:formula1>
      <x:formula2>1000000000</x:formula2>
    </x:dataValidation>
    <x:dataValidation type="decimal" operator="between" sqref="E139">
      <x:formula1>0</x:formula1>
      <x:formula2>1000000000</x:formula2>
    </x:dataValidation>
    <x:dataValidation type="decimal" operator="between" sqref="E140">
      <x:formula1>0</x:formula1>
      <x:formula2>1000000000</x:formula2>
    </x:dataValidation>
    <x:dataValidation type="decimal" operator="between" sqref="E141">
      <x:formula1>0</x:formula1>
      <x:formula2>1000000000</x:formula2>
    </x:dataValidation>
    <x:dataValidation type="decimal" operator="between" sqref="E142">
      <x:formula1>0</x:formula1>
      <x:formula2>1000000000</x:formula2>
    </x:dataValidation>
    <x:dataValidation type="decimal" operator="between" sqref="E143">
      <x:formula1>0</x:formula1>
      <x:formula2>1000000000</x:formula2>
    </x:dataValidation>
    <x:dataValidation type="decimal" operator="between" sqref="E144">
      <x:formula1>0</x:formula1>
      <x:formula2>1000000000</x:formula2>
    </x:dataValidation>
    <x:dataValidation type="decimal" operator="between" sqref="E145">
      <x:formula1>0</x:formula1>
      <x:formula2>1000000000</x:formula2>
    </x:dataValidation>
    <x:dataValidation type="decimal" operator="between" sqref="E146">
      <x:formula1>0</x:formula1>
      <x:formula2>1000000000</x:formula2>
    </x:dataValidation>
    <x:dataValidation type="decimal" operator="between" sqref="E147">
      <x:formula1>0</x:formula1>
      <x:formula2>1000000000</x:formula2>
    </x:dataValidation>
    <x:dataValidation type="decimal" operator="between" sqref="E148">
      <x:formula1>0</x:formula1>
      <x:formula2>1000000000</x:formula2>
    </x:dataValidation>
    <x:dataValidation type="decimal" operator="between" sqref="E149">
      <x:formula1>0</x:formula1>
      <x:formula2>1000000000</x:formula2>
    </x:dataValidation>
    <x:dataValidation type="decimal" operator="between" sqref="E150">
      <x:formula1>0</x:formula1>
      <x:formula2>1000000000</x:formula2>
    </x:dataValidation>
    <x:dataValidation type="decimal" operator="between" sqref="E151">
      <x:formula1>0</x:formula1>
      <x:formula2>1000000000</x:formula2>
    </x:dataValidation>
    <x:dataValidation type="decimal" operator="between" sqref="E152">
      <x:formula1>0</x:formula1>
      <x:formula2>1000000000</x:formula2>
    </x:dataValidation>
    <x:dataValidation type="decimal" operator="between" sqref="E153">
      <x:formula1>0</x:formula1>
      <x:formula2>1000000000</x:formula2>
    </x:dataValidation>
    <x:dataValidation type="decimal" operator="between" sqref="E154">
      <x:formula1>0</x:formula1>
      <x:formula2>1000000000</x:formula2>
    </x:dataValidation>
    <x:dataValidation type="decimal" operator="between" sqref="E155">
      <x:formula1>0</x:formula1>
      <x:formula2>1000000000</x:formula2>
    </x:dataValidation>
    <x:dataValidation type="decimal" operator="between" sqref="E156">
      <x:formula1>0</x:formula1>
      <x:formula2>1000000000</x:formula2>
    </x:dataValidation>
    <x:dataValidation type="decimal" operator="between" sqref="E157">
      <x:formula1>0</x:formula1>
      <x:formula2>1000000000</x:formula2>
    </x:dataValidation>
    <x:dataValidation type="decimal" operator="between" sqref="E158">
      <x:formula1>0</x:formula1>
      <x:formula2>1000000000</x:formula2>
    </x:dataValidation>
    <x:dataValidation type="decimal" operator="between" sqref="E159">
      <x:formula1>0</x:formula1>
      <x:formula2>1000000000</x:formula2>
    </x:dataValidation>
    <x:dataValidation type="decimal" operator="between" sqref="E160">
      <x:formula1>0</x:formula1>
      <x:formula2>1000000000</x:formula2>
    </x:dataValidation>
    <x:dataValidation type="decimal" operator="between" sqref="E161">
      <x:formula1>0</x:formula1>
      <x:formula2>1000000000</x:formula2>
    </x:dataValidation>
    <x:dataValidation type="decimal" operator="between" sqref="E162">
      <x:formula1>0</x:formula1>
      <x:formula2>1000000000</x:formula2>
    </x:dataValidation>
    <x:dataValidation type="decimal" operator="between" sqref="E163">
      <x:formula1>0</x:formula1>
      <x:formula2>1000000000</x:formula2>
    </x:dataValidation>
    <x:dataValidation type="decimal" operator="between" sqref="E164">
      <x:formula1>0</x:formula1>
      <x:formula2>1000000000</x:formula2>
    </x:dataValidation>
    <x:dataValidation type="decimal" operator="between" sqref="E165">
      <x:formula1>0</x:formula1>
      <x:formula2>1000000000</x:formula2>
    </x:dataValidation>
    <x:dataValidation type="decimal" operator="between" sqref="E166">
      <x:formula1>0</x:formula1>
      <x:formula2>1000000000</x:formula2>
    </x:dataValidation>
    <x:dataValidation type="decimal" operator="between" sqref="E167">
      <x:formula1>0</x:formula1>
      <x:formula2>1000000000</x:formula2>
    </x:dataValidation>
    <x:dataValidation type="decimal" operator="between" sqref="E168">
      <x:formula1>0</x:formula1>
      <x:formula2>1000000000</x:formula2>
    </x:dataValidation>
    <x:dataValidation type="decimal" operator="between" sqref="E169">
      <x:formula1>0</x:formula1>
      <x:formula2>1000000000</x:formula2>
    </x:dataValidation>
    <x:dataValidation type="decimal" operator="between" sqref="E170">
      <x:formula1>0</x:formula1>
      <x:formula2>1000000000</x:formula2>
    </x:dataValidation>
    <x:dataValidation type="decimal" operator="between" sqref="E171">
      <x:formula1>0</x:formula1>
      <x:formula2>1000000000</x:formula2>
    </x:dataValidation>
    <x:dataValidation type="decimal" operator="between" sqref="E172">
      <x:formula1>0</x:formula1>
      <x:formula2>1000000000</x:formula2>
    </x:dataValidation>
    <x:dataValidation type="decimal" operator="between" sqref="E173">
      <x:formula1>0</x:formula1>
      <x:formula2>1000000000</x:formula2>
    </x:dataValidation>
    <x:dataValidation type="decimal" operator="between" sqref="E174">
      <x:formula1>0</x:formula1>
      <x:formula2>1000000000</x:formula2>
    </x:dataValidation>
    <x:dataValidation type="decimal" operator="between" sqref="E175">
      <x:formula1>0</x:formula1>
      <x:formula2>1000000000</x:formula2>
    </x:dataValidation>
    <x:dataValidation type="decimal" operator="between" sqref="E176">
      <x:formula1>0</x:formula1>
      <x:formula2>1000000000</x:formula2>
    </x:dataValidation>
    <x:dataValidation type="decimal" operator="between" sqref="E177">
      <x:formula1>0</x:formula1>
      <x:formula2>1000000000</x:formula2>
    </x:dataValidation>
    <x:dataValidation type="decimal" operator="between" sqref="E178">
      <x:formula1>0</x:formula1>
      <x:formula2>1000000000</x:formula2>
    </x:dataValidation>
    <x:dataValidation type="decimal" operator="between" sqref="E179">
      <x:formula1>0</x:formula1>
      <x:formula2>1000000000</x:formula2>
    </x:dataValidation>
    <x:dataValidation type="decimal" operator="between" sqref="E180">
      <x:formula1>0</x:formula1>
      <x:formula2>1000000000</x:formula2>
    </x:dataValidation>
    <x:dataValidation type="decimal" operator="between" sqref="E181">
      <x:formula1>0</x:formula1>
      <x:formula2>1000000000</x:formula2>
    </x:dataValidation>
    <x:dataValidation type="decimal" operator="between" sqref="E182">
      <x:formula1>0</x:formula1>
      <x:formula2>1000000000</x:formula2>
    </x:dataValidation>
    <x:dataValidation type="decimal" operator="between" sqref="E183">
      <x:formula1>0</x:formula1>
      <x:formula2>1000000000</x:formula2>
    </x:dataValidation>
    <x:dataValidation type="decimal" operator="between" sqref="E184">
      <x:formula1>0</x:formula1>
      <x:formula2>1000000000</x:formula2>
    </x:dataValidation>
    <x:dataValidation type="decimal" operator="between" sqref="E185">
      <x:formula1>0</x:formula1>
      <x:formula2>1000000000</x:formula2>
    </x:dataValidation>
    <x:dataValidation type="decimal" operator="between" sqref="E186">
      <x:formula1>0</x:formula1>
      <x:formula2>1000000000</x:formula2>
    </x:dataValidation>
    <x:dataValidation type="decimal" operator="between" sqref="E187">
      <x:formula1>0</x:formula1>
      <x:formula2>1000000000</x:formula2>
    </x:dataValidation>
    <x:dataValidation type="decimal" operator="between" sqref="E188">
      <x:formula1>0</x:formula1>
      <x:formula2>1000000000</x:formula2>
    </x:dataValidation>
    <x:dataValidation type="decimal" operator="between" sqref="E189">
      <x:formula1>0</x:formula1>
      <x:formula2>1000000000</x:formula2>
    </x:dataValidation>
    <x:dataValidation type="decimal" operator="between" sqref="E190">
      <x:formula1>0</x:formula1>
      <x:formula2>1000000000</x:formula2>
    </x:dataValidation>
    <x:dataValidation type="decimal" operator="between" sqref="E191">
      <x:formula1>0</x:formula1>
      <x:formula2>1000000000</x:formula2>
    </x:dataValidation>
    <x:dataValidation type="decimal" operator="between" sqref="E192">
      <x:formula1>0</x:formula1>
      <x:formula2>1000000000</x:formula2>
    </x:dataValidation>
    <x:dataValidation type="decimal" operator="between" sqref="E193">
      <x:formula1>0</x:formula1>
      <x:formula2>1000000000</x:formula2>
    </x:dataValidation>
    <x:dataValidation type="decimal" operator="between" sqref="E194">
      <x:formula1>0</x:formula1>
      <x:formula2>1000000000</x:formula2>
    </x:dataValidation>
    <x:dataValidation type="decimal" operator="between" sqref="E195">
      <x:formula1>0</x:formula1>
      <x:formula2>1000000000</x:formula2>
    </x:dataValidation>
    <x:dataValidation type="decimal" operator="between" sqref="E196">
      <x:formula1>0</x:formula1>
      <x:formula2>1000000000</x:formula2>
    </x:dataValidation>
    <x:dataValidation type="decimal" operator="between" sqref="E197">
      <x:formula1>0</x:formula1>
      <x:formula2>1000000000</x:formula2>
    </x:dataValidation>
    <x:dataValidation type="decimal" operator="between" sqref="E198">
      <x:formula1>0</x:formula1>
      <x:formula2>1000000000</x:formula2>
    </x:dataValidation>
    <x:dataValidation type="decimal" operator="between" sqref="E199">
      <x:formula1>0</x:formula1>
      <x:formula2>1000000000</x:formula2>
    </x:dataValidation>
    <x:dataValidation type="decimal" operator="between" sqref="E200">
      <x:formula1>0</x:formula1>
      <x:formula2>1000000000</x:formula2>
    </x:dataValidation>
    <x:dataValidation type="decimal" operator="between" sqref="E201">
      <x:formula1>0</x:formula1>
      <x:formula2>1000000000</x:formula2>
    </x:dataValidation>
    <x:dataValidation type="decimal" operator="between" sqref="E202">
      <x:formula1>0</x:formula1>
      <x:formula2>1000000000</x:formula2>
    </x:dataValidation>
    <x:dataValidation type="decimal" operator="between" sqref="E203">
      <x:formula1>0</x:formula1>
      <x:formula2>1000000000</x:formula2>
    </x:dataValidation>
    <x:dataValidation type="decimal" operator="between" sqref="E204">
      <x:formula1>0</x:formula1>
      <x:formula2>1000000000</x:formula2>
    </x:dataValidation>
    <x:dataValidation type="decimal" operator="between" sqref="E205">
      <x:formula1>0</x:formula1>
      <x:formula2>1000000000</x:formula2>
    </x:dataValidation>
    <x:dataValidation type="decimal" operator="between" sqref="E206">
      <x:formula1>0</x:formula1>
      <x:formula2>1000000000</x:formula2>
    </x:dataValidation>
    <x:dataValidation type="decimal" operator="between" sqref="E207">
      <x:formula1>0</x:formula1>
      <x:formula2>1000000000</x:formula2>
    </x:dataValidation>
    <x:dataValidation type="decimal" operator="between" sqref="E208">
      <x:formula1>0</x:formula1>
      <x:formula2>1000000000</x:formula2>
    </x:dataValidation>
    <x:dataValidation type="decimal" operator="between" sqref="E209">
      <x:formula1>0</x:formula1>
      <x:formula2>1000000000</x:formula2>
    </x:dataValidation>
    <x:dataValidation type="decimal" operator="between" sqref="E210">
      <x:formula1>0</x:formula1>
      <x:formula2>1000000000</x:formula2>
    </x:dataValidation>
    <x:dataValidation type="decimal" operator="between" sqref="E211">
      <x:formula1>0</x:formula1>
      <x:formula2>1000000000</x:formula2>
    </x:dataValidation>
    <x:dataValidation type="decimal" operator="between" sqref="E212">
      <x:formula1>0</x:formula1>
      <x:formula2>1000000000</x:formula2>
    </x:dataValidation>
    <x:dataValidation type="decimal" operator="between" sqref="E213">
      <x:formula1>0</x:formula1>
      <x:formula2>1000000000</x:formula2>
    </x:dataValidation>
    <x:dataValidation type="decimal" operator="between" sqref="E214">
      <x:formula1>0</x:formula1>
      <x:formula2>1000000000</x:formula2>
    </x:dataValidation>
    <x:dataValidation type="decimal" operator="between" sqref="E215">
      <x:formula1>0</x:formula1>
      <x:formula2>1000000000</x:formula2>
    </x:dataValidation>
    <x:dataValidation type="decimal" operator="between" sqref="E216">
      <x:formula1>0</x:formula1>
      <x:formula2>1000000000</x:formula2>
    </x:dataValidation>
    <x:dataValidation type="decimal" operator="between" sqref="E217">
      <x:formula1>0</x:formula1>
      <x:formula2>1000000000</x:formula2>
    </x:dataValidation>
    <x:dataValidation type="decimal" operator="between" sqref="E218">
      <x:formula1>0</x:formula1>
      <x:formula2>1000000000</x:formula2>
    </x:dataValidation>
    <x:dataValidation type="decimal" operator="between" sqref="E219">
      <x:formula1>0</x:formula1>
      <x:formula2>1000000000</x:formula2>
    </x:dataValidation>
    <x:dataValidation type="decimal" operator="between" sqref="E220">
      <x:formula1>0</x:formula1>
      <x:formula2>1000000000</x:formula2>
    </x:dataValidation>
    <x:dataValidation type="decimal" operator="between" sqref="E221">
      <x:formula1>0</x:formula1>
      <x:formula2>1000000000</x:formula2>
    </x:dataValidation>
    <x:dataValidation type="decimal" operator="between" sqref="E222">
      <x:formula1>0</x:formula1>
      <x:formula2>1000000000</x:formula2>
    </x:dataValidation>
    <x:dataValidation type="decimal" operator="between" sqref="E223">
      <x:formula1>0</x:formula1>
      <x:formula2>1000000000</x:formula2>
    </x:dataValidation>
    <x:dataValidation type="decimal" operator="between" sqref="E224">
      <x:formula1>0</x:formula1>
      <x:formula2>1000000000</x:formula2>
    </x:dataValidation>
    <x:dataValidation type="decimal" operator="between" sqref="E225">
      <x:formula1>0</x:formula1>
      <x:formula2>1000000000</x:formula2>
    </x:dataValidation>
    <x:dataValidation type="decimal" operator="between" sqref="E226">
      <x:formula1>0</x:formula1>
      <x:formula2>1000000000</x:formula2>
    </x:dataValidation>
    <x:dataValidation type="decimal" operator="between" sqref="E227">
      <x:formula1>0</x:formula1>
      <x:formula2>1000000000</x:formula2>
    </x:dataValidation>
    <x:dataValidation type="decimal" operator="between" sqref="E228">
      <x:formula1>0</x:formula1>
      <x:formula2>1000000000</x:formula2>
    </x:dataValidation>
    <x:dataValidation type="decimal" operator="between" sqref="E229">
      <x:formula1>0</x:formula1>
      <x:formula2>1000000000</x:formula2>
    </x:dataValidation>
    <x:dataValidation type="decimal" operator="between" sqref="E230">
      <x:formula1>0</x:formula1>
      <x:formula2>1000000000</x:formula2>
    </x:dataValidation>
    <x:dataValidation type="decimal" operator="between" sqref="E231">
      <x:formula1>0</x:formula1>
      <x:formula2>1000000000</x:formula2>
    </x:dataValidation>
    <x:dataValidation type="decimal" operator="between" sqref="E232">
      <x:formula1>0</x:formula1>
      <x:formula2>1000000000</x:formula2>
    </x:dataValidation>
    <x:dataValidation type="decimal" operator="between" sqref="E233">
      <x:formula1>0</x:formula1>
      <x:formula2>1000000000</x:formula2>
    </x:dataValidation>
    <x:dataValidation type="decimal" operator="between" sqref="E234">
      <x:formula1>0</x:formula1>
      <x:formula2>1000000000</x:formula2>
    </x:dataValidation>
    <x:dataValidation type="decimal" operator="between" sqref="E235">
      <x:formula1>0</x:formula1>
      <x:formula2>1000000000</x:formula2>
    </x:dataValidation>
    <x:dataValidation type="decimal" operator="between" sqref="E236">
      <x:formula1>0</x:formula1>
      <x:formula2>1000000000</x:formula2>
    </x:dataValidation>
    <x:dataValidation type="decimal" operator="between" sqref="E237">
      <x:formula1>0</x:formula1>
      <x:formula2>1000000000</x:formula2>
    </x:dataValidation>
    <x:dataValidation type="decimal" operator="between" sqref="E238">
      <x:formula1>0</x:formula1>
      <x:formula2>1000000000</x:formula2>
    </x:dataValidation>
    <x:dataValidation type="decimal" operator="between" sqref="E239">
      <x:formula1>0</x:formula1>
      <x:formula2>1000000000</x:formula2>
    </x:dataValidation>
    <x:dataValidation type="decimal" operator="between" sqref="E240">
      <x:formula1>0</x:formula1>
      <x:formula2>1000000000</x:formula2>
    </x:dataValidation>
    <x:dataValidation type="decimal" operator="between" sqref="E241">
      <x:formula1>0</x:formula1>
      <x:formula2>1000000000</x:formula2>
    </x:dataValidation>
    <x:dataValidation type="decimal" operator="between" sqref="E242">
      <x:formula1>0</x:formula1>
      <x:formula2>1000000000</x:formula2>
    </x:dataValidation>
    <x:dataValidation type="decimal" operator="between" sqref="E243">
      <x:formula1>0</x:formula1>
      <x:formula2>1000000000</x:formula2>
    </x:dataValidation>
    <x:dataValidation type="decimal" operator="between" sqref="E244">
      <x:formula1>0</x:formula1>
      <x:formula2>1000000000</x:formula2>
    </x:dataValidation>
    <x:dataValidation type="decimal" operator="between" sqref="E245">
      <x:formula1>0</x:formula1>
      <x:formula2>1000000000</x:formula2>
    </x:dataValidation>
    <x:dataValidation type="decimal" operator="between" sqref="E246">
      <x:formula1>0</x:formula1>
      <x:formula2>1000000000</x:formula2>
    </x:dataValidation>
    <x:dataValidation type="decimal" operator="between" sqref="E247">
      <x:formula1>0</x:formula1>
      <x:formula2>1000000000</x:formula2>
    </x:dataValidation>
    <x:dataValidation type="decimal" operator="between" sqref="E248">
      <x:formula1>0</x:formula1>
      <x:formula2>1000000000</x:formula2>
    </x:dataValidation>
    <x:dataValidation type="decimal" operator="between" sqref="E249">
      <x:formula1>0</x:formula1>
      <x:formula2>1000000000</x:formula2>
    </x:dataValidation>
    <x:dataValidation type="decimal" operator="between" sqref="E250">
      <x:formula1>0</x:formula1>
      <x:formula2>1000000000</x:formula2>
    </x:dataValidation>
    <x:dataValidation type="decimal" operator="between" sqref="E251">
      <x:formula1>0</x:formula1>
      <x:formula2>1000000000</x:formula2>
    </x:dataValidation>
    <x:dataValidation type="decimal" operator="between" sqref="E252">
      <x:formula1>0</x:formula1>
      <x:formula2>1000000000</x:formula2>
    </x:dataValidation>
    <x:dataValidation type="decimal" operator="between" sqref="E253">
      <x:formula1>0</x:formula1>
      <x:formula2>1000000000</x:formula2>
    </x:dataValidation>
    <x:dataValidation type="decimal" operator="between" sqref="E254">
      <x:formula1>0</x:formula1>
      <x:formula2>1000000000</x:formula2>
    </x:dataValidation>
    <x:dataValidation type="decimal" operator="between" sqref="E255">
      <x:formula1>0</x:formula1>
      <x:formula2>1000000000</x:formula2>
    </x:dataValidation>
    <x:dataValidation type="decimal" operator="between" sqref="E256">
      <x:formula1>0</x:formula1>
      <x:formula2>1000000000</x:formula2>
    </x:dataValidation>
    <x:dataValidation type="decimal" operator="between" sqref="E257">
      <x:formula1>0</x:formula1>
      <x:formula2>1000000000</x:formula2>
    </x:dataValidation>
    <x:dataValidation type="decimal" operator="between" sqref="E258">
      <x:formula1>0</x:formula1>
      <x:formula2>1000000000</x:formula2>
    </x:dataValidation>
    <x:dataValidation type="decimal" operator="between" sqref="E259">
      <x:formula1>0</x:formula1>
      <x:formula2>1000000000</x:formula2>
    </x:dataValidation>
    <x:dataValidation type="decimal" operator="between" sqref="E260">
      <x:formula1>0</x:formula1>
      <x:formula2>1000000000</x:formula2>
    </x:dataValidation>
    <x:dataValidation type="decimal" operator="between" sqref="E261">
      <x:formula1>0</x:formula1>
      <x:formula2>1000000000</x:formula2>
    </x:dataValidation>
    <x:dataValidation type="decimal" operator="between" sqref="E262">
      <x:formula1>0</x:formula1>
      <x:formula2>1000000000</x:formula2>
    </x:dataValidation>
    <x:dataValidation type="decimal" operator="between" sqref="E263">
      <x:formula1>0</x:formula1>
      <x:formula2>1000000000</x:formula2>
    </x:dataValidation>
    <x:dataValidation type="decimal" operator="between" sqref="E264">
      <x:formula1>0</x:formula1>
      <x:formula2>1000000000</x:formula2>
    </x:dataValidation>
    <x:dataValidation type="decimal" operator="between" sqref="E265">
      <x:formula1>0</x:formula1>
      <x:formula2>1000000000</x:formula2>
    </x:dataValidation>
    <x:dataValidation type="decimal" operator="between" sqref="E266">
      <x:formula1>0</x:formula1>
      <x:formula2>1000000000</x:formula2>
    </x:dataValidation>
    <x:dataValidation type="decimal" operator="between" sqref="E267">
      <x:formula1>0</x:formula1>
      <x:formula2>1000000000</x:formula2>
    </x:dataValidation>
    <x:dataValidation type="decimal" operator="between" sqref="E268">
      <x:formula1>0</x:formula1>
      <x:formula2>1000000000</x:formula2>
    </x:dataValidation>
    <x:dataValidation type="decimal" operator="between" sqref="E269">
      <x:formula1>0</x:formula1>
      <x:formula2>1000000000</x:formula2>
    </x:dataValidation>
    <x:dataValidation type="decimal" operator="between" sqref="E270">
      <x:formula1>0</x:formula1>
      <x:formula2>1000000000</x:formula2>
    </x:dataValidation>
    <x:dataValidation type="decimal" operator="between" sqref="E271">
      <x:formula1>0</x:formula1>
      <x:formula2>1000000000</x:formula2>
    </x:dataValidation>
    <x:dataValidation type="decimal" operator="between" sqref="E272">
      <x:formula1>0</x:formula1>
      <x:formula2>1000000000</x:formula2>
    </x:dataValidation>
    <x:dataValidation type="decimal" operator="between" sqref="E273">
      <x:formula1>0</x:formula1>
      <x:formula2>1000000000</x:formula2>
    </x:dataValidation>
    <x:dataValidation type="decimal" operator="between" sqref="E274">
      <x:formula1>0</x:formula1>
      <x:formula2>1000000000</x:formula2>
    </x:dataValidation>
    <x:dataValidation type="decimal" operator="between" sqref="E275">
      <x:formula1>0</x:formula1>
      <x:formula2>1000000000</x:formula2>
    </x:dataValidation>
    <x:dataValidation type="decimal" operator="between" sqref="E276">
      <x:formula1>0</x:formula1>
      <x:formula2>1000000000</x:formula2>
    </x:dataValidation>
    <x:dataValidation type="decimal" operator="between" sqref="E277">
      <x:formula1>0</x:formula1>
      <x:formula2>1000000000</x:formula2>
    </x:dataValidation>
    <x:dataValidation type="decimal" operator="between" sqref="E278">
      <x:formula1>0</x:formula1>
      <x:formula2>1000000000</x:formula2>
    </x:dataValidation>
    <x:dataValidation type="decimal" operator="between" sqref="E279">
      <x:formula1>0</x:formula1>
      <x:formula2>1000000000</x:formula2>
    </x:dataValidation>
    <x:dataValidation type="decimal" operator="between" sqref="E280">
      <x:formula1>0</x:formula1>
      <x:formula2>1000000000</x:formula2>
    </x:dataValidation>
    <x:dataValidation type="decimal" operator="between" sqref="E281">
      <x:formula1>0</x:formula1>
      <x:formula2>1000000000</x:formula2>
    </x:dataValidation>
    <x:dataValidation type="decimal" operator="between" sqref="E282">
      <x:formula1>0</x:formula1>
      <x:formula2>1000000000</x:formula2>
    </x:dataValidation>
    <x:dataValidation type="decimal" operator="between" sqref="E283">
      <x:formula1>0</x:formula1>
      <x:formula2>1000000000</x:formula2>
    </x:dataValidation>
    <x:dataValidation type="decimal" operator="between" sqref="E284">
      <x:formula1>0</x:formula1>
      <x:formula2>1000000000</x:formula2>
    </x:dataValidation>
    <x:dataValidation type="decimal" operator="between" sqref="E285">
      <x:formula1>0</x:formula1>
      <x:formula2>1000000000</x:formula2>
    </x:dataValidation>
    <x:dataValidation type="decimal" operator="between" sqref="E286">
      <x:formula1>0</x:formula1>
      <x:formula2>1000000000</x:formula2>
    </x:dataValidation>
    <x:dataValidation type="decimal" operator="between" sqref="E287">
      <x:formula1>0</x:formula1>
      <x:formula2>1000000000</x:formula2>
    </x:dataValidation>
    <x:dataValidation type="decimal" operator="between" sqref="E288">
      <x:formula1>0</x:formula1>
      <x:formula2>1000000000</x:formula2>
    </x:dataValidation>
    <x:dataValidation type="decimal" operator="between" sqref="E289">
      <x:formula1>0</x:formula1>
      <x:formula2>1000000000</x:formula2>
    </x:dataValidation>
    <x:dataValidation type="decimal" operator="between" sqref="E290">
      <x:formula1>0</x:formula1>
      <x:formula2>1000000000</x:formula2>
    </x:dataValidation>
    <x:dataValidation type="decimal" operator="between" sqref="E291">
      <x:formula1>0</x:formula1>
      <x:formula2>1000000000</x:formula2>
    </x:dataValidation>
    <x:dataValidation type="decimal" operator="between" sqref="E292">
      <x:formula1>0</x:formula1>
      <x:formula2>1000000000</x:formula2>
    </x:dataValidation>
    <x:dataValidation type="decimal" operator="between" sqref="E293">
      <x:formula1>0</x:formula1>
      <x:formula2>1000000000</x:formula2>
    </x:dataValidation>
    <x:dataValidation type="decimal" operator="between" sqref="E294">
      <x:formula1>0</x:formula1>
      <x:formula2>1000000000</x:formula2>
    </x:dataValidation>
    <x:dataValidation type="decimal" operator="between" sqref="E295">
      <x:formula1>0</x:formula1>
      <x:formula2>1000000000</x:formula2>
    </x:dataValidation>
    <x:dataValidation type="decimal" operator="between" sqref="E296">
      <x:formula1>0</x:formula1>
      <x:formula2>1000000000</x:formula2>
    </x:dataValidation>
    <x:dataValidation type="decimal" operator="between" sqref="E297">
      <x:formula1>0</x:formula1>
      <x:formula2>1000000000</x:formula2>
    </x:dataValidation>
    <x:dataValidation type="decimal" operator="between" sqref="E298">
      <x:formula1>0</x:formula1>
      <x:formula2>1000000000</x:formula2>
    </x:dataValidation>
    <x:dataValidation type="decimal" operator="between" sqref="E299">
      <x:formula1>0</x:formula1>
      <x:formula2>1000000000</x:formula2>
    </x:dataValidation>
    <x:dataValidation type="decimal" operator="between" sqref="E300">
      <x:formula1>0</x:formula1>
      <x:formula2>1000000000</x:formula2>
    </x:dataValidation>
    <x:dataValidation type="decimal" operator="between" sqref="E301">
      <x:formula1>0</x:formula1>
      <x:formula2>1000000000</x:formula2>
    </x:dataValidation>
    <x:dataValidation type="decimal" operator="between" sqref="E302">
      <x:formula1>0</x:formula1>
      <x:formula2>1000000000</x:formula2>
    </x:dataValidation>
    <x:dataValidation type="decimal" operator="between" sqref="E303">
      <x:formula1>0</x:formula1>
      <x:formula2>1000000000</x:formula2>
    </x:dataValidation>
    <x:dataValidation type="decimal" operator="between" sqref="E304">
      <x:formula1>0</x:formula1>
      <x:formula2>1000000000</x:formula2>
    </x:dataValidation>
    <x:dataValidation type="decimal" operator="between" sqref="E305">
      <x:formula1>0</x:formula1>
      <x:formula2>1000000000</x:formula2>
    </x:dataValidation>
    <x:dataValidation type="decimal" operator="between" sqref="E306">
      <x:formula1>0</x:formula1>
      <x:formula2>1000000000</x:formula2>
    </x:dataValidation>
    <x:dataValidation type="decimal" operator="between" sqref="E307">
      <x:formula1>0</x:formula1>
      <x:formula2>1000000000</x:formula2>
    </x:dataValidation>
    <x:dataValidation type="decimal" operator="between" sqref="E308">
      <x:formula1>0</x:formula1>
      <x:formula2>1000000000</x:formula2>
    </x:dataValidation>
    <x:dataValidation type="decimal" operator="between" sqref="E309">
      <x:formula1>0</x:formula1>
      <x:formula2>1000000000</x:formula2>
    </x:dataValidation>
    <x:dataValidation type="decimal" operator="between" sqref="E310">
      <x:formula1>0</x:formula1>
      <x:formula2>1000000000</x:formula2>
    </x:dataValidation>
    <x:dataValidation type="decimal" operator="between" sqref="E311">
      <x:formula1>0</x:formula1>
      <x:formula2>1000000000</x:formula2>
    </x:dataValidation>
    <x:dataValidation type="decimal" operator="between" sqref="E312">
      <x:formula1>0</x:formula1>
      <x:formula2>1000000000</x:formula2>
    </x:dataValidation>
    <x:dataValidation type="decimal" operator="between" sqref="E313">
      <x:formula1>0</x:formula1>
      <x:formula2>1000000000</x:formula2>
    </x:dataValidation>
    <x:dataValidation type="decimal" operator="between" sqref="E314">
      <x:formula1>0</x:formula1>
      <x:formula2>1000000000</x:formula2>
    </x:dataValidation>
    <x:dataValidation type="decimal" operator="between" sqref="E315">
      <x:formula1>0</x:formula1>
      <x:formula2>1000000000</x:formula2>
    </x:dataValidation>
    <x:dataValidation type="decimal" operator="between" sqref="E316">
      <x:formula1>0</x:formula1>
      <x:formula2>1000000000</x:formula2>
    </x:dataValidation>
    <x:dataValidation type="decimal" operator="between" sqref="E317">
      <x:formula1>0</x:formula1>
      <x:formula2>1000000000</x:formula2>
    </x:dataValidation>
    <x:dataValidation type="decimal" operator="between" sqref="E318">
      <x:formula1>0</x:formula1>
      <x:formula2>1000000000</x:formula2>
    </x:dataValidation>
    <x:dataValidation type="decimal" operator="between" sqref="E319">
      <x:formula1>0</x:formula1>
      <x:formula2>1000000000</x:formula2>
    </x:dataValidation>
    <x:dataValidation type="decimal" operator="between" sqref="E320">
      <x:formula1>0</x:formula1>
      <x:formula2>1000000000</x:formula2>
    </x:dataValidation>
    <x:dataValidation type="decimal" operator="between" sqref="E321">
      <x:formula1>0</x:formula1>
      <x:formula2>1000000000</x:formula2>
    </x:dataValidation>
    <x:dataValidation type="decimal" operator="between" sqref="E322">
      <x:formula1>0</x:formula1>
      <x:formula2>1000000000</x:formula2>
    </x:dataValidation>
    <x:dataValidation type="decimal" operator="between" sqref="E323">
      <x:formula1>0</x:formula1>
      <x:formula2>1000000000</x:formula2>
    </x:dataValidation>
    <x:dataValidation type="decimal" operator="between" sqref="E324">
      <x:formula1>0</x:formula1>
      <x:formula2>1000000000</x:formula2>
    </x:dataValidation>
    <x:dataValidation type="decimal" operator="between" sqref="E325">
      <x:formula1>0</x:formula1>
      <x:formula2>1000000000</x:formula2>
    </x:dataValidation>
    <x:dataValidation type="decimal" operator="between" sqref="E326">
      <x:formula1>0</x:formula1>
      <x:formula2>1000000000</x:formula2>
    </x:dataValidation>
    <x:dataValidation type="decimal" operator="between" sqref="E327">
      <x:formula1>0</x:formula1>
      <x:formula2>1000000000</x:formula2>
    </x:dataValidation>
    <x:dataValidation type="decimal" operator="between" sqref="E328">
      <x:formula1>0</x:formula1>
      <x:formula2>1000000000</x:formula2>
    </x:dataValidation>
    <x:dataValidation type="decimal" operator="between" sqref="E329">
      <x:formula1>0</x:formula1>
      <x:formula2>1000000000</x:formula2>
    </x:dataValidation>
    <x:dataValidation type="decimal" operator="between" sqref="E330">
      <x:formula1>0</x:formula1>
      <x:formula2>1000000000</x:formula2>
    </x:dataValidation>
    <x:dataValidation type="decimal" operator="between" sqref="E331">
      <x:formula1>0</x:formula1>
      <x:formula2>1000000000</x:formula2>
    </x:dataValidation>
    <x:dataValidation type="decimal" operator="between" sqref="E332">
      <x:formula1>0</x:formula1>
      <x:formula2>1000000000</x:formula2>
    </x:dataValidation>
    <x:dataValidation type="decimal" operator="between" sqref="E333">
      <x:formula1>0</x:formula1>
      <x:formula2>1000000000</x:formula2>
    </x:dataValidation>
    <x:dataValidation type="decimal" operator="between" sqref="E334">
      <x:formula1>0</x:formula1>
      <x:formula2>1000000000</x:formula2>
    </x:dataValidation>
    <x:dataValidation type="decimal" operator="between" sqref="E335">
      <x:formula1>0</x:formula1>
      <x:formula2>1000000000</x:formula2>
    </x:dataValidation>
    <x:dataValidation type="decimal" operator="between" sqref="E336">
      <x:formula1>0</x:formula1>
      <x:formula2>1000000000</x:formula2>
    </x:dataValidation>
    <x:dataValidation type="decimal" operator="between" sqref="E337">
      <x:formula1>0</x:formula1>
      <x:formula2>1000000000</x:formula2>
    </x:dataValidation>
    <x:dataValidation type="decimal" operator="between" sqref="E338">
      <x:formula1>0</x:formula1>
      <x:formula2>1000000000</x:formula2>
    </x:dataValidation>
    <x:dataValidation type="decimal" operator="between" sqref="E339">
      <x:formula1>0</x:formula1>
      <x:formula2>1000000000</x:formula2>
    </x:dataValidation>
    <x:dataValidation type="decimal" operator="between" sqref="E340">
      <x:formula1>0</x:formula1>
      <x:formula2>1000000000</x:formula2>
    </x:dataValidation>
    <x:dataValidation type="decimal" operator="between" sqref="E341">
      <x:formula1>0</x:formula1>
      <x:formula2>1000000000</x:formula2>
    </x:dataValidation>
    <x:dataValidation type="decimal" operator="between" sqref="E342">
      <x:formula1>0</x:formula1>
      <x:formula2>1000000000</x:formula2>
    </x:dataValidation>
    <x:dataValidation type="decimal" operator="between" sqref="E343">
      <x:formula1>0</x:formula1>
      <x:formula2>1000000000</x:formula2>
    </x:dataValidation>
    <x:dataValidation type="decimal" operator="between" sqref="E344">
      <x:formula1>0</x:formula1>
      <x:formula2>1000000000</x:formula2>
    </x:dataValidation>
    <x:dataValidation type="decimal" operator="between" sqref="E345">
      <x:formula1>0</x:formula1>
      <x:formula2>1000000000</x:formula2>
    </x:dataValidation>
    <x:dataValidation type="decimal" operator="between" sqref="E346">
      <x:formula1>0</x:formula1>
      <x:formula2>1000000000</x:formula2>
    </x:dataValidation>
    <x:dataValidation type="decimal" operator="between" sqref="E347">
      <x:formula1>0</x:formula1>
      <x:formula2>1000000000</x:formula2>
    </x:dataValidation>
    <x:dataValidation type="decimal" operator="between" sqref="E348">
      <x:formula1>0</x:formula1>
      <x:formula2>1000000000</x:formula2>
    </x:dataValidation>
    <x:dataValidation type="decimal" operator="between" sqref="E349">
      <x:formula1>0</x:formula1>
      <x:formula2>1000000000</x:formula2>
    </x:dataValidation>
    <x:dataValidation type="decimal" operator="between" sqref="E350">
      <x:formula1>0</x:formula1>
      <x:formula2>1000000000</x:formula2>
    </x:dataValidation>
    <x:dataValidation type="decimal" operator="between" sqref="E351">
      <x:formula1>0</x:formula1>
      <x:formula2>1000000000</x:formula2>
    </x:dataValidation>
    <x:dataValidation type="decimal" operator="between" sqref="E352">
      <x:formula1>0</x:formula1>
      <x:formula2>1000000000</x:formula2>
    </x:dataValidation>
    <x:dataValidation type="decimal" operator="between" sqref="E353">
      <x:formula1>0</x:formula1>
      <x:formula2>1000000000</x:formula2>
    </x:dataValidation>
    <x:dataValidation type="decimal" operator="between" sqref="E354">
      <x:formula1>0</x:formula1>
      <x:formula2>1000000000</x:formula2>
    </x:dataValidation>
    <x:dataValidation type="decimal" operator="between" sqref="E355">
      <x:formula1>0</x:formula1>
      <x:formula2>1000000000</x:formula2>
    </x:dataValidation>
    <x:dataValidation type="decimal" operator="between" sqref="E356">
      <x:formula1>0</x:formula1>
      <x:formula2>1000000000</x:formula2>
    </x:dataValidation>
    <x:dataValidation type="decimal" operator="between" sqref="E357">
      <x:formula1>0</x:formula1>
      <x:formula2>1000000000</x:formula2>
    </x:dataValidation>
    <x:dataValidation type="decimal" operator="between" sqref="E358">
      <x:formula1>0</x:formula1>
      <x:formula2>1000000000</x:formula2>
    </x:dataValidation>
    <x:dataValidation type="decimal" operator="between" sqref="E359">
      <x:formula1>0</x:formula1>
      <x:formula2>1000000000</x:formula2>
    </x:dataValidation>
    <x:dataValidation type="decimal" operator="between" sqref="E360">
      <x:formula1>0</x:formula1>
      <x:formula2>1000000000</x:formula2>
    </x:dataValidation>
    <x:dataValidation type="decimal" operator="between" sqref="E361">
      <x:formula1>0</x:formula1>
      <x:formula2>1000000000</x:formula2>
    </x:dataValidation>
    <x:dataValidation type="decimal" operator="between" sqref="E362">
      <x:formula1>0</x:formula1>
      <x:formula2>1000000000</x:formula2>
    </x:dataValidation>
    <x:dataValidation type="decimal" operator="between" sqref="E363">
      <x:formula1>0</x:formula1>
      <x:formula2>1000000000</x:formula2>
    </x:dataValidation>
    <x:dataValidation type="decimal" operator="between" sqref="E364">
      <x:formula1>0</x:formula1>
      <x:formula2>1000000000</x:formula2>
    </x:dataValidation>
    <x:dataValidation type="decimal" operator="between" sqref="E365">
      <x:formula1>0</x:formula1>
      <x:formula2>1000000000</x:formula2>
    </x:dataValidation>
    <x:dataValidation type="decimal" operator="between" sqref="E366">
      <x:formula1>0</x:formula1>
      <x:formula2>1000000000</x:formula2>
    </x:dataValidation>
    <x:dataValidation type="decimal" operator="between" sqref="E367">
      <x:formula1>0</x:formula1>
      <x:formula2>1000000000</x:formula2>
    </x:dataValidation>
    <x:dataValidation type="decimal" operator="between" sqref="E368">
      <x:formula1>0</x:formula1>
      <x:formula2>1000000000</x:formula2>
    </x:dataValidation>
    <x:dataValidation type="decimal" operator="between" sqref="E369">
      <x:formula1>0</x:formula1>
      <x:formula2>1000000000</x:formula2>
    </x:dataValidation>
    <x:dataValidation type="decimal" operator="between" sqref="E370">
      <x:formula1>0</x:formula1>
      <x:formula2>1000000000</x:formula2>
    </x:dataValidation>
    <x:dataValidation type="decimal" operator="between" sqref="E371">
      <x:formula1>0</x:formula1>
      <x:formula2>1000000000</x:formula2>
    </x:dataValidation>
    <x:dataValidation type="decimal" operator="between" sqref="E372">
      <x:formula1>0</x:formula1>
      <x:formula2>1000000000</x:formula2>
    </x:dataValidation>
    <x:dataValidation type="decimal" operator="between" sqref="E373">
      <x:formula1>0</x:formula1>
      <x:formula2>1000000000</x:formula2>
    </x:dataValidation>
    <x:dataValidation type="decimal" operator="between" sqref="E374">
      <x:formula1>0</x:formula1>
      <x:formula2>1000000000</x:formula2>
    </x:dataValidation>
    <x:dataValidation type="decimal" operator="between" sqref="E375">
      <x:formula1>0</x:formula1>
      <x:formula2>1000000000</x:formula2>
    </x:dataValidation>
    <x:dataValidation type="decimal" operator="between" sqref="E376">
      <x:formula1>0</x:formula1>
      <x:formula2>1000000000</x:formula2>
    </x:dataValidation>
    <x:dataValidation type="decimal" operator="between" sqref="E377">
      <x:formula1>0</x:formula1>
      <x:formula2>1000000000</x:formula2>
    </x:dataValidation>
    <x:dataValidation type="decimal" operator="between" sqref="E378">
      <x:formula1>0</x:formula1>
      <x:formula2>1000000000</x:formula2>
    </x:dataValidation>
  </x:dataValidations>
  <x:pageMargins left="0.7" right="0.7" top="0.75" bottom="0.75" header="0.3" footer="0.3"/>
  <x:legacyDrawing xmlns:r="http://schemas.openxmlformats.org/officeDocument/2006/relationships" r:id="Rad067860792945c3"/>
</x:worksheet>
</file>