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5e8b23e3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3ae0e349f7c4d4d"/>
    <x:sheet xmlns:r="http://schemas.openxmlformats.org/officeDocument/2006/relationships" name="Forecast" sheetId="2" r:id="Rdd7bc0030186408c"/>
    <x:sheet xmlns:r="http://schemas.openxmlformats.org/officeDocument/2006/relationships" name="Inputs" sheetId="3" r:id="R12644bd316384062"/>
  </x:sheets>
</x:workbook>
</file>

<file path=xl/comments1.xml><?xml version="1.0" encoding="utf-8"?>
<x:comments xmlns:x="http://schemas.openxmlformats.org/spreadsheetml/2006/main">
  <x:authors>
    <x:author/>
  </x:authors>
  <x:commentList>
    <x:comment ref="D7" authorId="0">
      <x:text>
        <x:r>
          <x:t>All numeric example inputs are invented by AllMarkets. Financial statement definitions: SEC Beginners Guide to Financial Statements, https://www.sec.gov/reportspubs/investor-publications/investorpubsbegfinstmtguidehtm.html. The definitions source does not supply these illustrative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-&quot;"/>
    <x:numFmt numFmtId="201" formatCode="mmm-yy"/>
    <x:numFmt numFmtId="202" formatCode="mmm d, yyyy"/>
    <x:numFmt numFmtId="203" formatCode="0.00;(0.00);0.00"/>
    <x:numFmt numFmtId="204" formatCode="0.0%;(0.0%);&quot;-&quot;"/>
  </x:numFmts>
  <x:fonts count="11">
    <x:font>
      <x:sz val="11"/>
      <x:name val="Carlito"/>
    </x:font>
    <x:font>
      <x:sz val="10"/>
      <x:color rgb="FF183247"/>
      <x:name val="Arial"/>
    </x:font>
    <x:font>
      <x:b/>
      <x:sz val="15"/>
      <x:color rgb="FF17364D"/>
      <x:name val="Arial"/>
    </x:font>
    <x:font>
      <x:i/>
      <x:sz val="10"/>
      <x:color rgb="FF18324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b/>
      <x:sz val="10"/>
      <x:color rgb="FF1832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8BA3B3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1" fontId="6" fillId="2" borderId="0" xfId="0" applyNumberFormat="1" applyFont="1" applyFill="1" applyBorder="1" applyAlignment="1">
      <x:alignment horizontal="center" vertical="center"/>
    </x:xf>
    <x:xf numFmtId="201" fontId="7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8" fillId="0" borderId="0" xfId="0" applyNumberFormat="1" applyFont="1" applyFill="1" applyBorder="1" applyAlignment="1">
      <x:alignment horizontal="right" vertical="center"/>
    </x:xf>
    <x:xf numFmtId="203" fontId="8" fillId="0" borderId="0" xfId="0" applyNumberFormat="1" applyFont="1" applyFill="1" applyBorder="1" applyAlignment="1">
      <x:alignment horizontal="right" vertical="center"/>
    </x:xf>
    <x:xf numFmtId="204" fontId="5" fillId="3" borderId="0" xfId="0" applyNumberFormat="1" applyFont="1" applyFill="1" applyBorder="1" applyAlignment="1">
      <x:alignment horizontal="right" vertical="center"/>
    </x:xf>
    <x:xf numFmtId="200" fontId="9" fillId="0" borderId="0" xfId="0" applyNumberFormat="1" applyFont="1" applyFill="1" applyBorder="1" applyAlignment="1">
      <x:alignment horizontal="right" vertical="center"/>
    </x:xf>
    <x:xf numFmtId="0" fontId="10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0" fontId="7" fillId="0" borderId="0" xfId="0" applyNumberFormat="1" applyFont="1" applyFill="1" applyBorder="1" applyAlignment="1">
      <x:alignment horizontal="right" vertical="center"/>
    </x:xf>
    <x:xf numFmtId="0" fontId="10" fillId="0" borderId="1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horizontal="right" vertical="center"/>
    </x:xf>
    <x:xf numFmtId="200" fontId="7" fillId="0" borderId="1" xfId="0" applyNumberFormat="1" applyFont="1" applyFill="1" applyBorder="1" applyAlignment="1">
      <x:alignment horizontal="right" vertical="center"/>
    </x:xf>
    <x:xf numFmtId="203" fontId="6" fillId="0" borderId="1" xfId="0" applyNumberFormat="1" applyFont="1" applyFill="1" applyBorder="1" applyAlignment="1">
      <x:alignment horizontal="right" vertical="center"/>
    </x:xf>
    <x:xf numFmtId="201" fontId="9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c166f07314fb0" /><Relationship Type="http://schemas.openxmlformats.org/officeDocument/2006/relationships/theme" Target="/xl/theme/theme1.xml" Id="R3d59a38faeb64ae3" /><Relationship Type="http://schemas.openxmlformats.org/officeDocument/2006/relationships/sharedStrings" Target="/xl/sharedStrings.xml" Id="Rf184043e0d0247f9" /><Relationship Type="http://schemas.openxmlformats.org/officeDocument/2006/relationships/worksheet" Target="/xl/worksheets/sheet1.xml" Id="Rf3ae0e349f7c4d4d" /><Relationship Type="http://schemas.openxmlformats.org/officeDocument/2006/relationships/worksheet" Target="/xl/worksheets/sheet2.xml" Id="Rdd7bc0030186408c" /><Relationship Type="http://schemas.openxmlformats.org/officeDocument/2006/relationships/worksheet" Target="/xl/worksheets/sheet3.xml" Id="R12644bd3163840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df857660f9c42e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and closing cash (USD)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19050">
              <a:solidFill>
                <a:srgbClr val="1F4E78"/>
              </a:solidFill>
              <a:prstDash val="solid"/>
            </a:ln>
          </c:spPr>
          <c:marker>
            <c:symbol val="none"/>
          </c:marker>
          <c:cat>
            <c:strRef>
              <c:f>'Summary'!$F$6:$F$17</c:f>
              <c:strCache>
                <c:ptCount val="0"/>
              </c:strCache>
            </c:strRef>
          </c:cat>
          <c:val>
            <c:numRef>
              <c:f>'Summary'!$G$6:$G$17</c:f>
              <c:numCache>
                <c:formatCode>#,##0;(#,##0);"-"</c:formatCode>
                <c:ptCount val="0"/>
              </c:numCache>
            </c:numRef>
          </c:val>
          <c:smooth val="0"/>
        </c:ser>
        <c:ser>
          <c:idx val="1"/>
          <c:order val="1"/>
          <c:tx>
            <c:v>Closing cash</c:v>
          </c:tx>
          <c:spPr>
            <a:ln xmlns:a="http://schemas.openxmlformats.org/drawingml/2006/main" w="19050">
              <a:solidFill>
                <a:srgbClr val="B57824"/>
              </a:solidFill>
              <a:prstDash val="solid"/>
            </a:ln>
          </c:spPr>
          <c:marker>
            <c:symbol val="none"/>
          </c:marker>
          <c:cat>
            <c:strRef>
              <c:f>'Summary'!$F$6:$F$17</c:f>
              <c:strCache>
                <c:ptCount val="0"/>
              </c:strCache>
            </c:strRef>
          </c:cat>
          <c:val>
            <c:numRef>
              <c:f>'Summary'!$H$6:$H$17</c:f>
              <c:numCache>
                <c:formatCode>#,##0;(#,##0);"-"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4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df857660f9c42e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9ec733fddd44c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5fc95b239c114206" /><Relationship Type="http://schemas.openxmlformats.org/officeDocument/2006/relationships/vmlDrawing" Target="/xl/drawings/vmldrawing.vml" Id="R822b4a9edd00453c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20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Service business financial projections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2" customHeight="1">
      <x:c r="A5" s="1"/>
      <x:c r="B5" s="1"/>
      <x:c r="C5" s="4" t="str">
        <x:v>Metric</x:v>
      </x:c>
      <x:c r="D5" s="5" t="str">
        <x:v>12-month forecast</x:v>
      </x:c>
      <x:c r="E5" s="5"/>
      <x:c r="F5" s="5" t="str">
        <x:v>Month</x:v>
      </x:c>
      <x:c r="G5" s="5" t="str">
        <x:v>Revenue</x:v>
      </x:c>
      <x:c r="H5" s="5" t="str">
        <x:v>Closing cash</x:v>
      </x:c>
      <x:c r="I5" s="5"/>
      <x:c r="J5" s="5"/>
      <x:c r="K5" s="5"/>
      <x:c r="L5" s="5"/>
      <x:c r="M5" s="5"/>
      <x:c r="N5" s="5"/>
      <x:c r="O5" s="5"/>
      <x:c r="P5" s="5"/>
    </x:row>
    <x:row r="6" ht="22" customHeight="1">
      <x:c r="A6" s="1"/>
      <x:c r="B6" s="1"/>
      <x:c r="C6" s="4"/>
      <x:c r="D6" s="5"/>
      <x:c r="E6" s="5"/>
      <x:c r="F6" s="36" t="str">
        <x:f>TEXT('Inputs'!E5,"mmm-yy")</x:f>
        <x:v>Oct-26</x:v>
      </x:c>
      <x:c r="G6" s="25" t="n">
        <x:f>IF(ISNUMBER('Forecast'!E6),'Forecast'!E6,NA())</x:f>
        <x:v>12000</x:v>
      </x:c>
      <x:c r="H6" s="25" t="n">
        <x:f>IF(ISNUMBER('Forecast'!E29),'Forecast'!E29,NA())</x:f>
        <x:v>12224</x:v>
      </x:c>
      <x:c r="I6" s="5"/>
      <x:c r="J6" s="5"/>
      <x:c r="K6" s="5"/>
      <x:c r="L6" s="5"/>
      <x:c r="M6" s="5"/>
      <x:c r="N6" s="5"/>
      <x:c r="O6" s="5"/>
      <x:c r="P6" s="5"/>
    </x:row>
    <x:row r="7" ht="22" customHeight="1">
      <x:c r="A7" s="1"/>
      <x:c r="B7" s="1"/>
      <x:c r="C7" s="4" t="str">
        <x:v>Revenue</x:v>
      </x:c>
      <x:c r="D7" s="5" t="n">
        <x:f>'Forecast'!D6</x:f>
        <x:v>144000</x:v>
      </x:c>
      <x:c r="E7" s="5"/>
      <x:c r="F7" s="36" t="str">
        <x:f>TEXT('Inputs'!F5,"mmm-yy")</x:f>
        <x:v>Nov-26</x:v>
      </x:c>
      <x:c r="G7" s="25" t="n">
        <x:f>IF(ISNUMBER('Forecast'!F6),'Forecast'!F6,NA())</x:f>
        <x:v>12000</x:v>
      </x:c>
      <x:c r="H7" s="25" t="n">
        <x:f>IF(ISNUMBER('Forecast'!F29),'Forecast'!F29,NA())</x:f>
        <x:v>14558.533333333333</x:v>
      </x:c>
      <x:c r="I7" s="5"/>
      <x:c r="J7" s="5"/>
      <x:c r="K7" s="5"/>
      <x:c r="L7" s="5"/>
      <x:c r="M7" s="5"/>
      <x:c r="N7" s="5"/>
      <x:c r="O7" s="5"/>
      <x:c r="P7" s="5"/>
    </x:row>
    <x:row r="8" ht="22" customHeight="1">
      <x:c r="A8" s="1"/>
      <x:c r="B8" s="1"/>
      <x:c r="C8" s="4" t="str">
        <x:v>Net income</x:v>
      </x:c>
      <x:c r="D8" s="5" t="n">
        <x:f>'Forecast'!D15</x:f>
        <x:v>31043.199999999997</x:v>
      </x:c>
      <x:c r="E8" s="5"/>
      <x:c r="F8" s="36" t="str">
        <x:f>TEXT('Inputs'!G5,"mmm-yy")</x:f>
        <x:v>Dec-26</x:v>
      </x:c>
      <x:c r="G8" s="25" t="n">
        <x:f>IF(ISNUMBER('Forecast'!G6),'Forecast'!G6,NA())</x:f>
        <x:v>12000</x:v>
      </x:c>
      <x:c r="H8" s="25" t="n">
        <x:f>IF(ISNUMBER('Forecast'!G29),'Forecast'!G29,NA())</x:f>
        <x:v>16893.6</x:v>
      </x:c>
      <x:c r="I8" s="5"/>
      <x:c r="J8" s="5"/>
      <x:c r="K8" s="5"/>
      <x:c r="L8" s="5"/>
      <x:c r="M8" s="5"/>
      <x:c r="N8" s="5"/>
      <x:c r="O8" s="5"/>
      <x:c r="P8" s="5"/>
    </x:row>
    <x:row r="9" ht="22" customHeight="1">
      <x:c r="A9" s="1"/>
      <x:c r="B9" s="1"/>
      <x:c r="C9" s="4" t="str">
        <x:v>Closing cash</x:v>
      </x:c>
      <x:c r="D9" s="5" t="n">
        <x:f>'Forecast'!P29</x:f>
        <x:v>37933.200000000004</x:v>
      </x:c>
      <x:c r="E9" s="5"/>
      <x:c r="F9" s="36" t="str">
        <x:f>TEXT('Inputs'!H5,"mmm-yy")</x:f>
        <x:v>Jan-27</x:v>
      </x:c>
      <x:c r="G9" s="25" t="n">
        <x:f>IF(ISNUMBER('Forecast'!H6),'Forecast'!H6,NA())</x:f>
        <x:v>12000</x:v>
      </x:c>
      <x:c r="H9" s="25" t="n">
        <x:f>IF(ISNUMBER('Forecast'!H29),'Forecast'!H29,NA())</x:f>
        <x:v>19229.199999999997</x:v>
      </x:c>
      <x:c r="I9" s="5"/>
      <x:c r="J9" s="5"/>
      <x:c r="K9" s="5"/>
      <x:c r="L9" s="5"/>
      <x:c r="M9" s="5"/>
      <x:c r="N9" s="5"/>
      <x:c r="O9" s="5"/>
      <x:c r="P9" s="5"/>
    </x:row>
    <x:row r="10" ht="22" customHeight="1">
      <x:c r="A10" s="1"/>
      <x:c r="B10" s="1"/>
      <x:c r="C10" s="4" t="str">
        <x:v>Lowest month-end cash</x:v>
      </x:c>
      <x:c r="D10" s="5" t="n">
        <x:f>IF(COUNT('Forecast'!E29:P29)=12,MIN('Forecast'!E29:P29),"n.a.")</x:f>
        <x:v>12224</x:v>
      </x:c>
      <x:c r="E10" s="5"/>
      <x:c r="F10" s="36" t="str">
        <x:f>TEXT('Inputs'!I5,"mmm-yy")</x:f>
        <x:v>Feb-27</x:v>
      </x:c>
      <x:c r="G10" s="25" t="n">
        <x:f>IF(ISNUMBER('Forecast'!I6),'Forecast'!I6,NA())</x:f>
        <x:v>12000</x:v>
      </x:c>
      <x:c r="H10" s="25" t="n">
        <x:f>IF(ISNUMBER('Forecast'!I29),'Forecast'!I29,NA())</x:f>
        <x:v>21565.33333333333</x:v>
      </x:c>
      <x:c r="I10" s="5"/>
      <x:c r="J10" s="5"/>
      <x:c r="K10" s="5"/>
      <x:c r="L10" s="5"/>
      <x:c r="M10" s="5"/>
      <x:c r="N10" s="5"/>
      <x:c r="O10" s="5"/>
      <x:c r="P10" s="5"/>
    </x:row>
    <x:row r="11" ht="22" customHeight="1">
      <x:c r="A11" s="1"/>
      <x:c r="B11" s="1"/>
      <x:c r="C11" s="4" t="str">
        <x:v>Largest funding gap</x:v>
      </x:c>
      <x:c r="D11" s="5" t="n">
        <x:f>'Forecast'!D45</x:f>
        <x:v>0</x:v>
      </x:c>
      <x:c r="E11" s="5"/>
      <x:c r="F11" s="36" t="str">
        <x:f>TEXT('Inputs'!J5,"mmm-yy")</x:f>
        <x:v>Mar-27</x:v>
      </x:c>
      <x:c r="G11" s="25" t="n">
        <x:f>IF(ISNUMBER('Forecast'!J6),'Forecast'!J6,NA())</x:f>
        <x:v>12000</x:v>
      </x:c>
      <x:c r="H11" s="25" t="n">
        <x:f>IF(ISNUMBER('Forecast'!J29),'Forecast'!J29,NA())</x:f>
        <x:v>23901.999999999996</x:v>
      </x:c>
      <x:c r="I11" s="5"/>
      <x:c r="J11" s="5"/>
      <x:c r="K11" s="5"/>
      <x:c r="L11" s="5"/>
      <x:c r="M11" s="5"/>
      <x:c r="N11" s="5"/>
      <x:c r="O11" s="5"/>
      <x:c r="P11" s="5"/>
    </x:row>
    <x:row r="12" ht="22" customHeight="1">
      <x:c r="A12" s="1"/>
      <x:c r="B12" s="1"/>
      <x:c r="C12" s="4" t="str">
        <x:v>Year-end assets</x:v>
      </x:c>
      <x:c r="D12" s="5" t="n">
        <x:f>'Forecast'!P35</x:f>
        <x:v>47133.200000000004</x:v>
      </x:c>
      <x:c r="E12" s="5"/>
      <x:c r="F12" s="36" t="str">
        <x:f>TEXT('Inputs'!K5,"mmm-yy")</x:f>
        <x:v>Apr-27</x:v>
      </x:c>
      <x:c r="G12" s="25" t="n">
        <x:f>IF(ISNUMBER('Forecast'!K6),'Forecast'!K6,NA())</x:f>
        <x:v>12000</x:v>
      </x:c>
      <x:c r="H12" s="25" t="n">
        <x:f>IF(ISNUMBER('Forecast'!K29),'Forecast'!K29,NA())</x:f>
        <x:v>26239.199999999997</x:v>
      </x:c>
      <x:c r="I12" s="5"/>
      <x:c r="J12" s="5"/>
      <x:c r="K12" s="5"/>
      <x:c r="L12" s="5"/>
      <x:c r="M12" s="5"/>
      <x:c r="N12" s="5"/>
      <x:c r="O12" s="5"/>
      <x:c r="P12" s="5"/>
    </x:row>
    <x:row r="13" ht="22" customHeight="1">
      <x:c r="A13" s="1"/>
      <x:c r="B13" s="1"/>
      <x:c r="C13" s="4" t="str">
        <x:v>Year-end liabilities and equity</x:v>
      </x:c>
      <x:c r="D13" s="5" t="n">
        <x:f>'Forecast'!P41</x:f>
        <x:v>47133.2</x:v>
      </x:c>
      <x:c r="E13" s="5"/>
      <x:c r="F13" s="36" t="str">
        <x:f>TEXT('Inputs'!L5,"mmm-yy")</x:f>
        <x:v>May-27</x:v>
      </x:c>
      <x:c r="G13" s="25" t="n">
        <x:f>IF(ISNUMBER('Forecast'!L6),'Forecast'!L6,NA())</x:f>
        <x:v>12000</x:v>
      </x:c>
      <x:c r="H13" s="25" t="n">
        <x:f>IF(ISNUMBER('Forecast'!L29),'Forecast'!L29,NA())</x:f>
        <x:v>28576.93333333333</x:v>
      </x:c>
      <x:c r="I13" s="5"/>
      <x:c r="J13" s="5"/>
      <x:c r="K13" s="5"/>
      <x:c r="L13" s="5"/>
      <x:c r="M13" s="5"/>
      <x:c r="N13" s="5"/>
      <x:c r="O13" s="5"/>
      <x:c r="P13" s="5"/>
    </x:row>
    <x:row r="14" ht="22" customHeight="1">
      <x:c r="A14" s="1"/>
      <x:c r="B14" s="1"/>
      <x:c r="C14" s="4"/>
      <x:c r="D14" s="5"/>
      <x:c r="E14" s="5"/>
      <x:c r="F14" s="36" t="str">
        <x:f>TEXT('Inputs'!M5,"mmm-yy")</x:f>
        <x:v>Jun-27</x:v>
      </x:c>
      <x:c r="G14" s="25" t="n">
        <x:f>IF(ISNUMBER('Forecast'!M6),'Forecast'!M6,NA())</x:f>
        <x:v>12000</x:v>
      </x:c>
      <x:c r="H14" s="25" t="n">
        <x:f>IF(ISNUMBER('Forecast'!M29),'Forecast'!M29,NA())</x:f>
        <x:v>30915.199999999997</x:v>
      </x:c>
      <x:c r="I14" s="5"/>
      <x:c r="J14" s="5"/>
      <x:c r="K14" s="5"/>
      <x:c r="L14" s="5"/>
      <x:c r="M14" s="5"/>
      <x:c r="N14" s="5"/>
      <x:c r="O14" s="5"/>
      <x:c r="P14" s="5"/>
    </x:row>
    <x:row r="15" ht="22" customHeight="1">
      <x:c r="A15" s="1"/>
      <x:c r="B15" s="1"/>
      <x:c r="C15" s="4" t="str">
        <x:v>Opening balance difference</x:v>
      </x:c>
      <x:c r="D15" s="26" t="n">
        <x:f>'Inputs'!D15</x:f>
        <x:v>0</x:v>
      </x:c>
      <x:c r="E15" s="5"/>
      <x:c r="F15" s="36" t="str">
        <x:f>TEXT('Inputs'!N5,"mmm-yy")</x:f>
        <x:v>Jul-27</x:v>
      </x:c>
      <x:c r="G15" s="25" t="n">
        <x:f>IF(ISNUMBER('Forecast'!N6),'Forecast'!N6,NA())</x:f>
        <x:v>12000</x:v>
      </x:c>
      <x:c r="H15" s="25" t="n">
        <x:f>IF(ISNUMBER('Forecast'!N29),'Forecast'!N29,NA())</x:f>
        <x:v>33254</x:v>
      </x:c>
      <x:c r="I15" s="5"/>
      <x:c r="J15" s="5"/>
      <x:c r="K15" s="5"/>
      <x:c r="L15" s="5"/>
      <x:c r="M15" s="5"/>
      <x:c r="N15" s="5"/>
      <x:c r="O15" s="5"/>
      <x:c r="P15" s="5"/>
    </x:row>
    <x:row r="16" ht="22" customHeight="1">
      <x:c r="A16" s="1"/>
      <x:c r="B16" s="1"/>
      <x:c r="C16" s="4" t="str">
        <x:v>Largest balance difference</x:v>
      </x:c>
      <x:c r="D16" s="26" t="n">
        <x:f>IF(COUNT('Forecast'!E43:P43)=12,MAX(ABS('Forecast'!E43),ABS('Forecast'!F43),ABS('Forecast'!G43),ABS('Forecast'!H43),ABS('Forecast'!I43),ABS('Forecast'!J43),ABS('Forecast'!K43),ABS('Forecast'!L43),ABS('Forecast'!M43),ABS('Forecast'!N43),ABS('Forecast'!O43),ABS('Forecast'!P43)),"n.a.")</x:f>
        <x:v>0</x:v>
      </x:c>
      <x:c r="E16" s="5"/>
      <x:c r="F16" s="36" t="str">
        <x:f>TEXT('Inputs'!O5,"mmm-yy")</x:f>
        <x:v>Aug-27</x:v>
      </x:c>
      <x:c r="G16" s="25" t="n">
        <x:f>IF(ISNUMBER('Forecast'!O6),'Forecast'!O6,NA())</x:f>
        <x:v>12000</x:v>
      </x:c>
      <x:c r="H16" s="25" t="n">
        <x:f>IF(ISNUMBER('Forecast'!O29),'Forecast'!O29,NA())</x:f>
        <x:v>35593.333333333336</x:v>
      </x:c>
      <x:c r="I16" s="5"/>
      <x:c r="J16" s="5"/>
      <x:c r="K16" s="5"/>
      <x:c r="L16" s="5"/>
      <x:c r="M16" s="5"/>
      <x:c r="N16" s="5"/>
      <x:c r="O16" s="5"/>
      <x:c r="P16" s="5"/>
    </x:row>
    <x:row r="17" ht="22" customHeight="1">
      <x:c r="A17" s="1"/>
      <x:c r="B17" s="1"/>
      <x:c r="C17" s="4"/>
      <x:c r="D17" s="5"/>
      <x:c r="E17" s="5"/>
      <x:c r="F17" s="36" t="str">
        <x:f>TEXT('Inputs'!P5,"mmm-yy")</x:f>
        <x:v>Sep-27</x:v>
      </x:c>
      <x:c r="G17" s="25" t="n">
        <x:f>IF(ISNUMBER('Forecast'!P6),'Forecast'!P6,NA())</x:f>
        <x:v>12000</x:v>
      </x:c>
      <x:c r="H17" s="25" t="n">
        <x:f>IF(ISNUMBER('Forecast'!P29),'Forecast'!P29,NA())</x:f>
        <x:v>37933.200000000004</x:v>
      </x:c>
      <x:c r="I17" s="5"/>
      <x:c r="J17" s="5"/>
      <x:c r="K17" s="5"/>
      <x:c r="L17" s="5"/>
      <x:c r="M17" s="5"/>
      <x:c r="N17" s="5"/>
      <x:c r="O17" s="5"/>
      <x:c r="P17" s="5"/>
    </x:row>
    <x:row r="18" ht="22" customHeight="1">
      <x:c r="A18" s="1"/>
      <x:c r="B18" s="1"/>
      <x:c r="C18" s="4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</x:row>
    <x:row r="19" ht="22" customHeight="1">
      <x:c r="A19" s="1"/>
      <x:c r="B19" s="1"/>
      <x:c r="C19" s="4" t="str">
        <x:v>Edit Inputs. Reconcile the opening balance before relying on the forecast.</x:v>
      </x:c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</x:row>
    <x:row r="20" ht="22" customHeight="1">
      <x:c r="A20" s="1"/>
      <x:c r="B20" s="1"/>
      <x:c r="C20" s="4" t="str">
        <x:v>Negative cash is an unresolved funding gap, not an automatic overdraft.</x:v>
      </x:c>
      <x:c r="D20" s="5"/>
      <x:c r="E20" s="5"/>
      <x:c r="F20" s="5"/>
      <x:c r="G20" s="5"/>
      <x:c r="H20" s="5"/>
      <x:c r="I20" s="5"/>
      <x:c r="J20" s="5"/>
      <x:c r="K20" s="5"/>
      <x:c r="L20" s="5"/>
      <x:c r="M20" s="5"/>
      <x:c r="N20" s="5"/>
      <x:c r="O20" s="5"/>
      <x:c r="P20" s="5"/>
    </x:row>
    <x:row r="21" ht="22" customHeight="1">
      <x:c r="A21" s="1"/>
      <x:c r="B21" s="1"/>
      <x:c r="C21" s="4" t="str">
        <x:v>Illustrative service business only. No loss carryforwards or statutory tax calculation.</x:v>
      </x:c>
      <x:c r="D21" s="5"/>
      <x:c r="E21" s="5"/>
      <x:c r="F21" s="5"/>
      <x:c r="G21" s="5"/>
      <x:c r="H21" s="5"/>
      <x:c r="I21" s="5"/>
      <x:c r="J21" s="5"/>
      <x:c r="K21" s="5"/>
      <x:c r="L21" s="5"/>
      <x:c r="M21" s="5"/>
      <x:c r="N21" s="5"/>
      <x:c r="O21" s="5"/>
      <x:c r="P21" s="5"/>
    </x:row>
    <x:row r="22" ht="22" customHeight="1">
      <x:c r="A22" s="1"/>
      <x:c r="B22" s="1"/>
      <x:c r="C22" s="4" t="str">
        <x:v>Receivables = monthly revenue x uncollected share. Payables = costs x unpaid share.</x:v>
      </x:c>
      <x:c r="D22" s="5"/>
      <x:c r="E22" s="5"/>
      <x:c r="F22" s="5"/>
      <x:c r="G22" s="5"/>
      <x:c r="H22" s="5"/>
      <x:c r="I22" s="5"/>
      <x:c r="J22" s="5"/>
      <x:c r="K22" s="5"/>
      <x:c r="L22" s="5"/>
      <x:c r="M22" s="5"/>
      <x:c r="N22" s="5"/>
      <x:c r="O22" s="5"/>
      <x:c r="P22" s="5"/>
    </x:row>
    <x:row r="23" ht="22" customHeight="1">
      <x:c r="A23" s="1"/>
      <x:c r="B23" s="1"/>
      <x:c r="C23" s="4" t="str">
        <x:v>Annual flows are summed. Year-end balance sheet uses the last month.</x:v>
      </x:c>
      <x:c r="D23" s="5"/>
      <x:c r="E23" s="5"/>
      <x:c r="F23" s="5"/>
      <x:c r="G23" s="5"/>
      <x:c r="H23" s="5"/>
      <x:c r="I23" s="5"/>
      <x:c r="J23" s="5"/>
      <x:c r="K23" s="5"/>
      <x:c r="L23" s="5"/>
      <x:c r="M23" s="5"/>
      <x:c r="N23" s="5"/>
      <x:c r="O23" s="5"/>
      <x:c r="P23" s="5"/>
    </x:row>
    <x:row r="24" ht="22" customHeight="1">
      <x:c r="A24" s="1"/>
      <x:c r="B24" s="1"/>
      <x:c r="C24" s="4"/>
      <x:c r="D24" s="5"/>
      <x:c r="E24" s="5"/>
      <x:c r="F24" s="5"/>
      <x:c r="G24" s="5"/>
      <x:c r="H24" s="5"/>
      <x:c r="I24" s="5"/>
      <x:c r="J24" s="5"/>
      <x:c r="K24" s="5"/>
      <x:c r="L24" s="5"/>
      <x:c r="M24" s="5"/>
      <x:c r="N24" s="5"/>
      <x:c r="O24" s="5"/>
      <x:c r="P24" s="5"/>
    </x:row>
    <x:row r="25" ht="22" customHeight="1">
      <x:c r="A25" s="1"/>
      <x:c r="B25" s="1"/>
      <x:c r="C25" s="4"/>
      <x:c r="D25" s="5"/>
      <x:c r="E25" s="5"/>
      <x:c r="F25" s="5"/>
      <x:c r="G25" s="5"/>
      <x:c r="H25" s="5"/>
      <x:c r="I25" s="5"/>
      <x:c r="J25" s="5"/>
      <x:c r="K25" s="5"/>
      <x:c r="L25" s="5"/>
      <x:c r="M25" s="5"/>
      <x:c r="N25" s="5"/>
      <x:c r="O25" s="5"/>
      <x:c r="P25" s="5"/>
    </x:row>
    <x:row r="26" ht="22" customHeight="1">
      <x:c r="A26" s="1"/>
      <x:c r="B26" s="1"/>
      <x:c r="C26" s="4"/>
      <x:c r="D26" s="5"/>
      <x:c r="E26" s="5"/>
      <x:c r="F26" s="5"/>
      <x:c r="G26" s="5"/>
      <x:c r="H26" s="5"/>
      <x:c r="I26" s="5"/>
      <x:c r="J26" s="5"/>
      <x:c r="K26" s="5"/>
      <x:c r="L26" s="5"/>
      <x:c r="M26" s="5"/>
      <x:c r="N26" s="5"/>
      <x:c r="O26" s="5"/>
      <x:c r="P26" s="5"/>
    </x:row>
    <x:row r="27" ht="22" customHeight="1">
      <x:c r="A27" s="1"/>
      <x:c r="B27" s="1"/>
      <x:c r="C27" s="4"/>
      <x:c r="D27" s="5"/>
      <x:c r="E27" s="5"/>
      <x:c r="F27" s="5"/>
      <x:c r="G27" s="5"/>
      <x:c r="H27" s="5"/>
      <x:c r="I27" s="5"/>
      <x:c r="J27" s="5"/>
      <x:c r="K27" s="5"/>
      <x:c r="L27" s="5"/>
      <x:c r="M27" s="5"/>
      <x:c r="N27" s="5"/>
      <x:c r="O27" s="5"/>
      <x:c r="P27" s="5"/>
    </x:row>
    <x:row r="28" ht="22" customHeight="1">
      <x:c r="A28" s="1"/>
      <x:c r="B28" s="1"/>
      <x:c r="C28" s="4"/>
      <x:c r="D28" s="5"/>
      <x:c r="E28" s="5"/>
      <x:c r="F28" s="5"/>
      <x:c r="G28" s="5"/>
      <x:c r="H28" s="5"/>
      <x:c r="I28" s="5"/>
      <x:c r="J28" s="5"/>
      <x:c r="K28" s="5"/>
      <x:c r="L28" s="5"/>
      <x:c r="M28" s="5"/>
      <x:c r="N28" s="5"/>
      <x:c r="O28" s="5"/>
      <x:c r="P28" s="5"/>
    </x:row>
    <x:row r="29" ht="22" customHeight="1">
      <x:c r="A29" s="1"/>
      <x:c r="B29" s="1"/>
      <x:c r="C29" s="4"/>
      <x:c r="D29" s="5"/>
      <x:c r="E29" s="5"/>
      <x:c r="F29" s="5"/>
      <x:c r="G29" s="5"/>
      <x:c r="H29" s="5"/>
      <x:c r="I29" s="5"/>
      <x:c r="J29" s="5"/>
      <x:c r="K29" s="5"/>
      <x:c r="L29" s="5"/>
      <x:c r="M29" s="5"/>
      <x:c r="N29" s="5"/>
      <x:c r="O29" s="5"/>
      <x:c r="P29" s="5"/>
    </x:row>
    <x:row r="30" ht="22" customHeight="1">
      <x:c r="A30" s="1"/>
      <x:c r="B30" s="1"/>
      <x:c r="C30" s="4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</x:row>
  </x:sheetData>
  <x:conditionalFormatting sqref="D15:D16">
    <x:cfRule type="expression" dxfId="3" priority="1">
      <x:formula>ABS(D15)&gt;0.005</x:formula>
    </x:cfRule>
  </x:conditionalFormatting>
  <x:pageMargins left="0.7" right="0.7" top="0.75" bottom="0.75" header="0.3" footer="0.3"/>
  <x:drawing xmlns:r="http://schemas.openxmlformats.org/officeDocument/2006/relationships" r:id="Rb9ec733fddd44c0e"/>
</x:worksheet>
</file>

<file path=xl/worksheets/sheet2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Linked monthly statements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5"/>
      <x:c r="E4" s="28" t="str">
        <x:f>IF(AND('Inputs'!$D$16="Ready",'Inputs'!E35="Ready",ISNUMBER('Inputs'!$D$7)),"Ready","Check inputs")</x:f>
        <x:v>Ready</x:v>
      </x:c>
      <x:c r="F4" s="28" t="str">
        <x:f>IF(AND('Inputs'!$D$16="Ready",'Inputs'!F35="Ready",ISNUMBER(E29)),"Ready","Check inputs")</x:f>
        <x:v>Ready</x:v>
      </x:c>
      <x:c r="G4" s="28" t="str">
        <x:f>IF(AND('Inputs'!$D$16="Ready",'Inputs'!G35="Ready",ISNUMBER(F29)),"Ready","Check inputs")</x:f>
        <x:v>Ready</x:v>
      </x:c>
      <x:c r="H4" s="28" t="str">
        <x:f>IF(AND('Inputs'!$D$16="Ready",'Inputs'!H35="Ready",ISNUMBER(G29)),"Ready","Check inputs")</x:f>
        <x:v>Ready</x:v>
      </x:c>
      <x:c r="I4" s="28" t="str">
        <x:f>IF(AND('Inputs'!$D$16="Ready",'Inputs'!I35="Ready",ISNUMBER(H29)),"Ready","Check inputs")</x:f>
        <x:v>Ready</x:v>
      </x:c>
      <x:c r="J4" s="28" t="str">
        <x:f>IF(AND('Inputs'!$D$16="Ready",'Inputs'!J35="Ready",ISNUMBER(I29)),"Ready","Check inputs")</x:f>
        <x:v>Ready</x:v>
      </x:c>
      <x:c r="K4" s="28" t="str">
        <x:f>IF(AND('Inputs'!$D$16="Ready",'Inputs'!K35="Ready",ISNUMBER(J29)),"Ready","Check inputs")</x:f>
        <x:v>Ready</x:v>
      </x:c>
      <x:c r="L4" s="28" t="str">
        <x:f>IF(AND('Inputs'!$D$16="Ready",'Inputs'!L35="Ready",ISNUMBER(K29)),"Ready","Check inputs")</x:f>
        <x:v>Ready</x:v>
      </x:c>
      <x:c r="M4" s="28" t="str">
        <x:f>IF(AND('Inputs'!$D$16="Ready",'Inputs'!M35="Ready",ISNUMBER(L29)),"Ready","Check inputs")</x:f>
        <x:v>Ready</x:v>
      </x:c>
      <x:c r="N4" s="28" t="str">
        <x:f>IF(AND('Inputs'!$D$16="Ready",'Inputs'!N35="Ready",ISNUMBER(M29)),"Ready","Check inputs")</x:f>
        <x:v>Ready</x:v>
      </x:c>
      <x:c r="O4" s="28" t="str">
        <x:f>IF(AND('Inputs'!$D$16="Ready",'Inputs'!O35="Ready",ISNUMBER(N29)),"Ready","Check inputs")</x:f>
        <x:v>Ready</x:v>
      </x:c>
      <x:c r="P4" s="28" t="str">
        <x:f>IF(AND('Inputs'!$D$16="Ready",'Inputs'!P35="Ready",ISNUMBER(O29)),"Ready","Check inputs")</x:f>
        <x:v>Ready</x:v>
      </x:c>
    </x:row>
    <x:row r="5" ht="22" customHeight="1">
      <x:c r="A5" s="1"/>
      <x:c r="B5" s="1"/>
      <x:c r="C5" s="15" t="str">
        <x:v>USD unless a ratio</x:v>
      </x:c>
      <x:c r="D5" s="16" t="str">
        <x:v>Annual</x:v>
      </x:c>
      <x:c r="E5" s="17" t="n">
        <x:f>'Inputs'!E5</x:f>
        <x:v>46296</x:v>
      </x:c>
      <x:c r="F5" s="17" t="n">
        <x:f>'Inputs'!F5</x:f>
        <x:v>46327</x:v>
      </x:c>
      <x:c r="G5" s="17" t="n">
        <x:f>'Inputs'!G5</x:f>
        <x:v>46357</x:v>
      </x:c>
      <x:c r="H5" s="17" t="n">
        <x:f>'Inputs'!H5</x:f>
        <x:v>46388</x:v>
      </x:c>
      <x:c r="I5" s="17" t="n">
        <x:f>'Inputs'!I5</x:f>
        <x:v>46419</x:v>
      </x:c>
      <x:c r="J5" s="17" t="n">
        <x:f>'Inputs'!J5</x:f>
        <x:v>46447</x:v>
      </x:c>
      <x:c r="K5" s="17" t="n">
        <x:f>'Inputs'!K5</x:f>
        <x:v>46478</x:v>
      </x:c>
      <x:c r="L5" s="17" t="n">
        <x:f>'Inputs'!L5</x:f>
        <x:v>46508</x:v>
      </x:c>
      <x:c r="M5" s="17" t="n">
        <x:f>'Inputs'!M5</x:f>
        <x:v>46539</x:v>
      </x:c>
      <x:c r="N5" s="17" t="n">
        <x:f>'Inputs'!N5</x:f>
        <x:v>46569</x:v>
      </x:c>
      <x:c r="O5" s="17" t="n">
        <x:f>'Inputs'!O5</x:f>
        <x:v>46600</x:v>
      </x:c>
      <x:c r="P5" s="17" t="n">
        <x:f>'Inputs'!P5</x:f>
        <x:v>46631</x:v>
      </x:c>
    </x:row>
    <x:row r="6" ht="22" customHeight="1">
      <x:c r="A6" s="1"/>
      <x:c r="B6" s="1"/>
      <x:c r="C6" s="32" t="str">
        <x:v>Revenue</x:v>
      </x:c>
      <x:c r="D6" s="33" t="n">
        <x:f>IF(COUNT(E6:P6)=12,SUM(E6:P6),"n.a.")</x:f>
        <x:v>144000</x:v>
      </x:c>
      <x:c r="E6" s="34" t="n">
        <x:f>IF(E4="Ready",'Inputs'!E20*'Inputs'!E21,"n.a.")</x:f>
        <x:v>12000</x:v>
      </x:c>
      <x:c r="F6" s="34" t="n">
        <x:f>IF(F4="Ready",'Inputs'!F20*'Inputs'!F21,"n.a.")</x:f>
        <x:v>12000</x:v>
      </x:c>
      <x:c r="G6" s="34" t="n">
        <x:f>IF(G4="Ready",'Inputs'!G20*'Inputs'!G21,"n.a.")</x:f>
        <x:v>12000</x:v>
      </x:c>
      <x:c r="H6" s="34" t="n">
        <x:f>IF(H4="Ready",'Inputs'!H20*'Inputs'!H21,"n.a.")</x:f>
        <x:v>12000</x:v>
      </x:c>
      <x:c r="I6" s="34" t="n">
        <x:f>IF(I4="Ready",'Inputs'!I20*'Inputs'!I21,"n.a.")</x:f>
        <x:v>12000</x:v>
      </x:c>
      <x:c r="J6" s="34" t="n">
        <x:f>IF(J4="Ready",'Inputs'!J20*'Inputs'!J21,"n.a.")</x:f>
        <x:v>12000</x:v>
      </x:c>
      <x:c r="K6" s="34" t="n">
        <x:f>IF(K4="Ready",'Inputs'!K20*'Inputs'!K21,"n.a.")</x:f>
        <x:v>12000</x:v>
      </x:c>
      <x:c r="L6" s="34" t="n">
        <x:f>IF(L4="Ready",'Inputs'!L20*'Inputs'!L21,"n.a.")</x:f>
        <x:v>12000</x:v>
      </x:c>
      <x:c r="M6" s="34" t="n">
        <x:f>IF(M4="Ready",'Inputs'!M20*'Inputs'!M21,"n.a.")</x:f>
        <x:v>12000</x:v>
      </x:c>
      <x:c r="N6" s="34" t="n">
        <x:f>IF(N4="Ready",'Inputs'!N20*'Inputs'!N21,"n.a.")</x:f>
        <x:v>12000</x:v>
      </x:c>
      <x:c r="O6" s="34" t="n">
        <x:f>IF(O4="Ready",'Inputs'!O20*'Inputs'!O21,"n.a.")</x:f>
        <x:v>12000</x:v>
      </x:c>
      <x:c r="P6" s="34" t="n">
        <x:f>IF(P4="Ready",'Inputs'!P20*'Inputs'!P21,"n.a.")</x:f>
        <x:v>12000</x:v>
      </x:c>
    </x:row>
    <x:row r="7" ht="22" customHeight="1">
      <x:c r="A7" s="1"/>
      <x:c r="B7" s="1"/>
      <x:c r="C7" s="4" t="str">
        <x:v>Direct costs</x:v>
      </x:c>
      <x:c r="D7" s="25" t="n">
        <x:f>IF(COUNT(E7:P7)=12,SUM(E7:P7),"n.a.")</x:f>
        <x:v>43200</x:v>
      </x:c>
      <x:c r="E7" s="28" t="n">
        <x:f>IF(E4="Ready",E6*'Inputs'!E22,"n.a.")</x:f>
        <x:v>3600</x:v>
      </x:c>
      <x:c r="F7" s="28" t="n">
        <x:f>IF(F4="Ready",F6*'Inputs'!F22,"n.a.")</x:f>
        <x:v>3600</x:v>
      </x:c>
      <x:c r="G7" s="28" t="n">
        <x:f>IF(G4="Ready",G6*'Inputs'!G22,"n.a.")</x:f>
        <x:v>3600</x:v>
      </x:c>
      <x:c r="H7" s="28" t="n">
        <x:f>IF(H4="Ready",H6*'Inputs'!H22,"n.a.")</x:f>
        <x:v>3600</x:v>
      </x:c>
      <x:c r="I7" s="28" t="n">
        <x:f>IF(I4="Ready",I6*'Inputs'!I22,"n.a.")</x:f>
        <x:v>3600</x:v>
      </x:c>
      <x:c r="J7" s="28" t="n">
        <x:f>IF(J4="Ready",J6*'Inputs'!J22,"n.a.")</x:f>
        <x:v>3600</x:v>
      </x:c>
      <x:c r="K7" s="28" t="n">
        <x:f>IF(K4="Ready",K6*'Inputs'!K22,"n.a.")</x:f>
        <x:v>3600</x:v>
      </x:c>
      <x:c r="L7" s="28" t="n">
        <x:f>IF(L4="Ready",L6*'Inputs'!L22,"n.a.")</x:f>
        <x:v>3600</x:v>
      </x:c>
      <x:c r="M7" s="28" t="n">
        <x:f>IF(M4="Ready",M6*'Inputs'!M22,"n.a.")</x:f>
        <x:v>3600</x:v>
      </x:c>
      <x:c r="N7" s="28" t="n">
        <x:f>IF(N4="Ready",N6*'Inputs'!N22,"n.a.")</x:f>
        <x:v>3600</x:v>
      </x:c>
      <x:c r="O7" s="28" t="n">
        <x:f>IF(O4="Ready",O6*'Inputs'!O22,"n.a.")</x:f>
        <x:v>3600</x:v>
      </x:c>
      <x:c r="P7" s="28" t="n">
        <x:f>IF(P4="Ready",P6*'Inputs'!P22,"n.a.")</x:f>
        <x:v>3600</x:v>
      </x:c>
    </x:row>
    <x:row r="8" ht="22" customHeight="1">
      <x:c r="A8" s="1"/>
      <x:c r="B8" s="1"/>
      <x:c r="C8" s="32" t="str">
        <x:v>Gross profit</x:v>
      </x:c>
      <x:c r="D8" s="33" t="n">
        <x:f>IF(COUNT(E8:P8)=12,SUM(E8:P8),"n.a.")</x:f>
        <x:v>100800</x:v>
      </x:c>
      <x:c r="E8" s="33" t="n">
        <x:f>IF(E4="Ready",E6-E7,"n.a.")</x:f>
        <x:v>8400</x:v>
      </x:c>
      <x:c r="F8" s="33" t="n">
        <x:f>IF(F4="Ready",F6-F7,"n.a.")</x:f>
        <x:v>8400</x:v>
      </x:c>
      <x:c r="G8" s="33" t="n">
        <x:f>IF(G4="Ready",G6-G7,"n.a.")</x:f>
        <x:v>8400</x:v>
      </x:c>
      <x:c r="H8" s="33" t="n">
        <x:f>IF(H4="Ready",H6-H7,"n.a.")</x:f>
        <x:v>8400</x:v>
      </x:c>
      <x:c r="I8" s="33" t="n">
        <x:f>IF(I4="Ready",I6-I7,"n.a.")</x:f>
        <x:v>8400</x:v>
      </x:c>
      <x:c r="J8" s="33" t="n">
        <x:f>IF(J4="Ready",J6-J7,"n.a.")</x:f>
        <x:v>8400</x:v>
      </x:c>
      <x:c r="K8" s="33" t="n">
        <x:f>IF(K4="Ready",K6-K7,"n.a.")</x:f>
        <x:v>8400</x:v>
      </x:c>
      <x:c r="L8" s="33" t="n">
        <x:f>IF(L4="Ready",L6-L7,"n.a.")</x:f>
        <x:v>8400</x:v>
      </x:c>
      <x:c r="M8" s="33" t="n">
        <x:f>IF(M4="Ready",M6-M7,"n.a.")</x:f>
        <x:v>8400</x:v>
      </x:c>
      <x:c r="N8" s="33" t="n">
        <x:f>IF(N4="Ready",N6-N7,"n.a.")</x:f>
        <x:v>8400</x:v>
      </x:c>
      <x:c r="O8" s="33" t="n">
        <x:f>IF(O4="Ready",O6-O7,"n.a.")</x:f>
        <x:v>8400</x:v>
      </x:c>
      <x:c r="P8" s="33" t="n">
        <x:f>IF(P4="Ready",P6-P7,"n.a.")</x:f>
        <x:v>8400</x:v>
      </x:c>
    </x:row>
    <x:row r="9" ht="22" customHeight="1">
      <x:c r="A9" s="1"/>
      <x:c r="B9" s="1"/>
      <x:c r="C9" s="4" t="str">
        <x:v>Operating expense</x:v>
      </x:c>
      <x:c r="D9" s="25" t="n">
        <x:f>IF(COUNT(E9:P9)=12,SUM(E9:P9),"n.a.")</x:f>
        <x:v>60000</x:v>
      </x:c>
      <x:c r="E9" s="28" t="n">
        <x:f>IF(E4="Ready",'Inputs'!E23,"n.a.")</x:f>
        <x:v>5000</x:v>
      </x:c>
      <x:c r="F9" s="28" t="n">
        <x:f>IF(F4="Ready",'Inputs'!F23,"n.a.")</x:f>
        <x:v>5000</x:v>
      </x:c>
      <x:c r="G9" s="28" t="n">
        <x:f>IF(G4="Ready",'Inputs'!G23,"n.a.")</x:f>
        <x:v>5000</x:v>
      </x:c>
      <x:c r="H9" s="28" t="n">
        <x:f>IF(H4="Ready",'Inputs'!H23,"n.a.")</x:f>
        <x:v>5000</x:v>
      </x:c>
      <x:c r="I9" s="28" t="n">
        <x:f>IF(I4="Ready",'Inputs'!I23,"n.a.")</x:f>
        <x:v>5000</x:v>
      </x:c>
      <x:c r="J9" s="28" t="n">
        <x:f>IF(J4="Ready",'Inputs'!J23,"n.a.")</x:f>
        <x:v>5000</x:v>
      </x:c>
      <x:c r="K9" s="28" t="n">
        <x:f>IF(K4="Ready",'Inputs'!K23,"n.a.")</x:f>
        <x:v>5000</x:v>
      </x:c>
      <x:c r="L9" s="28" t="n">
        <x:f>IF(L4="Ready",'Inputs'!L23,"n.a.")</x:f>
        <x:v>5000</x:v>
      </x:c>
      <x:c r="M9" s="28" t="n">
        <x:f>IF(M4="Ready",'Inputs'!M23,"n.a.")</x:f>
        <x:v>5000</x:v>
      </x:c>
      <x:c r="N9" s="28" t="n">
        <x:f>IF(N4="Ready",'Inputs'!N23,"n.a.")</x:f>
        <x:v>5000</x:v>
      </x:c>
      <x:c r="O9" s="28" t="n">
        <x:f>IF(O4="Ready",'Inputs'!O23,"n.a.")</x:f>
        <x:v>5000</x:v>
      </x:c>
      <x:c r="P9" s="28" t="n">
        <x:f>IF(P4="Ready",'Inputs'!P23,"n.a.")</x:f>
        <x:v>5000</x:v>
      </x:c>
    </x:row>
    <x:row r="10" ht="22" customHeight="1">
      <x:c r="A10" s="1"/>
      <x:c r="B10" s="1"/>
      <x:c r="C10" s="32" t="str">
        <x:v>EBITDA</x:v>
      </x:c>
      <x:c r="D10" s="33" t="n">
        <x:f>IF(COUNT(E10:P10)=12,SUM(E10:P10),"n.a.")</x:f>
        <x:v>40800</x:v>
      </x:c>
      <x:c r="E10" s="33" t="n">
        <x:f>IF(E4="Ready",E8-E9,"n.a.")</x:f>
        <x:v>3400</x:v>
      </x:c>
      <x:c r="F10" s="33" t="n">
        <x:f>IF(F4="Ready",F8-F9,"n.a.")</x:f>
        <x:v>3400</x:v>
      </x:c>
      <x:c r="G10" s="33" t="n">
        <x:f>IF(G4="Ready",G8-G9,"n.a.")</x:f>
        <x:v>3400</x:v>
      </x:c>
      <x:c r="H10" s="33" t="n">
        <x:f>IF(H4="Ready",H8-H9,"n.a.")</x:f>
        <x:v>3400</x:v>
      </x:c>
      <x:c r="I10" s="33" t="n">
        <x:f>IF(I4="Ready",I8-I9,"n.a.")</x:f>
        <x:v>3400</x:v>
      </x:c>
      <x:c r="J10" s="33" t="n">
        <x:f>IF(J4="Ready",J8-J9,"n.a.")</x:f>
        <x:v>3400</x:v>
      </x:c>
      <x:c r="K10" s="33" t="n">
        <x:f>IF(K4="Ready",K8-K9,"n.a.")</x:f>
        <x:v>3400</x:v>
      </x:c>
      <x:c r="L10" s="33" t="n">
        <x:f>IF(L4="Ready",L8-L9,"n.a.")</x:f>
        <x:v>3400</x:v>
      </x:c>
      <x:c r="M10" s="33" t="n">
        <x:f>IF(M4="Ready",M8-M9,"n.a.")</x:f>
        <x:v>3400</x:v>
      </x:c>
      <x:c r="N10" s="33" t="n">
        <x:f>IF(N4="Ready",N8-N9,"n.a.")</x:f>
        <x:v>3400</x:v>
      </x:c>
      <x:c r="O10" s="33" t="n">
        <x:f>IF(O4="Ready",O8-O9,"n.a.")</x:f>
        <x:v>3400</x:v>
      </x:c>
      <x:c r="P10" s="33" t="n">
        <x:f>IF(P4="Ready",P8-P9,"n.a.")</x:f>
        <x:v>3400</x:v>
      </x:c>
    </x:row>
    <x:row r="11" ht="22" customHeight="1">
      <x:c r="A11" s="1"/>
      <x:c r="B11" s="1"/>
      <x:c r="C11" s="4" t="str">
        <x:v>Depreciation</x:v>
      </x:c>
      <x:c r="D11" s="25" t="n">
        <x:f>IF(COUNT(E11:P11)=12,SUM(E11:P11),"n.a.")</x:f>
        <x:v>1800</x:v>
      </x:c>
      <x:c r="E11" s="28" t="n">
        <x:f>IF(E4="Ready",MIN('Inputs'!$D$9+'Inputs'!E26,'Inputs'!E27),"n.a.")</x:f>
        <x:v>150</x:v>
      </x:c>
      <x:c r="F11" s="28" t="n">
        <x:f>IF(F4="Ready",MIN(E34+'Inputs'!F26,'Inputs'!F27),"n.a.")</x:f>
        <x:v>150</x:v>
      </x:c>
      <x:c r="G11" s="28" t="n">
        <x:f>IF(G4="Ready",MIN(F34+'Inputs'!G26,'Inputs'!G27),"n.a.")</x:f>
        <x:v>150</x:v>
      </x:c>
      <x:c r="H11" s="28" t="n">
        <x:f>IF(H4="Ready",MIN(G34+'Inputs'!H26,'Inputs'!H27),"n.a.")</x:f>
        <x:v>150</x:v>
      </x:c>
      <x:c r="I11" s="28" t="n">
        <x:f>IF(I4="Ready",MIN(H34+'Inputs'!I26,'Inputs'!I27),"n.a.")</x:f>
        <x:v>150</x:v>
      </x:c>
      <x:c r="J11" s="28" t="n">
        <x:f>IF(J4="Ready",MIN(I34+'Inputs'!J26,'Inputs'!J27),"n.a.")</x:f>
        <x:v>150</x:v>
      </x:c>
      <x:c r="K11" s="28" t="n">
        <x:f>IF(K4="Ready",MIN(J34+'Inputs'!K26,'Inputs'!K27),"n.a.")</x:f>
        <x:v>150</x:v>
      </x:c>
      <x:c r="L11" s="28" t="n">
        <x:f>IF(L4="Ready",MIN(K34+'Inputs'!L26,'Inputs'!L27),"n.a.")</x:f>
        <x:v>150</x:v>
      </x:c>
      <x:c r="M11" s="28" t="n">
        <x:f>IF(M4="Ready",MIN(L34+'Inputs'!M26,'Inputs'!M27),"n.a.")</x:f>
        <x:v>150</x:v>
      </x:c>
      <x:c r="N11" s="28" t="n">
        <x:f>IF(N4="Ready",MIN(M34+'Inputs'!N26,'Inputs'!N27),"n.a.")</x:f>
        <x:v>150</x:v>
      </x:c>
      <x:c r="O11" s="28" t="n">
        <x:f>IF(O4="Ready",MIN(N34+'Inputs'!O26,'Inputs'!O27),"n.a.")</x:f>
        <x:v>150</x:v>
      </x:c>
      <x:c r="P11" s="28" t="n">
        <x:f>IF(P4="Ready",MIN(O34+'Inputs'!P26,'Inputs'!P27),"n.a.")</x:f>
        <x:v>150</x:v>
      </x:c>
    </x:row>
    <x:row r="12" ht="22" customHeight="1">
      <x:c r="A12" s="1"/>
      <x:c r="B12" s="1"/>
      <x:c r="C12" s="4" t="str">
        <x:v>Interest expense</x:v>
      </x:c>
      <x:c r="D12" s="25" t="n">
        <x:f>IF(COUNT(E12:P12)=12,SUM(E12:P12),"n.a.")</x:f>
        <x:v>196</x:v>
      </x:c>
      <x:c r="E12" s="28" t="n">
        <x:f>IF(E4="Ready",'Inputs'!$D$11*'Inputs'!E32/12,"n.a.")</x:f>
        <x:v>20</x:v>
      </x:c>
      <x:c r="F12" s="28" t="n">
        <x:f>IF(F4="Ready",E38*'Inputs'!F32/12,"n.a.")</x:f>
        <x:v>19.333333333333332</x:v>
      </x:c>
      <x:c r="G12" s="28" t="n">
        <x:f>IF(G4="Ready",F38*'Inputs'!G32/12,"n.a.")</x:f>
        <x:v>18.666666666666668</x:v>
      </x:c>
      <x:c r="H12" s="28" t="n">
        <x:f>IF(H4="Ready",G38*'Inputs'!H32/12,"n.a.")</x:f>
        <x:v>18</x:v>
      </x:c>
      <x:c r="I12" s="28" t="n">
        <x:f>IF(I4="Ready",H38*'Inputs'!I32/12,"n.a.")</x:f>
        <x:v>17.333333333333332</x:v>
      </x:c>
      <x:c r="J12" s="28" t="n">
        <x:f>IF(J4="Ready",I38*'Inputs'!J32/12,"n.a.")</x:f>
        <x:v>16.666666666666668</x:v>
      </x:c>
      <x:c r="K12" s="28" t="n">
        <x:f>IF(K4="Ready",J38*'Inputs'!K32/12,"n.a.")</x:f>
        <x:v>16</x:v>
      </x:c>
      <x:c r="L12" s="28" t="n">
        <x:f>IF(L4="Ready",K38*'Inputs'!L32/12,"n.a.")</x:f>
        <x:v>15.333333333333334</x:v>
      </x:c>
      <x:c r="M12" s="28" t="n">
        <x:f>IF(M4="Ready",L38*'Inputs'!M32/12,"n.a.")</x:f>
        <x:v>14.666666666666666</x:v>
      </x:c>
      <x:c r="N12" s="28" t="n">
        <x:f>IF(N4="Ready",M38*'Inputs'!N32/12,"n.a.")</x:f>
        <x:v>14</x:v>
      </x:c>
      <x:c r="O12" s="28" t="n">
        <x:f>IF(O4="Ready",N38*'Inputs'!O32/12,"n.a.")</x:f>
        <x:v>13.333333333333334</x:v>
      </x:c>
      <x:c r="P12" s="28" t="n">
        <x:f>IF(P4="Ready",O38*'Inputs'!P32/12,"n.a.")</x:f>
        <x:v>12.666666666666666</x:v>
      </x:c>
    </x:row>
    <x:row r="13" ht="22" customHeight="1">
      <x:c r="A13" s="1"/>
      <x:c r="B13" s="1"/>
      <x:c r="C13" s="4" t="str">
        <x:v>Pretax profit</x:v>
      </x:c>
      <x:c r="D13" s="25" t="n">
        <x:f>IF(COUNT(E13:P13)=12,SUM(E13:P13),"n.a.")</x:f>
        <x:v>38804</x:v>
      </x:c>
      <x:c r="E13" s="25" t="n">
        <x:f>IF(E4="Ready",E10-SUM(E11:E12),"n.a.")</x:f>
        <x:v>3230</x:v>
      </x:c>
      <x:c r="F13" s="25" t="n">
        <x:f>IF(F4="Ready",F10-SUM(F11:F12),"n.a.")</x:f>
        <x:v>3230.6666666666665</x:v>
      </x:c>
      <x:c r="G13" s="25" t="n">
        <x:f>IF(G4="Ready",G10-SUM(G11:G12),"n.a.")</x:f>
        <x:v>3231.3333333333335</x:v>
      </x:c>
      <x:c r="H13" s="25" t="n">
        <x:f>IF(H4="Ready",H10-SUM(H11:H12),"n.a.")</x:f>
        <x:v>3232</x:v>
      </x:c>
      <x:c r="I13" s="25" t="n">
        <x:f>IF(I4="Ready",I10-SUM(I11:I12),"n.a.")</x:f>
        <x:v>3232.6666666666665</x:v>
      </x:c>
      <x:c r="J13" s="25" t="n">
        <x:f>IF(J4="Ready",J10-SUM(J11:J12),"n.a.")</x:f>
        <x:v>3233.3333333333335</x:v>
      </x:c>
      <x:c r="K13" s="25" t="n">
        <x:f>IF(K4="Ready",K10-SUM(K11:K12),"n.a.")</x:f>
        <x:v>3234</x:v>
      </x:c>
      <x:c r="L13" s="25" t="n">
        <x:f>IF(L4="Ready",L10-SUM(L11:L12),"n.a.")</x:f>
        <x:v>3234.6666666666665</x:v>
      </x:c>
      <x:c r="M13" s="25" t="n">
        <x:f>IF(M4="Ready",M10-SUM(M11:M12),"n.a.")</x:f>
        <x:v>3235.3333333333335</x:v>
      </x:c>
      <x:c r="N13" s="25" t="n">
        <x:f>IF(N4="Ready",N10-SUM(N11:N12),"n.a.")</x:f>
        <x:v>3236</x:v>
      </x:c>
      <x:c r="O13" s="25" t="n">
        <x:f>IF(O4="Ready",O10-SUM(O11:O12),"n.a.")</x:f>
        <x:v>3236.6666666666665</x:v>
      </x:c>
      <x:c r="P13" s="25" t="n">
        <x:f>IF(P4="Ready",P10-SUM(P11:P12),"n.a.")</x:f>
        <x:v>3237.3333333333335</x:v>
      </x:c>
    </x:row>
    <x:row r="14" ht="22" customHeight="1">
      <x:c r="A14" s="1"/>
      <x:c r="B14" s="1"/>
      <x:c r="C14" s="4" t="str">
        <x:v>Tax expense and cash paid</x:v>
      </x:c>
      <x:c r="D14" s="25" t="n">
        <x:f>IF(COUNT(E14:P14)=12,SUM(E14:P14),"n.a.")</x:f>
        <x:v>7760.799999999999</x:v>
      </x:c>
      <x:c r="E14" s="28" t="n">
        <x:f>IF(E4="Ready",MAX(0,E13)*'Inputs'!E33,"n.a.")</x:f>
        <x:v>646</x:v>
      </x:c>
      <x:c r="F14" s="28" t="n">
        <x:f>IF(F4="Ready",MAX(0,F13)*'Inputs'!F33,"n.a.")</x:f>
        <x:v>646.1333333333333</x:v>
      </x:c>
      <x:c r="G14" s="28" t="n">
        <x:f>IF(G4="Ready",MAX(0,G13)*'Inputs'!G33,"n.a.")</x:f>
        <x:v>646.2666666666668</x:v>
      </x:c>
      <x:c r="H14" s="28" t="n">
        <x:f>IF(H4="Ready",MAX(0,H13)*'Inputs'!H33,"n.a.")</x:f>
        <x:v>646.4000000000001</x:v>
      </x:c>
      <x:c r="I14" s="28" t="n">
        <x:f>IF(I4="Ready",MAX(0,I13)*'Inputs'!I33,"n.a.")</x:f>
        <x:v>646.5333333333333</x:v>
      </x:c>
      <x:c r="J14" s="28" t="n">
        <x:f>IF(J4="Ready",MAX(0,J13)*'Inputs'!J33,"n.a.")</x:f>
        <x:v>646.6666666666667</x:v>
      </x:c>
      <x:c r="K14" s="28" t="n">
        <x:f>IF(K4="Ready",MAX(0,K13)*'Inputs'!K33,"n.a.")</x:f>
        <x:v>646.8000000000001</x:v>
      </x:c>
      <x:c r="L14" s="28" t="n">
        <x:f>IF(L4="Ready",MAX(0,L13)*'Inputs'!L33,"n.a.")</x:f>
        <x:v>646.9333333333334</x:v>
      </x:c>
      <x:c r="M14" s="28" t="n">
        <x:f>IF(M4="Ready",MAX(0,M13)*'Inputs'!M33,"n.a.")</x:f>
        <x:v>647.0666666666667</x:v>
      </x:c>
      <x:c r="N14" s="28" t="n">
        <x:f>IF(N4="Ready",MAX(0,N13)*'Inputs'!N33,"n.a.")</x:f>
        <x:v>647.2</x:v>
      </x:c>
      <x:c r="O14" s="28" t="n">
        <x:f>IF(O4="Ready",MAX(0,O13)*'Inputs'!O33,"n.a.")</x:f>
        <x:v>647.3333333333334</x:v>
      </x:c>
      <x:c r="P14" s="28" t="n">
        <x:f>IF(P4="Ready",MAX(0,P13)*'Inputs'!P33,"n.a.")</x:f>
        <x:v>647.4666666666667</x:v>
      </x:c>
    </x:row>
    <x:row r="15" ht="22" customHeight="1">
      <x:c r="A15" s="1"/>
      <x:c r="B15" s="1"/>
      <x:c r="C15" s="32" t="str">
        <x:v>Net income</x:v>
      </x:c>
      <x:c r="D15" s="33" t="n">
        <x:f>IF(COUNT(E15:P15)=12,SUM(E15:P15),"n.a.")</x:f>
        <x:v>31043.199999999997</x:v>
      </x:c>
      <x:c r="E15" s="33" t="n">
        <x:f>IF(E4="Ready",E13-E14,"n.a.")</x:f>
        <x:v>2584</x:v>
      </x:c>
      <x:c r="F15" s="33" t="n">
        <x:f>IF(F4="Ready",F13-F14,"n.a.")</x:f>
        <x:v>2584.5333333333333</x:v>
      </x:c>
      <x:c r="G15" s="33" t="n">
        <x:f>IF(G4="Ready",G13-G14,"n.a.")</x:f>
        <x:v>2585.0666666666666</x:v>
      </x:c>
      <x:c r="H15" s="33" t="n">
        <x:f>IF(H4="Ready",H13-H14,"n.a.")</x:f>
        <x:v>2585.6</x:v>
      </x:c>
      <x:c r="I15" s="33" t="n">
        <x:f>IF(I4="Ready",I13-I14,"n.a.")</x:f>
        <x:v>2586.133333333333</x:v>
      </x:c>
      <x:c r="J15" s="33" t="n">
        <x:f>IF(J4="Ready",J13-J14,"n.a.")</x:f>
        <x:v>2586.666666666667</x:v>
      </x:c>
      <x:c r="K15" s="33" t="n">
        <x:f>IF(K4="Ready",K13-K14,"n.a.")</x:f>
        <x:v>2587.2</x:v>
      </x:c>
      <x:c r="L15" s="33" t="n">
        <x:f>IF(L4="Ready",L13-L14,"n.a.")</x:f>
        <x:v>2587.733333333333</x:v>
      </x:c>
      <x:c r="M15" s="33" t="n">
        <x:f>IF(M4="Ready",M13-M14,"n.a.")</x:f>
        <x:v>2588.266666666667</x:v>
      </x:c>
      <x:c r="N15" s="33" t="n">
        <x:f>IF(N4="Ready",N13-N14,"n.a.")</x:f>
        <x:v>2588.8</x:v>
      </x:c>
      <x:c r="O15" s="33" t="n">
        <x:f>IF(O4="Ready",O13-O14,"n.a.")</x:f>
        <x:v>2589.333333333333</x:v>
      </x:c>
      <x:c r="P15" s="33" t="n">
        <x:f>IF(P4="Ready",P13-P14,"n.a.")</x:f>
        <x:v>2589.866666666667</x:v>
      </x:c>
    </x:row>
    <x:row r="16" ht="22" customHeight="1">
      <x:c r="A16" s="1"/>
      <x:c r="B16" s="1"/>
      <x:c r="C16" s="4"/>
      <x:c r="D16" s="5"/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</x:row>
    <x:row r="17" ht="22" customHeight="1">
      <x:c r="A17" s="1"/>
      <x:c r="B17" s="1"/>
      <x:c r="C17" s="4"/>
      <x:c r="D17" s="5"/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</x:row>
    <x:row r="18" ht="22" customHeight="1">
      <x:c r="A18" s="1"/>
      <x:c r="B18" s="1"/>
      <x:c r="C18" s="4" t="str">
        <x:v>Opening cash</x:v>
      </x:c>
      <x:c r="D18" s="28" t="n">
        <x:f>IF(ISNUMBER('Inputs'!D7),'Inputs'!D7,"n.a.")</x:f>
        <x:v>10000</x:v>
      </x:c>
      <x:c r="E18" s="28" t="n">
        <x:f>IF(E4="Ready",'Inputs'!$D$7,"n.a.")</x:f>
        <x:v>10000</x:v>
      </x:c>
      <x:c r="F18" s="25" t="n">
        <x:f>IF(F4="Ready",E29,"n.a.")</x:f>
        <x:v>12224</x:v>
      </x:c>
      <x:c r="G18" s="25" t="n">
        <x:f>IF(G4="Ready",F29,"n.a.")</x:f>
        <x:v>14558.533333333333</x:v>
      </x:c>
      <x:c r="H18" s="25" t="n">
        <x:f>IF(H4="Ready",G29,"n.a.")</x:f>
        <x:v>16893.6</x:v>
      </x:c>
      <x:c r="I18" s="25" t="n">
        <x:f>IF(I4="Ready",H29,"n.a.")</x:f>
        <x:v>19229.199999999997</x:v>
      </x:c>
      <x:c r="J18" s="25" t="n">
        <x:f>IF(J4="Ready",I29,"n.a.")</x:f>
        <x:v>21565.33333333333</x:v>
      </x:c>
      <x:c r="K18" s="25" t="n">
        <x:f>IF(K4="Ready",J29,"n.a.")</x:f>
        <x:v>23901.999999999996</x:v>
      </x:c>
      <x:c r="L18" s="25" t="n">
        <x:f>IF(L4="Ready",K29,"n.a.")</x:f>
        <x:v>26239.199999999997</x:v>
      </x:c>
      <x:c r="M18" s="25" t="n">
        <x:f>IF(M4="Ready",L29,"n.a.")</x:f>
        <x:v>28576.93333333333</x:v>
      </x:c>
      <x:c r="N18" s="25" t="n">
        <x:f>IF(N4="Ready",M29,"n.a.")</x:f>
        <x:v>30915.199999999997</x:v>
      </x:c>
      <x:c r="O18" s="25" t="n">
        <x:f>IF(O4="Ready",N29,"n.a.")</x:f>
        <x:v>33254</x:v>
      </x:c>
      <x:c r="P18" s="25" t="n">
        <x:f>IF(P4="Ready",O29,"n.a.")</x:f>
        <x:v>35593.333333333336</x:v>
      </x:c>
    </x:row>
    <x:row r="19" ht="22" customHeight="1">
      <x:c r="A19" s="1"/>
      <x:c r="B19" s="1"/>
      <x:c r="C19" s="4" t="str">
        <x:v>Add depreciation</x:v>
      </x:c>
      <x:c r="D19" s="25" t="n">
        <x:f>IF(COUNT(E19:P19)=12,SUM(E19:P19),"n.a.")</x:f>
        <x:v>1800</x:v>
      </x:c>
      <x:c r="E19" s="25" t="n">
        <x:f>IF(E4="Ready",E11,"n.a.")</x:f>
        <x:v>150</x:v>
      </x:c>
      <x:c r="F19" s="25" t="n">
        <x:f>IF(F4="Ready",F11,"n.a.")</x:f>
        <x:v>150</x:v>
      </x:c>
      <x:c r="G19" s="25" t="n">
        <x:f>IF(G4="Ready",G11,"n.a.")</x:f>
        <x:v>150</x:v>
      </x:c>
      <x:c r="H19" s="25" t="n">
        <x:f>IF(H4="Ready",H11,"n.a.")</x:f>
        <x:v>150</x:v>
      </x:c>
      <x:c r="I19" s="25" t="n">
        <x:f>IF(I4="Ready",I11,"n.a.")</x:f>
        <x:v>150</x:v>
      </x:c>
      <x:c r="J19" s="25" t="n">
        <x:f>IF(J4="Ready",J11,"n.a.")</x:f>
        <x:v>150</x:v>
      </x:c>
      <x:c r="K19" s="25" t="n">
        <x:f>IF(K4="Ready",K11,"n.a.")</x:f>
        <x:v>150</x:v>
      </x:c>
      <x:c r="L19" s="25" t="n">
        <x:f>IF(L4="Ready",L11,"n.a.")</x:f>
        <x:v>150</x:v>
      </x:c>
      <x:c r="M19" s="25" t="n">
        <x:f>IF(M4="Ready",M11,"n.a.")</x:f>
        <x:v>150</x:v>
      </x:c>
      <x:c r="N19" s="25" t="n">
        <x:f>IF(N4="Ready",N11,"n.a.")</x:f>
        <x:v>150</x:v>
      </x:c>
      <x:c r="O19" s="25" t="n">
        <x:f>IF(O4="Ready",O11,"n.a.")</x:f>
        <x:v>150</x:v>
      </x:c>
      <x:c r="P19" s="25" t="n">
        <x:f>IF(P4="Ready",P11,"n.a.")</x:f>
        <x:v>150</x:v>
      </x:c>
    </x:row>
    <x:row r="20" ht="22" customHeight="1">
      <x:c r="A20" s="1"/>
      <x:c r="B20" s="1"/>
      <x:c r="C20" s="4" t="str">
        <x:v>Increase in receivables</x:v>
      </x:c>
      <x:c r="D20" s="25" t="n">
        <x:f>IF(COUNT(E20:P20)=12,SUM(E20:P20),"n.a.")</x:f>
        <x:v>400</x:v>
      </x:c>
      <x:c r="E20" s="28" t="n">
        <x:f>IF(E4="Ready",E33-'Inputs'!$D$8,"n.a.")</x:f>
        <x:v>400</x:v>
      </x:c>
      <x:c r="F20" s="25" t="n">
        <x:f>IF(F4="Ready",F33-E33,"n.a.")</x:f>
        <x:v>0</x:v>
      </x:c>
      <x:c r="G20" s="25" t="n">
        <x:f>IF(G4="Ready",G33-F33,"n.a.")</x:f>
        <x:v>0</x:v>
      </x:c>
      <x:c r="H20" s="25" t="n">
        <x:f>IF(H4="Ready",H33-G33,"n.a.")</x:f>
        <x:v>0</x:v>
      </x:c>
      <x:c r="I20" s="25" t="n">
        <x:f>IF(I4="Ready",I33-H33,"n.a.")</x:f>
        <x:v>0</x:v>
      </x:c>
      <x:c r="J20" s="25" t="n">
        <x:f>IF(J4="Ready",J33-I33,"n.a.")</x:f>
        <x:v>0</x:v>
      </x:c>
      <x:c r="K20" s="25" t="n">
        <x:f>IF(K4="Ready",K33-J33,"n.a.")</x:f>
        <x:v>0</x:v>
      </x:c>
      <x:c r="L20" s="25" t="n">
        <x:f>IF(L4="Ready",L33-K33,"n.a.")</x:f>
        <x:v>0</x:v>
      </x:c>
      <x:c r="M20" s="25" t="n">
        <x:f>IF(M4="Ready",M33-L33,"n.a.")</x:f>
        <x:v>0</x:v>
      </x:c>
      <x:c r="N20" s="25" t="n">
        <x:f>IF(N4="Ready",N33-M33,"n.a.")</x:f>
        <x:v>0</x:v>
      </x:c>
      <x:c r="O20" s="25" t="n">
        <x:f>IF(O4="Ready",O33-N33,"n.a.")</x:f>
        <x:v>0</x:v>
      </x:c>
      <x:c r="P20" s="25" t="n">
        <x:f>IF(P4="Ready",P33-O33,"n.a.")</x:f>
        <x:v>0</x:v>
      </x:c>
    </x:row>
    <x:row r="21" ht="22" customHeight="1">
      <x:c r="A21" s="1"/>
      <x:c r="B21" s="1"/>
      <x:c r="C21" s="4" t="str">
        <x:v>Increase in payables</x:v>
      </x:c>
      <x:c r="D21" s="25" t="n">
        <x:f>IF(COUNT(E21:P21)=12,SUM(E21:P21),"n.a.")</x:f>
        <x:v>290</x:v>
      </x:c>
      <x:c r="E21" s="28" t="n">
        <x:f>IF(E4="Ready",E37-'Inputs'!$D$10,"n.a.")</x:f>
        <x:v>290</x:v>
      </x:c>
      <x:c r="F21" s="25" t="n">
        <x:f>IF(F4="Ready",F37-E37,"n.a.")</x:f>
        <x:v>0</x:v>
      </x:c>
      <x:c r="G21" s="25" t="n">
        <x:f>IF(G4="Ready",G37-F37,"n.a.")</x:f>
        <x:v>0</x:v>
      </x:c>
      <x:c r="H21" s="25" t="n">
        <x:f>IF(H4="Ready",H37-G37,"n.a.")</x:f>
        <x:v>0</x:v>
      </x:c>
      <x:c r="I21" s="25" t="n">
        <x:f>IF(I4="Ready",I37-H37,"n.a.")</x:f>
        <x:v>0</x:v>
      </x:c>
      <x:c r="J21" s="25" t="n">
        <x:f>IF(J4="Ready",J37-I37,"n.a.")</x:f>
        <x:v>0</x:v>
      </x:c>
      <x:c r="K21" s="25" t="n">
        <x:f>IF(K4="Ready",K37-J37,"n.a.")</x:f>
        <x:v>0</x:v>
      </x:c>
      <x:c r="L21" s="25" t="n">
        <x:f>IF(L4="Ready",L37-K37,"n.a.")</x:f>
        <x:v>0</x:v>
      </x:c>
      <x:c r="M21" s="25" t="n">
        <x:f>IF(M4="Ready",M37-L37,"n.a.")</x:f>
        <x:v>0</x:v>
      </x:c>
      <x:c r="N21" s="25" t="n">
        <x:f>IF(N4="Ready",N37-M37,"n.a.")</x:f>
        <x:v>0</x:v>
      </x:c>
      <x:c r="O21" s="25" t="n">
        <x:f>IF(O4="Ready",O37-N37,"n.a.")</x:f>
        <x:v>0</x:v>
      </x:c>
      <x:c r="P21" s="25" t="n">
        <x:f>IF(P4="Ready",P37-O37,"n.a.")</x:f>
        <x:v>0</x:v>
      </x:c>
    </x:row>
    <x:row r="22" ht="22" customHeight="1">
      <x:c r="A22" s="1"/>
      <x:c r="B22" s="1"/>
      <x:c r="C22" s="32" t="str">
        <x:v>Operating cash flow</x:v>
      </x:c>
      <x:c r="D22" s="33" t="n">
        <x:f>IF(COUNT(E22:P22)=12,SUM(E22:P22),"n.a.")</x:f>
        <x:v>32733.199999999997</x:v>
      </x:c>
      <x:c r="E22" s="33" t="n">
        <x:f>IF(E4="Ready",SUM(E15,E19,E21)-E20,"n.a.")</x:f>
        <x:v>2624</x:v>
      </x:c>
      <x:c r="F22" s="33" t="n">
        <x:f>IF(F4="Ready",SUM(F15,F19,F21)-F20,"n.a.")</x:f>
        <x:v>2734.5333333333333</x:v>
      </x:c>
      <x:c r="G22" s="33" t="n">
        <x:f>IF(G4="Ready",SUM(G15,G19,G21)-G20,"n.a.")</x:f>
        <x:v>2735.0666666666666</x:v>
      </x:c>
      <x:c r="H22" s="33" t="n">
        <x:f>IF(H4="Ready",SUM(H15,H19,H21)-H20,"n.a.")</x:f>
        <x:v>2735.6</x:v>
      </x:c>
      <x:c r="I22" s="33" t="n">
        <x:f>IF(I4="Ready",SUM(I15,I19,I21)-I20,"n.a.")</x:f>
        <x:v>2736.133333333333</x:v>
      </x:c>
      <x:c r="J22" s="33" t="n">
        <x:f>IF(J4="Ready",SUM(J15,J19,J21)-J20,"n.a.")</x:f>
        <x:v>2736.666666666667</x:v>
      </x:c>
      <x:c r="K22" s="33" t="n">
        <x:f>IF(K4="Ready",SUM(K15,K19,K21)-K20,"n.a.")</x:f>
        <x:v>2737.2</x:v>
      </x:c>
      <x:c r="L22" s="33" t="n">
        <x:f>IF(L4="Ready",SUM(L15,L19,L21)-L20,"n.a.")</x:f>
        <x:v>2737.733333333333</x:v>
      </x:c>
      <x:c r="M22" s="33" t="n">
        <x:f>IF(M4="Ready",SUM(M15,M19,M21)-M20,"n.a.")</x:f>
        <x:v>2738.266666666667</x:v>
      </x:c>
      <x:c r="N22" s="33" t="n">
        <x:f>IF(N4="Ready",SUM(N15,N19,N21)-N20,"n.a.")</x:f>
        <x:v>2738.8</x:v>
      </x:c>
      <x:c r="O22" s="33" t="n">
        <x:f>IF(O4="Ready",SUM(O15,O19,O21)-O20,"n.a.")</x:f>
        <x:v>2739.333333333333</x:v>
      </x:c>
      <x:c r="P22" s="33" t="n">
        <x:f>IF(P4="Ready",SUM(P15,P19,P21)-P20,"n.a.")</x:f>
        <x:v>2739.866666666667</x:v>
      </x:c>
    </x:row>
    <x:row r="23" ht="22" customHeight="1">
      <x:c r="A23" s="1"/>
      <x:c r="B23" s="1"/>
      <x:c r="C23" s="4" t="str">
        <x:v>Capex cash paid</x:v>
      </x:c>
      <x:c r="D23" s="25" t="n">
        <x:f>IF(COUNT(E23:P23)=12,SUM(E23:P23),"n.a.")</x:f>
        <x:v>3600</x:v>
      </x:c>
      <x:c r="E23" s="28" t="n">
        <x:f>IF(E4="Ready",'Inputs'!E26,"n.a.")</x:f>
        <x:v>300</x:v>
      </x:c>
      <x:c r="F23" s="28" t="n">
        <x:f>IF(F4="Ready",'Inputs'!F26,"n.a.")</x:f>
        <x:v>300</x:v>
      </x:c>
      <x:c r="G23" s="28" t="n">
        <x:f>IF(G4="Ready",'Inputs'!G26,"n.a.")</x:f>
        <x:v>300</x:v>
      </x:c>
      <x:c r="H23" s="28" t="n">
        <x:f>IF(H4="Ready",'Inputs'!H26,"n.a.")</x:f>
        <x:v>300</x:v>
      </x:c>
      <x:c r="I23" s="28" t="n">
        <x:f>IF(I4="Ready",'Inputs'!I26,"n.a.")</x:f>
        <x:v>300</x:v>
      </x:c>
      <x:c r="J23" s="28" t="n">
        <x:f>IF(J4="Ready",'Inputs'!J26,"n.a.")</x:f>
        <x:v>300</x:v>
      </x:c>
      <x:c r="K23" s="28" t="n">
        <x:f>IF(K4="Ready",'Inputs'!K26,"n.a.")</x:f>
        <x:v>300</x:v>
      </x:c>
      <x:c r="L23" s="28" t="n">
        <x:f>IF(L4="Ready",'Inputs'!L26,"n.a.")</x:f>
        <x:v>300</x:v>
      </x:c>
      <x:c r="M23" s="28" t="n">
        <x:f>IF(M4="Ready",'Inputs'!M26,"n.a.")</x:f>
        <x:v>300</x:v>
      </x:c>
      <x:c r="N23" s="28" t="n">
        <x:f>IF(N4="Ready",'Inputs'!N26,"n.a.")</x:f>
        <x:v>300</x:v>
      </x:c>
      <x:c r="O23" s="28" t="n">
        <x:f>IF(O4="Ready",'Inputs'!O26,"n.a.")</x:f>
        <x:v>300</x:v>
      </x:c>
      <x:c r="P23" s="28" t="n">
        <x:f>IF(P4="Ready",'Inputs'!P26,"n.a.")</x:f>
        <x:v>300</x:v>
      </x:c>
    </x:row>
    <x:row r="24" ht="22" customHeight="1">
      <x:c r="A24" s="1"/>
      <x:c r="B24" s="1"/>
      <x:c r="C24" s="4" t="str">
        <x:v>Debt drawn</x:v>
      </x:c>
      <x:c r="D24" s="25" t="n">
        <x:f>IF(COUNT(E24:P24)=12,SUM(E24:P24),"n.a.")</x:f>
        <x:v>0</x:v>
      </x:c>
      <x:c r="E24" s="28" t="n">
        <x:f>IF(E4="Ready",'Inputs'!E28,"n.a.")</x:f>
        <x:v>0</x:v>
      </x:c>
      <x:c r="F24" s="28" t="n">
        <x:f>IF(F4="Ready",'Inputs'!F28,"n.a.")</x:f>
        <x:v>0</x:v>
      </x:c>
      <x:c r="G24" s="28" t="n">
        <x:f>IF(G4="Ready",'Inputs'!G28,"n.a.")</x:f>
        <x:v>0</x:v>
      </x:c>
      <x:c r="H24" s="28" t="n">
        <x:f>IF(H4="Ready",'Inputs'!H28,"n.a.")</x:f>
        <x:v>0</x:v>
      </x:c>
      <x:c r="I24" s="28" t="n">
        <x:f>IF(I4="Ready",'Inputs'!I28,"n.a.")</x:f>
        <x:v>0</x:v>
      </x:c>
      <x:c r="J24" s="28" t="n">
        <x:f>IF(J4="Ready",'Inputs'!J28,"n.a.")</x:f>
        <x:v>0</x:v>
      </x:c>
      <x:c r="K24" s="28" t="n">
        <x:f>IF(K4="Ready",'Inputs'!K28,"n.a.")</x:f>
        <x:v>0</x:v>
      </x:c>
      <x:c r="L24" s="28" t="n">
        <x:f>IF(L4="Ready",'Inputs'!L28,"n.a.")</x:f>
        <x:v>0</x:v>
      </x:c>
      <x:c r="M24" s="28" t="n">
        <x:f>IF(M4="Ready",'Inputs'!M28,"n.a.")</x:f>
        <x:v>0</x:v>
      </x:c>
      <x:c r="N24" s="28" t="n">
        <x:f>IF(N4="Ready",'Inputs'!N28,"n.a.")</x:f>
        <x:v>0</x:v>
      </x:c>
      <x:c r="O24" s="28" t="n">
        <x:f>IF(O4="Ready",'Inputs'!O28,"n.a.")</x:f>
        <x:v>0</x:v>
      </x:c>
      <x:c r="P24" s="28" t="n">
        <x:f>IF(P4="Ready",'Inputs'!P28,"n.a.")</x:f>
        <x:v>0</x:v>
      </x:c>
    </x:row>
    <x:row r="25" ht="22" customHeight="1">
      <x:c r="A25" s="1"/>
      <x:c r="B25" s="1"/>
      <x:c r="C25" s="4" t="str">
        <x:v>Debt repaid</x:v>
      </x:c>
      <x:c r="D25" s="25" t="n">
        <x:f>IF(COUNT(E25:P25)=12,SUM(E25:P25),"n.a.")</x:f>
        <x:v>1200</x:v>
      </x:c>
      <x:c r="E25" s="28" t="n">
        <x:f>IF(E4="Ready",MIN('Inputs'!$D$11+E24,'Inputs'!E29),"n.a.")</x:f>
        <x:v>100</x:v>
      </x:c>
      <x:c r="F25" s="28" t="n">
        <x:f>IF(F4="Ready",MIN(E38+F24,'Inputs'!F29),"n.a.")</x:f>
        <x:v>100</x:v>
      </x:c>
      <x:c r="G25" s="28" t="n">
        <x:f>IF(G4="Ready",MIN(F38+G24,'Inputs'!G29),"n.a.")</x:f>
        <x:v>100</x:v>
      </x:c>
      <x:c r="H25" s="28" t="n">
        <x:f>IF(H4="Ready",MIN(G38+H24,'Inputs'!H29),"n.a.")</x:f>
        <x:v>100</x:v>
      </x:c>
      <x:c r="I25" s="28" t="n">
        <x:f>IF(I4="Ready",MIN(H38+I24,'Inputs'!I29),"n.a.")</x:f>
        <x:v>100</x:v>
      </x:c>
      <x:c r="J25" s="28" t="n">
        <x:f>IF(J4="Ready",MIN(I38+J24,'Inputs'!J29),"n.a.")</x:f>
        <x:v>100</x:v>
      </x:c>
      <x:c r="K25" s="28" t="n">
        <x:f>IF(K4="Ready",MIN(J38+K24,'Inputs'!K29),"n.a.")</x:f>
        <x:v>100</x:v>
      </x:c>
      <x:c r="L25" s="28" t="n">
        <x:f>IF(L4="Ready",MIN(K38+L24,'Inputs'!L29),"n.a.")</x:f>
        <x:v>100</x:v>
      </x:c>
      <x:c r="M25" s="28" t="n">
        <x:f>IF(M4="Ready",MIN(L38+M24,'Inputs'!M29),"n.a.")</x:f>
        <x:v>100</x:v>
      </x:c>
      <x:c r="N25" s="28" t="n">
        <x:f>IF(N4="Ready",MIN(M38+N24,'Inputs'!N29),"n.a.")</x:f>
        <x:v>100</x:v>
      </x:c>
      <x:c r="O25" s="28" t="n">
        <x:f>IF(O4="Ready",MIN(N38+O24,'Inputs'!O29),"n.a.")</x:f>
        <x:v>100</x:v>
      </x:c>
      <x:c r="P25" s="28" t="n">
        <x:f>IF(P4="Ready",MIN(O38+P24,'Inputs'!P29),"n.a.")</x:f>
        <x:v>100</x:v>
      </x:c>
    </x:row>
    <x:row r="26" ht="22" customHeight="1">
      <x:c r="A26" s="1"/>
      <x:c r="B26" s="1"/>
      <x:c r="C26" s="4" t="str">
        <x:v>Capital introduced</x:v>
      </x:c>
      <x:c r="D26" s="25" t="n">
        <x:f>IF(COUNT(E26:P26)=12,SUM(E26:P26),"n.a.")</x:f>
        <x:v>0</x:v>
      </x:c>
      <x:c r="E26" s="28" t="n">
        <x:f>IF(E4="Ready",'Inputs'!E30,"n.a.")</x:f>
        <x:v>0</x:v>
      </x:c>
      <x:c r="F26" s="28" t="n">
        <x:f>IF(F4="Ready",'Inputs'!F30,"n.a.")</x:f>
        <x:v>0</x:v>
      </x:c>
      <x:c r="G26" s="28" t="n">
        <x:f>IF(G4="Ready",'Inputs'!G30,"n.a.")</x:f>
        <x:v>0</x:v>
      </x:c>
      <x:c r="H26" s="28" t="n">
        <x:f>IF(H4="Ready",'Inputs'!H30,"n.a.")</x:f>
        <x:v>0</x:v>
      </x:c>
      <x:c r="I26" s="28" t="n">
        <x:f>IF(I4="Ready",'Inputs'!I30,"n.a.")</x:f>
        <x:v>0</x:v>
      </x:c>
      <x:c r="J26" s="28" t="n">
        <x:f>IF(J4="Ready",'Inputs'!J30,"n.a.")</x:f>
        <x:v>0</x:v>
      </x:c>
      <x:c r="K26" s="28" t="n">
        <x:f>IF(K4="Ready",'Inputs'!K30,"n.a.")</x:f>
        <x:v>0</x:v>
      </x:c>
      <x:c r="L26" s="28" t="n">
        <x:f>IF(L4="Ready",'Inputs'!L30,"n.a.")</x:f>
        <x:v>0</x:v>
      </x:c>
      <x:c r="M26" s="28" t="n">
        <x:f>IF(M4="Ready",'Inputs'!M30,"n.a.")</x:f>
        <x:v>0</x:v>
      </x:c>
      <x:c r="N26" s="28" t="n">
        <x:f>IF(N4="Ready",'Inputs'!N30,"n.a.")</x:f>
        <x:v>0</x:v>
      </x:c>
      <x:c r="O26" s="28" t="n">
        <x:f>IF(O4="Ready",'Inputs'!O30,"n.a.")</x:f>
        <x:v>0</x:v>
      </x:c>
      <x:c r="P26" s="28" t="n">
        <x:f>IF(P4="Ready",'Inputs'!P30,"n.a.")</x:f>
        <x:v>0</x:v>
      </x:c>
    </x:row>
    <x:row r="27" ht="22" customHeight="1">
      <x:c r="A27" s="1"/>
      <x:c r="B27" s="1"/>
      <x:c r="C27" s="4" t="str">
        <x:v>Owner distributions</x:v>
      </x:c>
      <x:c r="D27" s="25" t="n">
        <x:f>IF(COUNT(E27:P27)=12,SUM(E27:P27),"n.a.")</x:f>
        <x:v>0</x:v>
      </x:c>
      <x:c r="E27" s="28" t="n">
        <x:f>IF(E4="Ready",'Inputs'!E31,"n.a.")</x:f>
        <x:v>0</x:v>
      </x:c>
      <x:c r="F27" s="28" t="n">
        <x:f>IF(F4="Ready",'Inputs'!F31,"n.a.")</x:f>
        <x:v>0</x:v>
      </x:c>
      <x:c r="G27" s="28" t="n">
        <x:f>IF(G4="Ready",'Inputs'!G31,"n.a.")</x:f>
        <x:v>0</x:v>
      </x:c>
      <x:c r="H27" s="28" t="n">
        <x:f>IF(H4="Ready",'Inputs'!H31,"n.a.")</x:f>
        <x:v>0</x:v>
      </x:c>
      <x:c r="I27" s="28" t="n">
        <x:f>IF(I4="Ready",'Inputs'!I31,"n.a.")</x:f>
        <x:v>0</x:v>
      </x:c>
      <x:c r="J27" s="28" t="n">
        <x:f>IF(J4="Ready",'Inputs'!J31,"n.a.")</x:f>
        <x:v>0</x:v>
      </x:c>
      <x:c r="K27" s="28" t="n">
        <x:f>IF(K4="Ready",'Inputs'!K31,"n.a.")</x:f>
        <x:v>0</x:v>
      </x:c>
      <x:c r="L27" s="28" t="n">
        <x:f>IF(L4="Ready",'Inputs'!L31,"n.a.")</x:f>
        <x:v>0</x:v>
      </x:c>
      <x:c r="M27" s="28" t="n">
        <x:f>IF(M4="Ready",'Inputs'!M31,"n.a.")</x:f>
        <x:v>0</x:v>
      </x:c>
      <x:c r="N27" s="28" t="n">
        <x:f>IF(N4="Ready",'Inputs'!N31,"n.a.")</x:f>
        <x:v>0</x:v>
      </x:c>
      <x:c r="O27" s="28" t="n">
        <x:f>IF(O4="Ready",'Inputs'!O31,"n.a.")</x:f>
        <x:v>0</x:v>
      </x:c>
      <x:c r="P27" s="28" t="n">
        <x:f>IF(P4="Ready",'Inputs'!P31,"n.a.")</x:f>
        <x:v>0</x:v>
      </x:c>
    </x:row>
    <x:row r="28" ht="22" customHeight="1">
      <x:c r="A28" s="1"/>
      <x:c r="B28" s="1"/>
      <x:c r="C28" s="32" t="str">
        <x:v>Net change in cash</x:v>
      </x:c>
      <x:c r="D28" s="33" t="n">
        <x:f>IF(COUNT(E28:P28)=12,SUM(E28:P28),"n.a.")</x:f>
        <x:v>27933.199999999997</x:v>
      </x:c>
      <x:c r="E28" s="33" t="n">
        <x:f>IF(E4="Ready",E22-E23+E24-E25+E26-E27,"n.a.")</x:f>
        <x:v>2224</x:v>
      </x:c>
      <x:c r="F28" s="33" t="n">
        <x:f>IF(F4="Ready",F22-F23+F24-F25+F26-F27,"n.a.")</x:f>
        <x:v>2334.5333333333333</x:v>
      </x:c>
      <x:c r="G28" s="33" t="n">
        <x:f>IF(G4="Ready",G22-G23+G24-G25+G26-G27,"n.a.")</x:f>
        <x:v>2335.0666666666666</x:v>
      </x:c>
      <x:c r="H28" s="33" t="n">
        <x:f>IF(H4="Ready",H22-H23+H24-H25+H26-H27,"n.a.")</x:f>
        <x:v>2335.6</x:v>
      </x:c>
      <x:c r="I28" s="33" t="n">
        <x:f>IF(I4="Ready",I22-I23+I24-I25+I26-I27,"n.a.")</x:f>
        <x:v>2336.133333333333</x:v>
      </x:c>
      <x:c r="J28" s="33" t="n">
        <x:f>IF(J4="Ready",J22-J23+J24-J25+J26-J27,"n.a.")</x:f>
        <x:v>2336.666666666667</x:v>
      </x:c>
      <x:c r="K28" s="33" t="n">
        <x:f>IF(K4="Ready",K22-K23+K24-K25+K26-K27,"n.a.")</x:f>
        <x:v>2337.2</x:v>
      </x:c>
      <x:c r="L28" s="33" t="n">
        <x:f>IF(L4="Ready",L22-L23+L24-L25+L26-L27,"n.a.")</x:f>
        <x:v>2337.733333333333</x:v>
      </x:c>
      <x:c r="M28" s="33" t="n">
        <x:f>IF(M4="Ready",M22-M23+M24-M25+M26-M27,"n.a.")</x:f>
        <x:v>2338.266666666667</x:v>
      </x:c>
      <x:c r="N28" s="33" t="n">
        <x:f>IF(N4="Ready",N22-N23+N24-N25+N26-N27,"n.a.")</x:f>
        <x:v>2338.8</x:v>
      </x:c>
      <x:c r="O28" s="33" t="n">
        <x:f>IF(O4="Ready",O22-O23+O24-O25+O26-O27,"n.a.")</x:f>
        <x:v>2339.333333333333</x:v>
      </x:c>
      <x:c r="P28" s="33" t="n">
        <x:f>IF(P4="Ready",P22-P23+P24-P25+P26-P27,"n.a.")</x:f>
        <x:v>2339.866666666667</x:v>
      </x:c>
    </x:row>
    <x:row r="29" ht="22" customHeight="1">
      <x:c r="A29" s="1"/>
      <x:c r="B29" s="1"/>
      <x:c r="C29" s="32" t="str">
        <x:v>Closing cash</x:v>
      </x:c>
      <x:c r="D29" s="33" t="n">
        <x:f>IF(COUNT(E29:P29)=12,P29,"n.a.")</x:f>
        <x:v>37933.200000000004</x:v>
      </x:c>
      <x:c r="E29" s="33" t="n">
        <x:f>IF(E4="Ready",SUM(E18,E28),"n.a.")</x:f>
        <x:v>12224</x:v>
      </x:c>
      <x:c r="F29" s="33" t="n">
        <x:f>IF(F4="Ready",SUM(F18,F28),"n.a.")</x:f>
        <x:v>14558.533333333333</x:v>
      </x:c>
      <x:c r="G29" s="33" t="n">
        <x:f>IF(G4="Ready",SUM(G18,G28),"n.a.")</x:f>
        <x:v>16893.6</x:v>
      </x:c>
      <x:c r="H29" s="33" t="n">
        <x:f>IF(H4="Ready",SUM(H18,H28),"n.a.")</x:f>
        <x:v>19229.199999999997</x:v>
      </x:c>
      <x:c r="I29" s="33" t="n">
        <x:f>IF(I4="Ready",SUM(I18,I28),"n.a.")</x:f>
        <x:v>21565.33333333333</x:v>
      </x:c>
      <x:c r="J29" s="33" t="n">
        <x:f>IF(J4="Ready",SUM(J18,J28),"n.a.")</x:f>
        <x:v>23901.999999999996</x:v>
      </x:c>
      <x:c r="K29" s="33" t="n">
        <x:f>IF(K4="Ready",SUM(K18,K28),"n.a.")</x:f>
        <x:v>26239.199999999997</x:v>
      </x:c>
      <x:c r="L29" s="33" t="n">
        <x:f>IF(L4="Ready",SUM(L18,L28),"n.a.")</x:f>
        <x:v>28576.93333333333</x:v>
      </x:c>
      <x:c r="M29" s="33" t="n">
        <x:f>IF(M4="Ready",SUM(M18,M28),"n.a.")</x:f>
        <x:v>30915.199999999997</x:v>
      </x:c>
      <x:c r="N29" s="33" t="n">
        <x:f>IF(N4="Ready",SUM(N18,N28),"n.a.")</x:f>
        <x:v>33254</x:v>
      </x:c>
      <x:c r="O29" s="33" t="n">
        <x:f>IF(O4="Ready",SUM(O18,O28),"n.a.")</x:f>
        <x:v>35593.333333333336</x:v>
      </x:c>
      <x:c r="P29" s="33" t="n">
        <x:f>IF(P4="Ready",SUM(P18,P28),"n.a.")</x:f>
        <x:v>37933.200000000004</x:v>
      </x:c>
    </x:row>
    <x:row r="30" ht="22" customHeight="1">
      <x:c r="A30" s="1"/>
      <x:c r="B30" s="1"/>
      <x:c r="C30" s="4"/>
      <x:c r="D30" s="5"/>
      <x:c r="E30" s="5"/>
      <x:c r="F30" s="5"/>
      <x:c r="G30" s="5"/>
      <x:c r="H30" s="5"/>
      <x:c r="I30" s="5"/>
      <x:c r="J30" s="5"/>
      <x:c r="K30" s="5"/>
      <x:c r="L30" s="5"/>
      <x:c r="M30" s="5"/>
      <x:c r="N30" s="5"/>
      <x:c r="O30" s="5"/>
      <x:c r="P30" s="5"/>
    </x:row>
    <x:row r="31" ht="22" customHeight="1">
      <x:c r="A31" s="1"/>
      <x:c r="B31" s="1"/>
      <x:c r="C31" s="4"/>
      <x:c r="D31" s="5"/>
      <x:c r="E31" s="5"/>
      <x:c r="F31" s="5"/>
      <x:c r="G31" s="5"/>
      <x:c r="H31" s="5"/>
      <x:c r="I31" s="5"/>
      <x:c r="J31" s="5"/>
      <x:c r="K31" s="5"/>
      <x:c r="L31" s="5"/>
      <x:c r="M31" s="5"/>
      <x:c r="N31" s="5"/>
      <x:c r="O31" s="5"/>
      <x:c r="P31" s="5"/>
    </x:row>
    <x:row r="32" ht="22" customHeight="1">
      <x:c r="A32" s="1"/>
      <x:c r="B32" s="1"/>
      <x:c r="C32" s="4" t="str">
        <x:v>Cash</x:v>
      </x:c>
      <x:c r="D32" s="25" t="n">
        <x:f>IF(COUNT(E32:P32)=12,P32,"n.a.")</x:f>
        <x:v>37933.200000000004</x:v>
      </x:c>
      <x:c r="E32" s="25" t="n">
        <x:f>IF(E4="Ready",E29,"n.a.")</x:f>
        <x:v>12224</x:v>
      </x:c>
      <x:c r="F32" s="25" t="n">
        <x:f>IF(F4="Ready",F29,"n.a.")</x:f>
        <x:v>14558.533333333333</x:v>
      </x:c>
      <x:c r="G32" s="25" t="n">
        <x:f>IF(G4="Ready",G29,"n.a.")</x:f>
        <x:v>16893.6</x:v>
      </x:c>
      <x:c r="H32" s="25" t="n">
        <x:f>IF(H4="Ready",H29,"n.a.")</x:f>
        <x:v>19229.199999999997</x:v>
      </x:c>
      <x:c r="I32" s="25" t="n">
        <x:f>IF(I4="Ready",I29,"n.a.")</x:f>
        <x:v>21565.33333333333</x:v>
      </x:c>
      <x:c r="J32" s="25" t="n">
        <x:f>IF(J4="Ready",J29,"n.a.")</x:f>
        <x:v>23901.999999999996</x:v>
      </x:c>
      <x:c r="K32" s="25" t="n">
        <x:f>IF(K4="Ready",K29,"n.a.")</x:f>
        <x:v>26239.199999999997</x:v>
      </x:c>
      <x:c r="L32" s="25" t="n">
        <x:f>IF(L4="Ready",L29,"n.a.")</x:f>
        <x:v>28576.93333333333</x:v>
      </x:c>
      <x:c r="M32" s="25" t="n">
        <x:f>IF(M4="Ready",M29,"n.a.")</x:f>
        <x:v>30915.199999999997</x:v>
      </x:c>
      <x:c r="N32" s="25" t="n">
        <x:f>IF(N4="Ready",N29,"n.a.")</x:f>
        <x:v>33254</x:v>
      </x:c>
      <x:c r="O32" s="25" t="n">
        <x:f>IF(O4="Ready",O29,"n.a.")</x:f>
        <x:v>35593.333333333336</x:v>
      </x:c>
      <x:c r="P32" s="25" t="n">
        <x:f>IF(P4="Ready",P29,"n.a.")</x:f>
        <x:v>37933.200000000004</x:v>
      </x:c>
    </x:row>
    <x:row r="33" ht="22" customHeight="1">
      <x:c r="A33" s="1"/>
      <x:c r="B33" s="1"/>
      <x:c r="C33" s="4" t="str">
        <x:v>Receivables</x:v>
      </x:c>
      <x:c r="D33" s="25" t="n">
        <x:f>IF(COUNT(E33:P33)=12,P33,"n.a.")</x:f>
        <x:v>2400</x:v>
      </x:c>
      <x:c r="E33" s="28" t="n">
        <x:f>IF(E4="Ready",E6*'Inputs'!E24,"n.a.")</x:f>
        <x:v>2400</x:v>
      </x:c>
      <x:c r="F33" s="28" t="n">
        <x:f>IF(F4="Ready",F6*'Inputs'!F24,"n.a.")</x:f>
        <x:v>2400</x:v>
      </x:c>
      <x:c r="G33" s="28" t="n">
        <x:f>IF(G4="Ready",G6*'Inputs'!G24,"n.a.")</x:f>
        <x:v>2400</x:v>
      </x:c>
      <x:c r="H33" s="28" t="n">
        <x:f>IF(H4="Ready",H6*'Inputs'!H24,"n.a.")</x:f>
        <x:v>2400</x:v>
      </x:c>
      <x:c r="I33" s="28" t="n">
        <x:f>IF(I4="Ready",I6*'Inputs'!I24,"n.a.")</x:f>
        <x:v>2400</x:v>
      </x:c>
      <x:c r="J33" s="28" t="n">
        <x:f>IF(J4="Ready",J6*'Inputs'!J24,"n.a.")</x:f>
        <x:v>2400</x:v>
      </x:c>
      <x:c r="K33" s="28" t="n">
        <x:f>IF(K4="Ready",K6*'Inputs'!K24,"n.a.")</x:f>
        <x:v>2400</x:v>
      </x:c>
      <x:c r="L33" s="28" t="n">
        <x:f>IF(L4="Ready",L6*'Inputs'!L24,"n.a.")</x:f>
        <x:v>2400</x:v>
      </x:c>
      <x:c r="M33" s="28" t="n">
        <x:f>IF(M4="Ready",M6*'Inputs'!M24,"n.a.")</x:f>
        <x:v>2400</x:v>
      </x:c>
      <x:c r="N33" s="28" t="n">
        <x:f>IF(N4="Ready",N6*'Inputs'!N24,"n.a.")</x:f>
        <x:v>2400</x:v>
      </x:c>
      <x:c r="O33" s="28" t="n">
        <x:f>IF(O4="Ready",O6*'Inputs'!O24,"n.a.")</x:f>
        <x:v>2400</x:v>
      </x:c>
      <x:c r="P33" s="28" t="n">
        <x:f>IF(P4="Ready",P6*'Inputs'!P24,"n.a.")</x:f>
        <x:v>2400</x:v>
      </x:c>
    </x:row>
    <x:row r="34" ht="22" customHeight="1">
      <x:c r="A34" s="1"/>
      <x:c r="B34" s="1"/>
      <x:c r="C34" s="4" t="str">
        <x:v>Net fixed assets</x:v>
      </x:c>
      <x:c r="D34" s="25" t="n">
        <x:f>IF(COUNT(E34:P34)=12,P34,"n.a.")</x:f>
        <x:v>6800</x:v>
      </x:c>
      <x:c r="E34" s="28" t="n">
        <x:f>IF(E4="Ready",'Inputs'!$D$9+E23-E11,"n.a.")</x:f>
        <x:v>5150</x:v>
      </x:c>
      <x:c r="F34" s="25" t="n">
        <x:f>IF(F4="Ready",E34+F23-F11,"n.a.")</x:f>
        <x:v>5300</x:v>
      </x:c>
      <x:c r="G34" s="25" t="n">
        <x:f>IF(G4="Ready",F34+G23-G11,"n.a.")</x:f>
        <x:v>5450</x:v>
      </x:c>
      <x:c r="H34" s="25" t="n">
        <x:f>IF(H4="Ready",G34+H23-H11,"n.a.")</x:f>
        <x:v>5600</x:v>
      </x:c>
      <x:c r="I34" s="25" t="n">
        <x:f>IF(I4="Ready",H34+I23-I11,"n.a.")</x:f>
        <x:v>5750</x:v>
      </x:c>
      <x:c r="J34" s="25" t="n">
        <x:f>IF(J4="Ready",I34+J23-J11,"n.a.")</x:f>
        <x:v>5900</x:v>
      </x:c>
      <x:c r="K34" s="25" t="n">
        <x:f>IF(K4="Ready",J34+K23-K11,"n.a.")</x:f>
        <x:v>6050</x:v>
      </x:c>
      <x:c r="L34" s="25" t="n">
        <x:f>IF(L4="Ready",K34+L23-L11,"n.a.")</x:f>
        <x:v>6200</x:v>
      </x:c>
      <x:c r="M34" s="25" t="n">
        <x:f>IF(M4="Ready",L34+M23-M11,"n.a.")</x:f>
        <x:v>6350</x:v>
      </x:c>
      <x:c r="N34" s="25" t="n">
        <x:f>IF(N4="Ready",M34+N23-N11,"n.a.")</x:f>
        <x:v>6500</x:v>
      </x:c>
      <x:c r="O34" s="25" t="n">
        <x:f>IF(O4="Ready",N34+O23-O11,"n.a.")</x:f>
        <x:v>6650</x:v>
      </x:c>
      <x:c r="P34" s="25" t="n">
        <x:f>IF(P4="Ready",O34+P23-P11,"n.a.")</x:f>
        <x:v>6800</x:v>
      </x:c>
    </x:row>
    <x:row r="35" ht="22" customHeight="1">
      <x:c r="A35" s="1"/>
      <x:c r="B35" s="1"/>
      <x:c r="C35" s="32" t="str">
        <x:v>Total assets</x:v>
      </x:c>
      <x:c r="D35" s="33" t="n">
        <x:f>IF(COUNT(E35:P35)=12,P35,"n.a.")</x:f>
        <x:v>47133.200000000004</x:v>
      </x:c>
      <x:c r="E35" s="33" t="n">
        <x:f>IF(E4="Ready",SUM(E32:E34),"n.a.")</x:f>
        <x:v>19774</x:v>
      </x:c>
      <x:c r="F35" s="33" t="n">
        <x:f>IF(F4="Ready",SUM(F32:F34),"n.a.")</x:f>
        <x:v>22258.533333333333</x:v>
      </x:c>
      <x:c r="G35" s="33" t="n">
        <x:f>IF(G4="Ready",SUM(G32:G34),"n.a.")</x:f>
        <x:v>24743.6</x:v>
      </x:c>
      <x:c r="H35" s="33" t="n">
        <x:f>IF(H4="Ready",SUM(H32:H34),"n.a.")</x:f>
        <x:v>27229.199999999997</x:v>
      </x:c>
      <x:c r="I35" s="33" t="n">
        <x:f>IF(I4="Ready",SUM(I32:I34),"n.a.")</x:f>
        <x:v>29715.33333333333</x:v>
      </x:c>
      <x:c r="J35" s="33" t="n">
        <x:f>IF(J4="Ready",SUM(J32:J34),"n.a.")</x:f>
        <x:v>32201.999999999996</x:v>
      </x:c>
      <x:c r="K35" s="33" t="n">
        <x:f>IF(K4="Ready",SUM(K32:K34),"n.a.")</x:f>
        <x:v>34689.2</x:v>
      </x:c>
      <x:c r="L35" s="33" t="n">
        <x:f>IF(L4="Ready",SUM(L32:L34),"n.a.")</x:f>
        <x:v>37176.933333333334</x:v>
      </x:c>
      <x:c r="M35" s="33" t="n">
        <x:f>IF(M4="Ready",SUM(M32:M34),"n.a.")</x:f>
        <x:v>39665.2</x:v>
      </x:c>
      <x:c r="N35" s="33" t="n">
        <x:f>IF(N4="Ready",SUM(N32:N34),"n.a.")</x:f>
        <x:v>42154</x:v>
      </x:c>
      <x:c r="O35" s="33" t="n">
        <x:f>IF(O4="Ready",SUM(O32:O34),"n.a.")</x:f>
        <x:v>44643.333333333336</x:v>
      </x:c>
      <x:c r="P35" s="33" t="n">
        <x:f>IF(P4="Ready",SUM(P32:P34),"n.a.")</x:f>
        <x:v>47133.200000000004</x:v>
      </x:c>
    </x:row>
    <x:row r="36" ht="22" customHeight="1">
      <x:c r="A36" s="1"/>
      <x:c r="B36" s="1"/>
      <x:c r="C36" s="4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</x:row>
    <x:row r="37" ht="22" customHeight="1">
      <x:c r="A37" s="1"/>
      <x:c r="B37" s="1"/>
      <x:c r="C37" s="4" t="str">
        <x:v>Payables</x:v>
      </x:c>
      <x:c r="D37" s="25" t="n">
        <x:f>IF(COUNT(E37:P37)=12,P37,"n.a.")</x:f>
        <x:v>1290</x:v>
      </x:c>
      <x:c r="E37" s="28" t="n">
        <x:f>IF(E4="Ready",SUM(E7,E9)*'Inputs'!E25,"n.a.")</x:f>
        <x:v>1290</x:v>
      </x:c>
      <x:c r="F37" s="28" t="n">
        <x:f>IF(F4="Ready",SUM(F7,F9)*'Inputs'!F25,"n.a.")</x:f>
        <x:v>1290</x:v>
      </x:c>
      <x:c r="G37" s="28" t="n">
        <x:f>IF(G4="Ready",SUM(G7,G9)*'Inputs'!G25,"n.a.")</x:f>
        <x:v>1290</x:v>
      </x:c>
      <x:c r="H37" s="28" t="n">
        <x:f>IF(H4="Ready",SUM(H7,H9)*'Inputs'!H25,"n.a.")</x:f>
        <x:v>1290</x:v>
      </x:c>
      <x:c r="I37" s="28" t="n">
        <x:f>IF(I4="Ready",SUM(I7,I9)*'Inputs'!I25,"n.a.")</x:f>
        <x:v>1290</x:v>
      </x:c>
      <x:c r="J37" s="28" t="n">
        <x:f>IF(J4="Ready",SUM(J7,J9)*'Inputs'!J25,"n.a.")</x:f>
        <x:v>1290</x:v>
      </x:c>
      <x:c r="K37" s="28" t="n">
        <x:f>IF(K4="Ready",SUM(K7,K9)*'Inputs'!K25,"n.a.")</x:f>
        <x:v>1290</x:v>
      </x:c>
      <x:c r="L37" s="28" t="n">
        <x:f>IF(L4="Ready",SUM(L7,L9)*'Inputs'!L25,"n.a.")</x:f>
        <x:v>1290</x:v>
      </x:c>
      <x:c r="M37" s="28" t="n">
        <x:f>IF(M4="Ready",SUM(M7,M9)*'Inputs'!M25,"n.a.")</x:f>
        <x:v>1290</x:v>
      </x:c>
      <x:c r="N37" s="28" t="n">
        <x:f>IF(N4="Ready",SUM(N7,N9)*'Inputs'!N25,"n.a.")</x:f>
        <x:v>1290</x:v>
      </x:c>
      <x:c r="O37" s="28" t="n">
        <x:f>IF(O4="Ready",SUM(O7,O9)*'Inputs'!O25,"n.a.")</x:f>
        <x:v>1290</x:v>
      </x:c>
      <x:c r="P37" s="28" t="n">
        <x:f>IF(P4="Ready",SUM(P7,P9)*'Inputs'!P25,"n.a.")</x:f>
        <x:v>1290</x:v>
      </x:c>
    </x:row>
    <x:row r="38" ht="22" customHeight="1">
      <x:c r="A38" s="1"/>
      <x:c r="B38" s="1"/>
      <x:c r="C38" s="4" t="str">
        <x:v>Debt</x:v>
      </x:c>
      <x:c r="D38" s="25" t="n">
        <x:f>IF(COUNT(E38:P38)=12,P38,"n.a.")</x:f>
        <x:v>1800</x:v>
      </x:c>
      <x:c r="E38" s="28" t="n">
        <x:f>IF(E4="Ready",'Inputs'!$D$11+E24-E25,"n.a.")</x:f>
        <x:v>2900</x:v>
      </x:c>
      <x:c r="F38" s="25" t="n">
        <x:f>IF(F4="Ready",E38+F24-F25,"n.a.")</x:f>
        <x:v>2800</x:v>
      </x:c>
      <x:c r="G38" s="25" t="n">
        <x:f>IF(G4="Ready",F38+G24-G25,"n.a.")</x:f>
        <x:v>2700</x:v>
      </x:c>
      <x:c r="H38" s="25" t="n">
        <x:f>IF(H4="Ready",G38+H24-H25,"n.a.")</x:f>
        <x:v>2600</x:v>
      </x:c>
      <x:c r="I38" s="25" t="n">
        <x:f>IF(I4="Ready",H38+I24-I25,"n.a.")</x:f>
        <x:v>2500</x:v>
      </x:c>
      <x:c r="J38" s="25" t="n">
        <x:f>IF(J4="Ready",I38+J24-J25,"n.a.")</x:f>
        <x:v>2400</x:v>
      </x:c>
      <x:c r="K38" s="25" t="n">
        <x:f>IF(K4="Ready",J38+K24-K25,"n.a.")</x:f>
        <x:v>2300</x:v>
      </x:c>
      <x:c r="L38" s="25" t="n">
        <x:f>IF(L4="Ready",K38+L24-L25,"n.a.")</x:f>
        <x:v>2200</x:v>
      </x:c>
      <x:c r="M38" s="25" t="n">
        <x:f>IF(M4="Ready",L38+M24-M25,"n.a.")</x:f>
        <x:v>2100</x:v>
      </x:c>
      <x:c r="N38" s="25" t="n">
        <x:f>IF(N4="Ready",M38+N24-N25,"n.a.")</x:f>
        <x:v>2000</x:v>
      </x:c>
      <x:c r="O38" s="25" t="n">
        <x:f>IF(O4="Ready",N38+O24-O25,"n.a.")</x:f>
        <x:v>1900</x:v>
      </x:c>
      <x:c r="P38" s="25" t="n">
        <x:f>IF(P4="Ready",O38+P24-P25,"n.a.")</x:f>
        <x:v>1800</x:v>
      </x:c>
    </x:row>
    <x:row r="39" ht="22" customHeight="1">
      <x:c r="A39" s="1"/>
      <x:c r="B39" s="1"/>
      <x:c r="C39" s="4" t="str">
        <x:v>Contributed capital</x:v>
      </x:c>
      <x:c r="D39" s="25" t="n">
        <x:f>IF(COUNT(E39:P39)=12,P39,"n.a.")</x:f>
        <x:v>13000</x:v>
      </x:c>
      <x:c r="E39" s="28" t="n">
        <x:f>IF(E4="Ready",'Inputs'!$D$12+E26,"n.a.")</x:f>
        <x:v>13000</x:v>
      </x:c>
      <x:c r="F39" s="25" t="n">
        <x:f>IF(F4="Ready",E39+F26,"n.a.")</x:f>
        <x:v>13000</x:v>
      </x:c>
      <x:c r="G39" s="25" t="n">
        <x:f>IF(G4="Ready",F39+G26,"n.a.")</x:f>
        <x:v>13000</x:v>
      </x:c>
      <x:c r="H39" s="25" t="n">
        <x:f>IF(H4="Ready",G39+H26,"n.a.")</x:f>
        <x:v>13000</x:v>
      </x:c>
      <x:c r="I39" s="25" t="n">
        <x:f>IF(I4="Ready",H39+I26,"n.a.")</x:f>
        <x:v>13000</x:v>
      </x:c>
      <x:c r="J39" s="25" t="n">
        <x:f>IF(J4="Ready",I39+J26,"n.a.")</x:f>
        <x:v>13000</x:v>
      </x:c>
      <x:c r="K39" s="25" t="n">
        <x:f>IF(K4="Ready",J39+K26,"n.a.")</x:f>
        <x:v>13000</x:v>
      </x:c>
      <x:c r="L39" s="25" t="n">
        <x:f>IF(L4="Ready",K39+L26,"n.a.")</x:f>
        <x:v>13000</x:v>
      </x:c>
      <x:c r="M39" s="25" t="n">
        <x:f>IF(M4="Ready",L39+M26,"n.a.")</x:f>
        <x:v>13000</x:v>
      </x:c>
      <x:c r="N39" s="25" t="n">
        <x:f>IF(N4="Ready",M39+N26,"n.a.")</x:f>
        <x:v>13000</x:v>
      </x:c>
      <x:c r="O39" s="25" t="n">
        <x:f>IF(O4="Ready",N39+O26,"n.a.")</x:f>
        <x:v>13000</x:v>
      </x:c>
      <x:c r="P39" s="25" t="n">
        <x:f>IF(P4="Ready",O39+P26,"n.a.")</x:f>
        <x:v>13000</x:v>
      </x:c>
    </x:row>
    <x:row r="40" ht="22" customHeight="1">
      <x:c r="A40" s="1"/>
      <x:c r="B40" s="1"/>
      <x:c r="C40" s="4" t="str">
        <x:v>Retained earnings</x:v>
      </x:c>
      <x:c r="D40" s="25" t="n">
        <x:f>IF(COUNT(E40:P40)=12,P40,"n.a.")</x:f>
        <x:v>31043.199999999997</x:v>
      </x:c>
      <x:c r="E40" s="28" t="n">
        <x:f>IF(E4="Ready",'Inputs'!$D$13+E15-E27,"n.a.")</x:f>
        <x:v>2584</x:v>
      </x:c>
      <x:c r="F40" s="25" t="n">
        <x:f>IF(F4="Ready",E40+F15-F27,"n.a.")</x:f>
        <x:v>5168.533333333333</x:v>
      </x:c>
      <x:c r="G40" s="25" t="n">
        <x:f>IF(G4="Ready",F40+G15-G27,"n.a.")</x:f>
        <x:v>7753.599999999999</x:v>
      </x:c>
      <x:c r="H40" s="25" t="n">
        <x:f>IF(H4="Ready",G40+H15-H27,"n.a.")</x:f>
        <x:v>10339.199999999999</x:v>
      </x:c>
      <x:c r="I40" s="25" t="n">
        <x:f>IF(I4="Ready",H40+I15-I27,"n.a.")</x:f>
        <x:v>12925.333333333332</x:v>
      </x:c>
      <x:c r="J40" s="25" t="n">
        <x:f>IF(J4="Ready",I40+J15-J27,"n.a.")</x:f>
        <x:v>15512</x:v>
      </x:c>
      <x:c r="K40" s="25" t="n">
        <x:f>IF(K4="Ready",J40+K15-K27,"n.a.")</x:f>
        <x:v>18099.2</x:v>
      </x:c>
      <x:c r="L40" s="25" t="n">
        <x:f>IF(L4="Ready",K40+L15-L27,"n.a.")</x:f>
        <x:v>20686.933333333334</x:v>
      </x:c>
      <x:c r="M40" s="25" t="n">
        <x:f>IF(M4="Ready",L40+M15-M27,"n.a.")</x:f>
        <x:v>23275.2</x:v>
      </x:c>
      <x:c r="N40" s="25" t="n">
        <x:f>IF(N4="Ready",M40+N15-N27,"n.a.")</x:f>
        <x:v>25864</x:v>
      </x:c>
      <x:c r="O40" s="25" t="n">
        <x:f>IF(O4="Ready",N40+O15-O27,"n.a.")</x:f>
        <x:v>28453.333333333332</x:v>
      </x:c>
      <x:c r="P40" s="25" t="n">
        <x:f>IF(P4="Ready",O40+P15-P27,"n.a.")</x:f>
        <x:v>31043.199999999997</x:v>
      </x:c>
    </x:row>
    <x:row r="41" ht="22" customHeight="1">
      <x:c r="A41" s="1"/>
      <x:c r="B41" s="1"/>
      <x:c r="C41" s="32" t="str">
        <x:v>Liabilities and equity</x:v>
      </x:c>
      <x:c r="D41" s="33" t="n">
        <x:f>IF(COUNT(E41:P41)=12,P41,"n.a.")</x:f>
        <x:v>47133.2</x:v>
      </x:c>
      <x:c r="E41" s="33" t="n">
        <x:f>IF(E4="Ready",SUM(E37:E40),"n.a.")</x:f>
        <x:v>19774</x:v>
      </x:c>
      <x:c r="F41" s="33" t="n">
        <x:f>IF(F4="Ready",SUM(F37:F40),"n.a.")</x:f>
        <x:v>22258.533333333333</x:v>
      </x:c>
      <x:c r="G41" s="33" t="n">
        <x:f>IF(G4="Ready",SUM(G37:G40),"n.a.")</x:f>
        <x:v>24743.6</x:v>
      </x:c>
      <x:c r="H41" s="33" t="n">
        <x:f>IF(H4="Ready",SUM(H37:H40),"n.a.")</x:f>
        <x:v>27229.199999999997</x:v>
      </x:c>
      <x:c r="I41" s="33" t="n">
        <x:f>IF(I4="Ready",SUM(I37:I40),"n.a.")</x:f>
        <x:v>29715.333333333332</x:v>
      </x:c>
      <x:c r="J41" s="33" t="n">
        <x:f>IF(J4="Ready",SUM(J37:J40),"n.a.")</x:f>
        <x:v>32202</x:v>
      </x:c>
      <x:c r="K41" s="33" t="n">
        <x:f>IF(K4="Ready",SUM(K37:K40),"n.a.")</x:f>
        <x:v>34689.2</x:v>
      </x:c>
      <x:c r="L41" s="33" t="n">
        <x:f>IF(L4="Ready",SUM(L37:L40),"n.a.")</x:f>
        <x:v>37176.933333333334</x:v>
      </x:c>
      <x:c r="M41" s="33" t="n">
        <x:f>IF(M4="Ready",SUM(M37:M40),"n.a.")</x:f>
        <x:v>39665.2</x:v>
      </x:c>
      <x:c r="N41" s="33" t="n">
        <x:f>IF(N4="Ready",SUM(N37:N40),"n.a.")</x:f>
        <x:v>42154</x:v>
      </x:c>
      <x:c r="O41" s="33" t="n">
        <x:f>IF(O4="Ready",SUM(O37:O40),"n.a.")</x:f>
        <x:v>44643.33333333333</x:v>
      </x:c>
      <x:c r="P41" s="33" t="n">
        <x:f>IF(P4="Ready",SUM(P37:P40),"n.a.")</x:f>
        <x:v>47133.2</x:v>
      </x:c>
    </x:row>
    <x:row r="42" ht="22" customHeight="1">
      <x:c r="A42" s="1"/>
      <x:c r="B42" s="1"/>
      <x:c r="C42" s="4"/>
      <x:c r="D42" s="5"/>
      <x:c r="E42" s="5"/>
      <x:c r="F42" s="5"/>
      <x:c r="G42" s="5"/>
      <x:c r="H42" s="5"/>
      <x:c r="I42" s="5"/>
      <x:c r="J42" s="5"/>
      <x:c r="K42" s="5"/>
      <x:c r="L42" s="5"/>
      <x:c r="M42" s="5"/>
      <x:c r="N42" s="5"/>
      <x:c r="O42" s="5"/>
      <x:c r="P42" s="5"/>
    </x:row>
    <x:row r="43" ht="22" customHeight="1">
      <x:c r="A43" s="1"/>
      <x:c r="B43" s="1"/>
      <x:c r="C43" s="32" t="str">
        <x:v>Balance difference</x:v>
      </x:c>
      <x:c r="D43" s="33" t="n">
        <x:f>IF(COUNT(E43:P43)=12,P43,"n.a.")</x:f>
        <x:v>0</x:v>
      </x:c>
      <x:c r="E43" s="35" t="n">
        <x:f>IF(E4="Ready",ROUND(E35-E41,2),"n.a.")</x:f>
        <x:v>0</x:v>
      </x:c>
      <x:c r="F43" s="35" t="n">
        <x:f>IF(F4="Ready",ROUND(F35-F41,2),"n.a.")</x:f>
        <x:v>0</x:v>
      </x:c>
      <x:c r="G43" s="35" t="n">
        <x:f>IF(G4="Ready",ROUND(G35-G41,2),"n.a.")</x:f>
        <x:v>0</x:v>
      </x:c>
      <x:c r="H43" s="35" t="n">
        <x:f>IF(H4="Ready",ROUND(H35-H41,2),"n.a.")</x:f>
        <x:v>0</x:v>
      </x:c>
      <x:c r="I43" s="35" t="n">
        <x:f>IF(I4="Ready",ROUND(I35-I41,2),"n.a.")</x:f>
        <x:v>0</x:v>
      </x:c>
      <x:c r="J43" s="35" t="n">
        <x:f>IF(J4="Ready",ROUND(J35-J41,2),"n.a.")</x:f>
        <x:v>0</x:v>
      </x:c>
      <x:c r="K43" s="35" t="n">
        <x:f>IF(K4="Ready",ROUND(K35-K41,2),"n.a.")</x:f>
        <x:v>0</x:v>
      </x:c>
      <x:c r="L43" s="35" t="n">
        <x:f>IF(L4="Ready",ROUND(L35-L41,2),"n.a.")</x:f>
        <x:v>0</x:v>
      </x:c>
      <x:c r="M43" s="35" t="n">
        <x:f>IF(M4="Ready",ROUND(M35-M41,2),"n.a.")</x:f>
        <x:v>0</x:v>
      </x:c>
      <x:c r="N43" s="35" t="n">
        <x:f>IF(N4="Ready",ROUND(N35-N41,2),"n.a.")</x:f>
        <x:v>0</x:v>
      </x:c>
      <x:c r="O43" s="35" t="n">
        <x:f>IF(O4="Ready",ROUND(O35-O41,2),"n.a.")</x:f>
        <x:v>0</x:v>
      </x:c>
      <x:c r="P43" s="35" t="n">
        <x:f>IF(P4="Ready",ROUND(P35-P41,2),"n.a.")</x:f>
        <x:v>0</x:v>
      </x:c>
    </x:row>
    <x:row r="44" ht="22" customHeight="1">
      <x:c r="A44" s="1"/>
      <x:c r="B44" s="1"/>
      <x:c r="C44" s="4"/>
      <x:c r="D44" s="5"/>
      <x:c r="E44" s="5"/>
      <x:c r="F44" s="5"/>
      <x:c r="G44" s="5"/>
      <x:c r="H44" s="5"/>
      <x:c r="I44" s="5"/>
      <x:c r="J44" s="5"/>
      <x:c r="K44" s="5"/>
      <x:c r="L44" s="5"/>
      <x:c r="M44" s="5"/>
      <x:c r="N44" s="5"/>
      <x:c r="O44" s="5"/>
      <x:c r="P44" s="5"/>
    </x:row>
    <x:row r="45" ht="22" customHeight="1">
      <x:c r="A45" s="1"/>
      <x:c r="B45" s="1"/>
      <x:c r="C45" s="32" t="str">
        <x:v>Funding gap at month end</x:v>
      </x:c>
      <x:c r="D45" s="33" t="n">
        <x:f>IF(COUNT(E45:P45)=12,MAX(E45:P45),"n.a.")</x:f>
        <x:v>0</x:v>
      </x:c>
      <x:c r="E45" s="33" t="n">
        <x:f>IF(E4="Ready",MAX(0,-E29),"n.a.")</x:f>
        <x:v>0</x:v>
      </x:c>
      <x:c r="F45" s="33" t="n">
        <x:f>IF(F4="Ready",MAX(0,-F29),"n.a.")</x:f>
        <x:v>0</x:v>
      </x:c>
      <x:c r="G45" s="33" t="n">
        <x:f>IF(G4="Ready",MAX(0,-G29),"n.a.")</x:f>
        <x:v>0</x:v>
      </x:c>
      <x:c r="H45" s="33" t="n">
        <x:f>IF(H4="Ready",MAX(0,-H29),"n.a.")</x:f>
        <x:v>0</x:v>
      </x:c>
      <x:c r="I45" s="33" t="n">
        <x:f>IF(I4="Ready",MAX(0,-I29),"n.a.")</x:f>
        <x:v>0</x:v>
      </x:c>
      <x:c r="J45" s="33" t="n">
        <x:f>IF(J4="Ready",MAX(0,-J29),"n.a.")</x:f>
        <x:v>0</x:v>
      </x:c>
      <x:c r="K45" s="33" t="n">
        <x:f>IF(K4="Ready",MAX(0,-K29),"n.a.")</x:f>
        <x:v>0</x:v>
      </x:c>
      <x:c r="L45" s="33" t="n">
        <x:f>IF(L4="Ready",MAX(0,-L29),"n.a.")</x:f>
        <x:v>0</x:v>
      </x:c>
      <x:c r="M45" s="33" t="n">
        <x:f>IF(M4="Ready",MAX(0,-M29),"n.a.")</x:f>
        <x:v>0</x:v>
      </x:c>
      <x:c r="N45" s="33" t="n">
        <x:f>IF(N4="Ready",MAX(0,-N29),"n.a.")</x:f>
        <x:v>0</x:v>
      </x:c>
      <x:c r="O45" s="33" t="n">
        <x:f>IF(O4="Ready",MAX(0,-O29),"n.a.")</x:f>
        <x:v>0</x:v>
      </x:c>
      <x:c r="P45" s="33" t="n">
        <x:f>IF(P4="Ready",MAX(0,-P29),"n.a.")</x:f>
        <x:v>0</x:v>
      </x:c>
    </x:row>
    <x:row r="46" ht="22" customHeight="1">
      <x:c r="A46" s="1"/>
      <x:c r="B46" s="1"/>
      <x:c r="C46" s="4" t="str">
        <x:v>Unfunded repayment request</x:v>
      </x:c>
      <x:c r="D46" s="25" t="n">
        <x:f>IF(COUNT(E46:P46)=12,SUM(E46:P46),"n.a.")</x:f>
        <x:v>0</x:v>
      </x:c>
      <x:c r="E46" s="28" t="n">
        <x:f>IF(E4="Ready",'Inputs'!E29-E25,"n.a.")</x:f>
        <x:v>0</x:v>
      </x:c>
      <x:c r="F46" s="28" t="n">
        <x:f>IF(F4="Ready",'Inputs'!F29-F25,"n.a.")</x:f>
        <x:v>0</x:v>
      </x:c>
      <x:c r="G46" s="28" t="n">
        <x:f>IF(G4="Ready",'Inputs'!G29-G25,"n.a.")</x:f>
        <x:v>0</x:v>
      </x:c>
      <x:c r="H46" s="28" t="n">
        <x:f>IF(H4="Ready",'Inputs'!H29-H25,"n.a.")</x:f>
        <x:v>0</x:v>
      </x:c>
      <x:c r="I46" s="28" t="n">
        <x:f>IF(I4="Ready",'Inputs'!I29-I25,"n.a.")</x:f>
        <x:v>0</x:v>
      </x:c>
      <x:c r="J46" s="28" t="n">
        <x:f>IF(J4="Ready",'Inputs'!J29-J25,"n.a.")</x:f>
        <x:v>0</x:v>
      </x:c>
      <x:c r="K46" s="28" t="n">
        <x:f>IF(K4="Ready",'Inputs'!K29-K25,"n.a.")</x:f>
        <x:v>0</x:v>
      </x:c>
      <x:c r="L46" s="28" t="n">
        <x:f>IF(L4="Ready",'Inputs'!L29-L25,"n.a.")</x:f>
        <x:v>0</x:v>
      </x:c>
      <x:c r="M46" s="28" t="n">
        <x:f>IF(M4="Ready",'Inputs'!M29-M25,"n.a.")</x:f>
        <x:v>0</x:v>
      </x:c>
      <x:c r="N46" s="28" t="n">
        <x:f>IF(N4="Ready",'Inputs'!N29-N25,"n.a.")</x:f>
        <x:v>0</x:v>
      </x:c>
      <x:c r="O46" s="28" t="n">
        <x:f>IF(O4="Ready",'Inputs'!O29-O25,"n.a.")</x:f>
        <x:v>0</x:v>
      </x:c>
      <x:c r="P46" s="28" t="n">
        <x:f>IF(P4="Ready",'Inputs'!P29-P25,"n.a.")</x:f>
        <x:v>0</x:v>
      </x:c>
    </x:row>
    <x:row r="47" ht="22" customHeight="1">
      <x:c r="A47" s="1"/>
      <x:c r="B47" s="1"/>
      <x:c r="C47" s="4"/>
      <x:c r="D47" s="5"/>
      <x:c r="E47" s="5"/>
      <x:c r="F47" s="5"/>
      <x:c r="G47" s="5"/>
      <x:c r="H47" s="5"/>
      <x:c r="I47" s="5"/>
      <x:c r="J47" s="5"/>
      <x:c r="K47" s="5"/>
      <x:c r="L47" s="5"/>
      <x:c r="M47" s="5"/>
      <x:c r="N47" s="5"/>
      <x:c r="O47" s="5"/>
      <x:c r="P47" s="5"/>
    </x:row>
    <x:row r="48" ht="22" customHeight="1">
      <x:c r="A48" s="1"/>
      <x:c r="B48" s="1"/>
      <x:c r="C48" s="4"/>
      <x:c r="D48" s="5"/>
      <x:c r="E48" s="5"/>
      <x:c r="F48" s="5"/>
      <x:c r="G48" s="5"/>
      <x:c r="H48" s="5"/>
      <x:c r="I48" s="5"/>
      <x:c r="J48" s="5"/>
      <x:c r="K48" s="5"/>
      <x:c r="L48" s="5"/>
      <x:c r="M48" s="5"/>
      <x:c r="N48" s="5"/>
      <x:c r="O48" s="5"/>
      <x:c r="P48" s="5"/>
    </x:row>
    <x:row r="49" ht="22" customHeight="1">
      <x:c r="A49" s="1"/>
      <x:c r="B49" s="1"/>
      <x:c r="C49" s="4" t="str">
        <x:v>Service model: no inventory, VAT, accrual tax balances or loan fees.</x:v>
      </x:c>
      <x:c r="D49" s="5"/>
      <x:c r="E49" s="5"/>
      <x:c r="F49" s="5"/>
      <x:c r="G49" s="5"/>
      <x:c r="H49" s="5"/>
      <x:c r="I49" s="5"/>
      <x:c r="J49" s="5"/>
      <x:c r="K49" s="5"/>
      <x:c r="L49" s="5"/>
      <x:c r="M49" s="5"/>
      <x:c r="N49" s="5"/>
      <x:c r="O49" s="5"/>
      <x:c r="P49" s="5"/>
    </x:row>
    <x:row r="50" ht="22" customHeight="1">
      <x:c r="A50" s="1"/>
      <x:c r="B50" s="1"/>
      <x:c r="C50" s="4" t="str">
        <x:v>Monthly interest uses opening debt; capex precedes capped entered depreciation.</x:v>
      </x:c>
      <x:c r="D50" s="5"/>
      <x:c r="E50" s="5"/>
      <x:c r="F50" s="5"/>
      <x:c r="G50" s="5"/>
      <x:c r="H50" s="5"/>
      <x:c r="I50" s="5"/>
      <x:c r="J50" s="5"/>
      <x:c r="K50" s="5"/>
      <x:c r="L50" s="5"/>
      <x:c r="M50" s="5"/>
      <x:c r="N50" s="5"/>
      <x:c r="O50" s="5"/>
      <x:c r="P50" s="5"/>
    </x:row>
    <x:row r="51" ht="22" customHeight="1">
      <x:c r="A51" s="1"/>
      <x:c r="B51" s="1"/>
      <x:c r="C51" s="4" t="str">
        <x:v>Requested repayment is capped at opening debt plus new draws; excess shown above.</x:v>
      </x:c>
      <x:c r="D51" s="5"/>
      <x:c r="E51" s="5"/>
      <x:c r="F51" s="5"/>
      <x:c r="G51" s="5"/>
      <x:c r="H51" s="5"/>
      <x:c r="I51" s="5"/>
      <x:c r="J51" s="5"/>
      <x:c r="K51" s="5"/>
      <x:c r="L51" s="5"/>
      <x:c r="M51" s="5"/>
      <x:c r="N51" s="5"/>
      <x:c r="O51" s="5"/>
      <x:c r="P51" s="5"/>
    </x:row>
    <x:row r="52" ht="22" customHeight="1">
      <x:c r="A52" s="1"/>
      <x:c r="B52" s="1"/>
      <x:c r="C52" s="4"/>
      <x:c r="D52" s="5"/>
      <x:c r="E52" s="5"/>
      <x:c r="F52" s="5"/>
      <x:c r="G52" s="5"/>
      <x:c r="H52" s="5"/>
      <x:c r="I52" s="5"/>
      <x:c r="J52" s="5"/>
      <x:c r="K52" s="5"/>
      <x:c r="L52" s="5"/>
      <x:c r="M52" s="5"/>
      <x:c r="N52" s="5"/>
      <x:c r="O52" s="5"/>
      <x:c r="P52" s="5"/>
    </x:row>
    <x:row r="53" ht="22" customHeight="1">
      <x:c r="A53" s="1"/>
      <x:c r="B53" s="1"/>
      <x:c r="C53" s="4"/>
      <x:c r="D53" s="5"/>
      <x:c r="E53" s="5"/>
      <x:c r="F53" s="5"/>
      <x:c r="G53" s="5"/>
      <x:c r="H53" s="5"/>
      <x:c r="I53" s="5"/>
      <x:c r="J53" s="5"/>
      <x:c r="K53" s="5"/>
      <x:c r="L53" s="5"/>
      <x:c r="M53" s="5"/>
      <x:c r="N53" s="5"/>
      <x:c r="O53" s="5"/>
      <x:c r="P53" s="5"/>
    </x:row>
    <x:row r="54" ht="22" customHeight="1">
      <x:c r="A54" s="1"/>
      <x:c r="B54" s="1"/>
      <x:c r="C54" s="4"/>
      <x:c r="D54" s="5"/>
      <x:c r="E54" s="5"/>
      <x:c r="F54" s="5"/>
      <x:c r="G54" s="5"/>
      <x:c r="H54" s="5"/>
      <x:c r="I54" s="5"/>
      <x:c r="J54" s="5"/>
      <x:c r="K54" s="5"/>
      <x:c r="L54" s="5"/>
      <x:c r="M54" s="5"/>
      <x:c r="N54" s="5"/>
      <x:c r="O54" s="5"/>
      <x:c r="P54" s="5"/>
    </x:row>
    <x:row r="55" ht="22" customHeight="1">
      <x:c r="A55" s="1"/>
      <x:c r="B55" s="1"/>
      <x:c r="C55" s="4"/>
      <x:c r="D55" s="5"/>
      <x:c r="E55" s="5"/>
      <x:c r="F55" s="5"/>
      <x:c r="G55" s="5"/>
      <x:c r="H55" s="5"/>
      <x:c r="I55" s="5"/>
      <x:c r="J55" s="5"/>
      <x:c r="K55" s="5"/>
      <x:c r="L55" s="5"/>
      <x:c r="M55" s="5"/>
      <x:c r="N55" s="5"/>
      <x:c r="O55" s="5"/>
      <x:c r="P55" s="5"/>
    </x:row>
    <x:row r="56" ht="22" customHeight="1">
      <x:c r="A56" s="1"/>
      <x:c r="B56" s="1"/>
      <x:c r="C56" s="4"/>
      <x:c r="D56" s="5"/>
      <x:c r="E56" s="5"/>
      <x:c r="F56" s="5"/>
      <x:c r="G56" s="5"/>
      <x:c r="H56" s="5"/>
      <x:c r="I56" s="5"/>
      <x:c r="J56" s="5"/>
      <x:c r="K56" s="5"/>
      <x:c r="L56" s="5"/>
      <x:c r="M56" s="5"/>
      <x:c r="N56" s="5"/>
      <x:c r="O56" s="5"/>
      <x:c r="P56" s="5"/>
    </x:row>
  </x:sheetData>
  <x:conditionalFormatting sqref="E43:P43">
    <x:cfRule type="expression" dxfId="1" priority="1">
      <x:formula>ABS(E43)&gt;0.005</x:formula>
    </x:cfRule>
  </x:conditionalFormatting>
  <x:conditionalFormatting sqref="E29:P29">
    <x:cfRule type="cellIs" dxfId="2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299B1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36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1"/>
      <x:c r="B1" s="1"/>
      <x:c r="C1" s="4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22" customHeight="1">
      <x:c r="A2" s="1"/>
      <x:c r="B2" s="1"/>
      <x:c r="C2" s="6" t="str">
        <x:v>Forecast inputs</x:v>
      </x:c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27" customHeight="1">
      <x:c r="A3" s="1"/>
      <x:c r="B3" s="1"/>
      <x:c r="C3" s="7" t="str">
        <x:v>Illustrative example in USD. Replace blue inputs before use.</x:v>
      </x:c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22" customHeight="1">
      <x:c r="A4" s="1"/>
      <x:c r="B4" s="1"/>
      <x:c r="C4" s="4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  <x:c r="O4" s="5"/>
      <x:c r="P4" s="5"/>
    </x:row>
    <x:row r="5" ht="22" customHeight="1">
      <x:c r="A5" s="1"/>
      <x:c r="B5" s="1"/>
      <x:c r="C5" s="15" t="str">
        <x:v>USD unless a ratio</x:v>
      </x:c>
      <x:c r="D5" s="16" t="str">
        <x:v>Opening</x:v>
      </x:c>
      <x:c r="E5" s="17" t="n">
        <x:f>IF(AND(ISNUMBER($D$17),DAY($D$17)=1),EDATE($D$17,0),"n.a.")</x:f>
        <x:v>46296</x:v>
      </x:c>
      <x:c r="F5" s="17" t="n">
        <x:f>IF(AND(ISNUMBER($D$17),DAY($D$17)=1),EDATE($D$17,1),"n.a.")</x:f>
        <x:v>46327</x:v>
      </x:c>
      <x:c r="G5" s="17" t="n">
        <x:f>IF(AND(ISNUMBER($D$17),DAY($D$17)=1),EDATE($D$17,2),"n.a.")</x:f>
        <x:v>46357</x:v>
      </x:c>
      <x:c r="H5" s="17" t="n">
        <x:f>IF(AND(ISNUMBER($D$17),DAY($D$17)=1),EDATE($D$17,3),"n.a.")</x:f>
        <x:v>46388</x:v>
      </x:c>
      <x:c r="I5" s="17" t="n">
        <x:f>IF(AND(ISNUMBER($D$17),DAY($D$17)=1),EDATE($D$17,4),"n.a.")</x:f>
        <x:v>46419</x:v>
      </x:c>
      <x:c r="J5" s="17" t="n">
        <x:f>IF(AND(ISNUMBER($D$17),DAY($D$17)=1),EDATE($D$17,5),"n.a.")</x:f>
        <x:v>46447</x:v>
      </x:c>
      <x:c r="K5" s="17" t="n">
        <x:f>IF(AND(ISNUMBER($D$17),DAY($D$17)=1),EDATE($D$17,6),"n.a.")</x:f>
        <x:v>46478</x:v>
      </x:c>
      <x:c r="L5" s="17" t="n">
        <x:f>IF(AND(ISNUMBER($D$17),DAY($D$17)=1),EDATE($D$17,7),"n.a.")</x:f>
        <x:v>46508</x:v>
      </x:c>
      <x:c r="M5" s="17" t="n">
        <x:f>IF(AND(ISNUMBER($D$17),DAY($D$17)=1),EDATE($D$17,8),"n.a.")</x:f>
        <x:v>46539</x:v>
      </x:c>
      <x:c r="N5" s="17" t="n">
        <x:f>IF(AND(ISNUMBER($D$17),DAY($D$17)=1),EDATE($D$17,9),"n.a.")</x:f>
        <x:v>46569</x:v>
      </x:c>
      <x:c r="O5" s="17" t="n">
        <x:f>IF(AND(ISNUMBER($D$17),DAY($D$17)=1),EDATE($D$17,10),"n.a.")</x:f>
        <x:v>46600</x:v>
      </x:c>
      <x:c r="P5" s="17" t="n">
        <x:f>IF(AND(ISNUMBER($D$17),DAY($D$17)=1),EDATE($D$17,11),"n.a.")</x:f>
        <x:v>46631</x:v>
      </x:c>
    </x:row>
    <x:row r="6" ht="22" customHeight="1">
      <x:c r="A6" s="1"/>
      <x:c r="B6" s="1"/>
      <x:c r="C6" s="4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</x:row>
    <x:row r="7" ht="22" customHeight="1">
      <x:c r="A7" s="1"/>
      <x:c r="B7" s="1"/>
      <x:c r="C7" s="4" t="str">
        <x:v>Opening cash</x:v>
      </x:c>
      <x:c r="D7" s="24" t="n">
        <x:v>10000</x:v>
      </x:c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 ht="22" customHeight="1">
      <x:c r="A8" s="1"/>
      <x:c r="B8" s="1"/>
      <x:c r="C8" s="4" t="str">
        <x:v>Opening receivables</x:v>
      </x:c>
      <x:c r="D8" s="24" t="n">
        <x:v>2000</x:v>
      </x:c>
      <x:c r="E8" s="5"/>
      <x:c r="F8" s="5"/>
      <x:c r="G8" s="5"/>
      <x:c r="H8" s="5"/>
      <x:c r="I8" s="5"/>
      <x:c r="J8" s="5"/>
      <x:c r="K8" s="5"/>
      <x:c r="L8" s="5"/>
      <x:c r="M8" s="5"/>
      <x:c r="N8" s="5"/>
      <x:c r="O8" s="5"/>
      <x:c r="P8" s="5"/>
    </x:row>
    <x:row r="9" ht="22" customHeight="1">
      <x:c r="A9" s="1"/>
      <x:c r="B9" s="1"/>
      <x:c r="C9" s="4" t="str">
        <x:v>Opening net fixed assets</x:v>
      </x:c>
      <x:c r="D9" s="24" t="n">
        <x:v>5000</x:v>
      </x:c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</x:row>
    <x:row r="10" ht="22" customHeight="1">
      <x:c r="A10" s="1"/>
      <x:c r="B10" s="1"/>
      <x:c r="C10" s="4" t="str">
        <x:v>Opening payables</x:v>
      </x:c>
      <x:c r="D10" s="24" t="n">
        <x:v>1000</x:v>
      </x:c>
      <x:c r="E10" s="5"/>
      <x:c r="F10" s="5"/>
      <x:c r="G10" s="5"/>
      <x:c r="H10" s="5"/>
      <x:c r="I10" s="5"/>
      <x:c r="J10" s="5"/>
      <x:c r="K10" s="5"/>
      <x:c r="L10" s="5"/>
      <x:c r="M10" s="5"/>
      <x:c r="N10" s="5"/>
      <x:c r="O10" s="5"/>
      <x:c r="P10" s="5"/>
    </x:row>
    <x:row r="11" ht="22" customHeight="1">
      <x:c r="A11" s="1"/>
      <x:c r="B11" s="1"/>
      <x:c r="C11" s="4" t="str">
        <x:v>Opening debt</x:v>
      </x:c>
      <x:c r="D11" s="24" t="n">
        <x:v>3000</x:v>
      </x:c>
      <x:c r="E11" s="5"/>
      <x:c r="F11" s="5"/>
      <x:c r="G11" s="5"/>
      <x:c r="H11" s="5"/>
      <x:c r="I11" s="5"/>
      <x:c r="J11" s="5"/>
      <x:c r="K11" s="5"/>
      <x:c r="L11" s="5"/>
      <x:c r="M11" s="5"/>
      <x:c r="N11" s="5"/>
      <x:c r="O11" s="5"/>
      <x:c r="P11" s="5"/>
    </x:row>
    <x:row r="12" ht="22" customHeight="1">
      <x:c r="A12" s="1"/>
      <x:c r="B12" s="1"/>
      <x:c r="C12" s="4" t="str">
        <x:v>Opening capital</x:v>
      </x:c>
      <x:c r="D12" s="24" t="n">
        <x:v>13000</x:v>
      </x:c>
      <x:c r="E12" s="5"/>
      <x:c r="F12" s="5"/>
      <x:c r="G12" s="5"/>
      <x:c r="H12" s="5"/>
      <x:c r="I12" s="5"/>
      <x:c r="J12" s="5"/>
      <x:c r="K12" s="5"/>
      <x:c r="L12" s="5"/>
      <x:c r="M12" s="5"/>
      <x:c r="N12" s="5"/>
      <x:c r="O12" s="5"/>
      <x:c r="P12" s="5"/>
    </x:row>
    <x:row r="13" ht="22" customHeight="1">
      <x:c r="A13" s="1"/>
      <x:c r="B13" s="1"/>
      <x:c r="C13" s="4" t="str">
        <x:v>Opening retained earnings</x:v>
      </x:c>
      <x:c r="D13" s="24" t="n">
        <x:v>0</x:v>
      </x:c>
      <x:c r="E13" s="5"/>
      <x:c r="F13" s="5"/>
      <x:c r="G13" s="5"/>
      <x:c r="H13" s="5"/>
      <x:c r="I13" s="5"/>
      <x:c r="J13" s="5"/>
      <x:c r="K13" s="5"/>
      <x:c r="L13" s="5"/>
      <x:c r="M13" s="5"/>
      <x:c r="N13" s="5"/>
      <x:c r="O13" s="5"/>
      <x:c r="P13" s="5"/>
    </x:row>
    <x:row r="14" ht="22" customHeight="1">
      <x:c r="A14" s="1"/>
      <x:c r="B14" s="1"/>
      <x:c r="C14" s="4"/>
      <x:c r="D14" s="5"/>
      <x:c r="E14" s="5"/>
      <x:c r="F14" s="5"/>
      <x:c r="G14" s="5"/>
      <x:c r="H14" s="5"/>
      <x:c r="I14" s="5"/>
      <x:c r="J14" s="5"/>
      <x:c r="K14" s="5"/>
      <x:c r="L14" s="5"/>
      <x:c r="M14" s="5"/>
      <x:c r="N14" s="5"/>
      <x:c r="O14" s="5"/>
      <x:c r="P14" s="5"/>
    </x:row>
    <x:row r="15" ht="22" customHeight="1">
      <x:c r="A15" s="1"/>
      <x:c r="B15" s="1"/>
      <x:c r="C15" s="4" t="str">
        <x:v>Opening balance difference</x:v>
      </x:c>
      <x:c r="D15" s="26" t="n">
        <x:f>IF(COUNT(D7:D13)=7,SUM(D7:D9)-SUM(D10:D13),"n.a.")</x:f>
        <x:v>0</x:v>
      </x:c>
      <x:c r="E15" s="5"/>
      <x:c r="F15" s="5"/>
      <x:c r="G15" s="5"/>
      <x:c r="H15" s="5"/>
      <x:c r="I15" s="5"/>
      <x:c r="J15" s="5"/>
      <x:c r="K15" s="5"/>
      <x:c r="L15" s="5"/>
      <x:c r="M15" s="5"/>
      <x:c r="N15" s="5"/>
      <x:c r="O15" s="5"/>
      <x:c r="P15" s="5"/>
    </x:row>
    <x:row r="16" ht="22" customHeight="1">
      <x:c r="A16" s="1"/>
      <x:c r="B16" s="1"/>
      <x:c r="C16" s="4"/>
      <x:c r="D16" s="25" t="str">
        <x:f>IF(AND(COUNT(D7:D13)=7,MIN(D7:D12)&gt;=0,ISNUMBER(D17),DAY(D17)=1),"Ready","Check inputs")</x:f>
        <x:v>Ready</x:v>
      </x:c>
      <x:c r="E16" s="5"/>
      <x:c r="F16" s="5"/>
      <x:c r="G16" s="5"/>
      <x:c r="H16" s="5"/>
      <x:c r="I16" s="5"/>
      <x:c r="J16" s="5"/>
      <x:c r="K16" s="5"/>
      <x:c r="L16" s="5"/>
      <x:c r="M16" s="5"/>
      <x:c r="N16" s="5"/>
      <x:c r="O16" s="5"/>
      <x:c r="P16" s="5"/>
    </x:row>
    <x:row r="17" ht="22" customHeight="1">
      <x:c r="A17" s="1"/>
      <x:c r="B17" s="1"/>
      <x:c r="C17" s="4" t="str">
        <x:v>Forecast start date</x:v>
      </x:c>
      <x:c r="D17" s="20" t="d">
        <x:v>2026-10-01T00:00:00.000Z</x:v>
      </x:c>
      <x:c r="E17" s="5"/>
      <x:c r="F17" s="5"/>
      <x:c r="G17" s="5"/>
      <x:c r="H17" s="5"/>
      <x:c r="I17" s="5"/>
      <x:c r="J17" s="5"/>
      <x:c r="K17" s="5"/>
      <x:c r="L17" s="5"/>
      <x:c r="M17" s="5"/>
      <x:c r="N17" s="5"/>
      <x:c r="O17" s="5"/>
      <x:c r="P17" s="5"/>
    </x:row>
    <x:row r="18" ht="22" customHeight="1">
      <x:c r="A18" s="1"/>
      <x:c r="B18" s="1"/>
      <x:c r="C18" s="4"/>
      <x:c r="D18" s="5"/>
      <x:c r="E18" s="5"/>
      <x:c r="F18" s="5"/>
      <x:c r="G18" s="5"/>
      <x:c r="H18" s="5"/>
      <x:c r="I18" s="5"/>
      <x:c r="J18" s="5"/>
      <x:c r="K18" s="5"/>
      <x:c r="L18" s="5"/>
      <x:c r="M18" s="5"/>
      <x:c r="N18" s="5"/>
      <x:c r="O18" s="5"/>
      <x:c r="P18" s="5"/>
    </x:row>
    <x:row r="19" ht="22" customHeight="1">
      <x:c r="A19" s="1"/>
      <x:c r="B19" s="1"/>
      <x:c r="C19" s="4"/>
      <x:c r="D19" s="5"/>
      <x:c r="E19" s="5"/>
      <x:c r="F19" s="5"/>
      <x:c r="G19" s="5"/>
      <x:c r="H19" s="5"/>
      <x:c r="I19" s="5"/>
      <x:c r="J19" s="5"/>
      <x:c r="K19" s="5"/>
      <x:c r="L19" s="5"/>
      <x:c r="M19" s="5"/>
      <x:c r="N19" s="5"/>
      <x:c r="O19" s="5"/>
      <x:c r="P19" s="5"/>
    </x:row>
    <x:row r="20" ht="22" customHeight="1">
      <x:c r="A20" s="1"/>
      <x:c r="B20" s="1"/>
      <x:c r="C20" s="4" t="str">
        <x:v>Billable units</x:v>
      </x:c>
      <x:c r="D20" s="5"/>
      <x:c r="E20" s="24" t="n">
        <x:v>100</x:v>
      </x:c>
      <x:c r="F20" s="24" t="n">
        <x:v>100</x:v>
      </x:c>
      <x:c r="G20" s="24" t="n">
        <x:v>100</x:v>
      </x:c>
      <x:c r="H20" s="24" t="n">
        <x:v>100</x:v>
      </x:c>
      <x:c r="I20" s="24" t="n">
        <x:v>100</x:v>
      </x:c>
      <x:c r="J20" s="24" t="n">
        <x:v>100</x:v>
      </x:c>
      <x:c r="K20" s="24" t="n">
        <x:v>100</x:v>
      </x:c>
      <x:c r="L20" s="24" t="n">
        <x:v>100</x:v>
      </x:c>
      <x:c r="M20" s="24" t="n">
        <x:v>100</x:v>
      </x:c>
      <x:c r="N20" s="24" t="n">
        <x:v>100</x:v>
      </x:c>
      <x:c r="O20" s="24" t="n">
        <x:v>100</x:v>
      </x:c>
      <x:c r="P20" s="24" t="n">
        <x:v>100</x:v>
      </x:c>
    </x:row>
    <x:row r="21" ht="22" customHeight="1">
      <x:c r="A21" s="1"/>
      <x:c r="B21" s="1"/>
      <x:c r="C21" s="4" t="str">
        <x:v>Price per unit</x:v>
      </x:c>
      <x:c r="D21" s="5"/>
      <x:c r="E21" s="24" t="n">
        <x:v>120</x:v>
      </x:c>
      <x:c r="F21" s="24" t="n">
        <x:v>120</x:v>
      </x:c>
      <x:c r="G21" s="24" t="n">
        <x:v>120</x:v>
      </x:c>
      <x:c r="H21" s="24" t="n">
        <x:v>120</x:v>
      </x:c>
      <x:c r="I21" s="24" t="n">
        <x:v>120</x:v>
      </x:c>
      <x:c r="J21" s="24" t="n">
        <x:v>120</x:v>
      </x:c>
      <x:c r="K21" s="24" t="n">
        <x:v>120</x:v>
      </x:c>
      <x:c r="L21" s="24" t="n">
        <x:v>120</x:v>
      </x:c>
      <x:c r="M21" s="24" t="n">
        <x:v>120</x:v>
      </x:c>
      <x:c r="N21" s="24" t="n">
        <x:v>120</x:v>
      </x:c>
      <x:c r="O21" s="24" t="n">
        <x:v>120</x:v>
      </x:c>
      <x:c r="P21" s="24" t="n">
        <x:v>120</x:v>
      </x:c>
    </x:row>
    <x:row r="22" ht="22" customHeight="1">
      <x:c r="A22" s="1"/>
      <x:c r="B22" s="1"/>
      <x:c r="C22" s="4" t="str">
        <x:v>Direct cost / revenue</x:v>
      </x:c>
      <x:c r="D22" s="5"/>
      <x:c r="E22" s="27" t="n">
        <x:v>0.3</x:v>
      </x:c>
      <x:c r="F22" s="27" t="n">
        <x:v>0.3</x:v>
      </x:c>
      <x:c r="G22" s="27" t="n">
        <x:v>0.3</x:v>
      </x:c>
      <x:c r="H22" s="27" t="n">
        <x:v>0.3</x:v>
      </x:c>
      <x:c r="I22" s="27" t="n">
        <x:v>0.3</x:v>
      </x:c>
      <x:c r="J22" s="27" t="n">
        <x:v>0.3</x:v>
      </x:c>
      <x:c r="K22" s="27" t="n">
        <x:v>0.3</x:v>
      </x:c>
      <x:c r="L22" s="27" t="n">
        <x:v>0.3</x:v>
      </x:c>
      <x:c r="M22" s="27" t="n">
        <x:v>0.3</x:v>
      </x:c>
      <x:c r="N22" s="27" t="n">
        <x:v>0.3</x:v>
      </x:c>
      <x:c r="O22" s="27" t="n">
        <x:v>0.3</x:v>
      </x:c>
      <x:c r="P22" s="27" t="n">
        <x:v>0.3</x:v>
      </x:c>
    </x:row>
    <x:row r="23" ht="22" customHeight="1">
      <x:c r="A23" s="1"/>
      <x:c r="B23" s="1"/>
      <x:c r="C23" s="4" t="str">
        <x:v>Operating expense</x:v>
      </x:c>
      <x:c r="D23" s="5"/>
      <x:c r="E23" s="24" t="n">
        <x:v>5000</x:v>
      </x:c>
      <x:c r="F23" s="24" t="n">
        <x:v>5000</x:v>
      </x:c>
      <x:c r="G23" s="24" t="n">
        <x:v>5000</x:v>
      </x:c>
      <x:c r="H23" s="24" t="n">
        <x:v>5000</x:v>
      </x:c>
      <x:c r="I23" s="24" t="n">
        <x:v>5000</x:v>
      </x:c>
      <x:c r="J23" s="24" t="n">
        <x:v>5000</x:v>
      </x:c>
      <x:c r="K23" s="24" t="n">
        <x:v>5000</x:v>
      </x:c>
      <x:c r="L23" s="24" t="n">
        <x:v>5000</x:v>
      </x:c>
      <x:c r="M23" s="24" t="n">
        <x:v>5000</x:v>
      </x:c>
      <x:c r="N23" s="24" t="n">
        <x:v>5000</x:v>
      </x:c>
      <x:c r="O23" s="24" t="n">
        <x:v>5000</x:v>
      </x:c>
      <x:c r="P23" s="24" t="n">
        <x:v>5000</x:v>
      </x:c>
    </x:row>
    <x:row r="24" ht="22" customHeight="1">
      <x:c r="A24" s="1"/>
      <x:c r="B24" s="1"/>
      <x:c r="C24" s="4" t="str">
        <x:v>Revenue uncollected at month end</x:v>
      </x:c>
      <x:c r="D24" s="5"/>
      <x:c r="E24" s="27" t="n">
        <x:v>0.2</x:v>
      </x:c>
      <x:c r="F24" s="27" t="n">
        <x:v>0.2</x:v>
      </x:c>
      <x:c r="G24" s="27" t="n">
        <x:v>0.2</x:v>
      </x:c>
      <x:c r="H24" s="27" t="n">
        <x:v>0.2</x:v>
      </x:c>
      <x:c r="I24" s="27" t="n">
        <x:v>0.2</x:v>
      </x:c>
      <x:c r="J24" s="27" t="n">
        <x:v>0.2</x:v>
      </x:c>
      <x:c r="K24" s="27" t="n">
        <x:v>0.2</x:v>
      </x:c>
      <x:c r="L24" s="27" t="n">
        <x:v>0.2</x:v>
      </x:c>
      <x:c r="M24" s="27" t="n">
        <x:v>0.2</x:v>
      </x:c>
      <x:c r="N24" s="27" t="n">
        <x:v>0.2</x:v>
      </x:c>
      <x:c r="O24" s="27" t="n">
        <x:v>0.2</x:v>
      </x:c>
      <x:c r="P24" s="27" t="n">
        <x:v>0.2</x:v>
      </x:c>
    </x:row>
    <x:row r="25" ht="22" customHeight="1">
      <x:c r="A25" s="1"/>
      <x:c r="B25" s="1"/>
      <x:c r="C25" s="4" t="str">
        <x:v>Costs unpaid at month end</x:v>
      </x:c>
      <x:c r="D25" s="5"/>
      <x:c r="E25" s="27" t="n">
        <x:v>0.15</x:v>
      </x:c>
      <x:c r="F25" s="27" t="n">
        <x:v>0.15</x:v>
      </x:c>
      <x:c r="G25" s="27" t="n">
        <x:v>0.15</x:v>
      </x:c>
      <x:c r="H25" s="27" t="n">
        <x:v>0.15</x:v>
      </x:c>
      <x:c r="I25" s="27" t="n">
        <x:v>0.15</x:v>
      </x:c>
      <x:c r="J25" s="27" t="n">
        <x:v>0.15</x:v>
      </x:c>
      <x:c r="K25" s="27" t="n">
        <x:v>0.15</x:v>
      </x:c>
      <x:c r="L25" s="27" t="n">
        <x:v>0.15</x:v>
      </x:c>
      <x:c r="M25" s="27" t="n">
        <x:v>0.15</x:v>
      </x:c>
      <x:c r="N25" s="27" t="n">
        <x:v>0.15</x:v>
      </x:c>
      <x:c r="O25" s="27" t="n">
        <x:v>0.15</x:v>
      </x:c>
      <x:c r="P25" s="27" t="n">
        <x:v>0.15</x:v>
      </x:c>
    </x:row>
    <x:row r="26" ht="22" customHeight="1">
      <x:c r="A26" s="1"/>
      <x:c r="B26" s="1"/>
      <x:c r="C26" s="4" t="str">
        <x:v>Capex cash paid</x:v>
      </x:c>
      <x:c r="D26" s="5"/>
      <x:c r="E26" s="24" t="n">
        <x:v>300</x:v>
      </x:c>
      <x:c r="F26" s="24" t="n">
        <x:v>300</x:v>
      </x:c>
      <x:c r="G26" s="24" t="n">
        <x:v>300</x:v>
      </x:c>
      <x:c r="H26" s="24" t="n">
        <x:v>300</x:v>
      </x:c>
      <x:c r="I26" s="24" t="n">
        <x:v>300</x:v>
      </x:c>
      <x:c r="J26" s="24" t="n">
        <x:v>300</x:v>
      </x:c>
      <x:c r="K26" s="24" t="n">
        <x:v>300</x:v>
      </x:c>
      <x:c r="L26" s="24" t="n">
        <x:v>300</x:v>
      </x:c>
      <x:c r="M26" s="24" t="n">
        <x:v>300</x:v>
      </x:c>
      <x:c r="N26" s="24" t="n">
        <x:v>300</x:v>
      </x:c>
      <x:c r="O26" s="24" t="n">
        <x:v>300</x:v>
      </x:c>
      <x:c r="P26" s="24" t="n">
        <x:v>300</x:v>
      </x:c>
    </x:row>
    <x:row r="27" ht="22" customHeight="1">
      <x:c r="A27" s="1"/>
      <x:c r="B27" s="1"/>
      <x:c r="C27" s="4" t="str">
        <x:v>Depreciation requested</x:v>
      </x:c>
      <x:c r="D27" s="5"/>
      <x:c r="E27" s="24" t="n">
        <x:v>150</x:v>
      </x:c>
      <x:c r="F27" s="24" t="n">
        <x:v>150</x:v>
      </x:c>
      <x:c r="G27" s="24" t="n">
        <x:v>150</x:v>
      </x:c>
      <x:c r="H27" s="24" t="n">
        <x:v>150</x:v>
      </x:c>
      <x:c r="I27" s="24" t="n">
        <x:v>150</x:v>
      </x:c>
      <x:c r="J27" s="24" t="n">
        <x:v>150</x:v>
      </x:c>
      <x:c r="K27" s="24" t="n">
        <x:v>150</x:v>
      </x:c>
      <x:c r="L27" s="24" t="n">
        <x:v>150</x:v>
      </x:c>
      <x:c r="M27" s="24" t="n">
        <x:v>150</x:v>
      </x:c>
      <x:c r="N27" s="24" t="n">
        <x:v>150</x:v>
      </x:c>
      <x:c r="O27" s="24" t="n">
        <x:v>150</x:v>
      </x:c>
      <x:c r="P27" s="24" t="n">
        <x:v>150</x:v>
      </x:c>
    </x:row>
    <x:row r="28" ht="22" customHeight="1">
      <x:c r="A28" s="1"/>
      <x:c r="B28" s="1"/>
      <x:c r="C28" s="4" t="str">
        <x:v>Debt drawn</x:v>
      </x:c>
      <x:c r="D28" s="5"/>
      <x:c r="E28" s="24" t="n">
        <x:v>0</x:v>
      </x:c>
      <x:c r="F28" s="24" t="n">
        <x:v>0</x:v>
      </x:c>
      <x:c r="G28" s="24" t="n">
        <x:v>0</x:v>
      </x:c>
      <x:c r="H28" s="24" t="n">
        <x:v>0</x:v>
      </x:c>
      <x:c r="I28" s="24" t="n">
        <x:v>0</x:v>
      </x:c>
      <x:c r="J28" s="24" t="n">
        <x:v>0</x:v>
      </x:c>
      <x:c r="K28" s="24" t="n">
        <x:v>0</x:v>
      </x:c>
      <x:c r="L28" s="24" t="n">
        <x:v>0</x:v>
      </x:c>
      <x:c r="M28" s="24" t="n">
        <x:v>0</x:v>
      </x:c>
      <x:c r="N28" s="24" t="n">
        <x:v>0</x:v>
      </x:c>
      <x:c r="O28" s="24" t="n">
        <x:v>0</x:v>
      </x:c>
      <x:c r="P28" s="24" t="n">
        <x:v>0</x:v>
      </x:c>
    </x:row>
    <x:row r="29" ht="22" customHeight="1">
      <x:c r="A29" s="1"/>
      <x:c r="B29" s="1"/>
      <x:c r="C29" s="4" t="str">
        <x:v>Debt repayment requested</x:v>
      </x:c>
      <x:c r="D29" s="5"/>
      <x:c r="E29" s="24" t="n">
        <x:v>100</x:v>
      </x:c>
      <x:c r="F29" s="24" t="n">
        <x:v>100</x:v>
      </x:c>
      <x:c r="G29" s="24" t="n">
        <x:v>100</x:v>
      </x:c>
      <x:c r="H29" s="24" t="n">
        <x:v>100</x:v>
      </x:c>
      <x:c r="I29" s="24" t="n">
        <x:v>100</x:v>
      </x:c>
      <x:c r="J29" s="24" t="n">
        <x:v>100</x:v>
      </x:c>
      <x:c r="K29" s="24" t="n">
        <x:v>100</x:v>
      </x:c>
      <x:c r="L29" s="24" t="n">
        <x:v>100</x:v>
      </x:c>
      <x:c r="M29" s="24" t="n">
        <x:v>100</x:v>
      </x:c>
      <x:c r="N29" s="24" t="n">
        <x:v>100</x:v>
      </x:c>
      <x:c r="O29" s="24" t="n">
        <x:v>100</x:v>
      </x:c>
      <x:c r="P29" s="24" t="n">
        <x:v>100</x:v>
      </x:c>
    </x:row>
    <x:row r="30" ht="22" customHeight="1">
      <x:c r="A30" s="1"/>
      <x:c r="B30" s="1"/>
      <x:c r="C30" s="4" t="str">
        <x:v>Capital introduced</x:v>
      </x:c>
      <x:c r="D30" s="5"/>
      <x:c r="E30" s="24" t="n">
        <x:v>0</x:v>
      </x:c>
      <x:c r="F30" s="24" t="n">
        <x:v>0</x:v>
      </x:c>
      <x:c r="G30" s="24" t="n">
        <x:v>0</x:v>
      </x:c>
      <x:c r="H30" s="24" t="n">
        <x:v>0</x:v>
      </x:c>
      <x:c r="I30" s="24" t="n">
        <x:v>0</x:v>
      </x:c>
      <x:c r="J30" s="24" t="n">
        <x:v>0</x:v>
      </x:c>
      <x:c r="K30" s="24" t="n">
        <x:v>0</x:v>
      </x:c>
      <x:c r="L30" s="24" t="n">
        <x:v>0</x:v>
      </x:c>
      <x:c r="M30" s="24" t="n">
        <x:v>0</x:v>
      </x:c>
      <x:c r="N30" s="24" t="n">
        <x:v>0</x:v>
      </x:c>
      <x:c r="O30" s="24" t="n">
        <x:v>0</x:v>
      </x:c>
      <x:c r="P30" s="24" t="n">
        <x:v>0</x:v>
      </x:c>
    </x:row>
    <x:row r="31" ht="22" customHeight="1">
      <x:c r="A31" s="1"/>
      <x:c r="B31" s="1"/>
      <x:c r="C31" s="4" t="str">
        <x:v>Owner distributions</x:v>
      </x:c>
      <x:c r="D31" s="5"/>
      <x:c r="E31" s="24" t="n">
        <x:v>0</x:v>
      </x:c>
      <x:c r="F31" s="24" t="n">
        <x:v>0</x:v>
      </x:c>
      <x:c r="G31" s="24" t="n">
        <x:v>0</x:v>
      </x:c>
      <x:c r="H31" s="24" t="n">
        <x:v>0</x:v>
      </x:c>
      <x:c r="I31" s="24" t="n">
        <x:v>0</x:v>
      </x:c>
      <x:c r="J31" s="24" t="n">
        <x:v>0</x:v>
      </x:c>
      <x:c r="K31" s="24" t="n">
        <x:v>0</x:v>
      </x:c>
      <x:c r="L31" s="24" t="n">
        <x:v>0</x:v>
      </x:c>
      <x:c r="M31" s="24" t="n">
        <x:v>0</x:v>
      </x:c>
      <x:c r="N31" s="24" t="n">
        <x:v>0</x:v>
      </x:c>
      <x:c r="O31" s="24" t="n">
        <x:v>0</x:v>
      </x:c>
      <x:c r="P31" s="24" t="n">
        <x:v>0</x:v>
      </x:c>
    </x:row>
    <x:row r="32" ht="22" customHeight="1">
      <x:c r="A32" s="1"/>
      <x:c r="B32" s="1"/>
      <x:c r="C32" s="4" t="str">
        <x:v>Annual interest rate</x:v>
      </x:c>
      <x:c r="D32" s="5"/>
      <x:c r="E32" s="27" t="n">
        <x:v>0.08</x:v>
      </x:c>
      <x:c r="F32" s="27" t="n">
        <x:v>0.08</x:v>
      </x:c>
      <x:c r="G32" s="27" t="n">
        <x:v>0.08</x:v>
      </x:c>
      <x:c r="H32" s="27" t="n">
        <x:v>0.08</x:v>
      </x:c>
      <x:c r="I32" s="27" t="n">
        <x:v>0.08</x:v>
      </x:c>
      <x:c r="J32" s="27" t="n">
        <x:v>0.08</x:v>
      </x:c>
      <x:c r="K32" s="27" t="n">
        <x:v>0.08</x:v>
      </x:c>
      <x:c r="L32" s="27" t="n">
        <x:v>0.08</x:v>
      </x:c>
      <x:c r="M32" s="27" t="n">
        <x:v>0.08</x:v>
      </x:c>
      <x:c r="N32" s="27" t="n">
        <x:v>0.08</x:v>
      </x:c>
      <x:c r="O32" s="27" t="n">
        <x:v>0.08</x:v>
      </x:c>
      <x:c r="P32" s="27" t="n">
        <x:v>0.08</x:v>
      </x:c>
    </x:row>
    <x:row r="33" ht="22" customHeight="1">
      <x:c r="A33" s="1"/>
      <x:c r="B33" s="1"/>
      <x:c r="C33" s="4" t="str">
        <x:v>Tax on positive monthly profit</x:v>
      </x:c>
      <x:c r="D33" s="5"/>
      <x:c r="E33" s="27" t="n">
        <x:v>0.2</x:v>
      </x:c>
      <x:c r="F33" s="27" t="n">
        <x:v>0.2</x:v>
      </x:c>
      <x:c r="G33" s="27" t="n">
        <x:v>0.2</x:v>
      </x:c>
      <x:c r="H33" s="27" t="n">
        <x:v>0.2</x:v>
      </x:c>
      <x:c r="I33" s="27" t="n">
        <x:v>0.2</x:v>
      </x:c>
      <x:c r="J33" s="27" t="n">
        <x:v>0.2</x:v>
      </x:c>
      <x:c r="K33" s="27" t="n">
        <x:v>0.2</x:v>
      </x:c>
      <x:c r="L33" s="27" t="n">
        <x:v>0.2</x:v>
      </x:c>
      <x:c r="M33" s="27" t="n">
        <x:v>0.2</x:v>
      </x:c>
      <x:c r="N33" s="27" t="n">
        <x:v>0.2</x:v>
      </x:c>
      <x:c r="O33" s="27" t="n">
        <x:v>0.2</x:v>
      </x:c>
      <x:c r="P33" s="27" t="n">
        <x:v>0.2</x:v>
      </x:c>
    </x:row>
    <x:row r="34" ht="22" customHeight="1">
      <x:c r="A34" s="1"/>
      <x:c r="B34" s="1"/>
      <x:c r="C34" s="4"/>
      <x:c r="D34" s="5"/>
      <x:c r="E34" s="5"/>
      <x:c r="F34" s="5"/>
      <x:c r="G34" s="5"/>
      <x:c r="H34" s="5"/>
      <x:c r="I34" s="5"/>
      <x:c r="J34" s="5"/>
      <x:c r="K34" s="5"/>
      <x:c r="L34" s="5"/>
      <x:c r="M34" s="5"/>
      <x:c r="N34" s="5"/>
      <x:c r="O34" s="5"/>
      <x:c r="P34" s="5"/>
    </x:row>
    <x:row r="35" ht="22" customHeight="1">
      <x:c r="A35" s="1"/>
      <x:c r="B35" s="1"/>
      <x:c r="C35" s="4"/>
      <x:c r="D35" s="5"/>
      <x:c r="E35" s="25" t="str">
        <x:f>IF(AND(COUNT(E20:E33)=14,MIN(E20:E33)&gt;=0,MAX(E22,E24,E25,E32,E33)&lt;=1),"Ready","Check inputs")</x:f>
        <x:v>Ready</x:v>
      </x:c>
      <x:c r="F35" s="25" t="str">
        <x:f>IF(AND(COUNT(F20:F33)=14,MIN(F20:F33)&gt;=0,MAX(F22,F24,F25,F32,F33)&lt;=1),"Ready","Check inputs")</x:f>
        <x:v>Ready</x:v>
      </x:c>
      <x:c r="G35" s="25" t="str">
        <x:f>IF(AND(COUNT(G20:G33)=14,MIN(G20:G33)&gt;=0,MAX(G22,G24,G25,G32,G33)&lt;=1),"Ready","Check inputs")</x:f>
        <x:v>Ready</x:v>
      </x:c>
      <x:c r="H35" s="25" t="str">
        <x:f>IF(AND(COUNT(H20:H33)=14,MIN(H20:H33)&gt;=0,MAX(H22,H24,H25,H32,H33)&lt;=1),"Ready","Check inputs")</x:f>
        <x:v>Ready</x:v>
      </x:c>
      <x:c r="I35" s="25" t="str">
        <x:f>IF(AND(COUNT(I20:I33)=14,MIN(I20:I33)&gt;=0,MAX(I22,I24,I25,I32,I33)&lt;=1),"Ready","Check inputs")</x:f>
        <x:v>Ready</x:v>
      </x:c>
      <x:c r="J35" s="25" t="str">
        <x:f>IF(AND(COUNT(J20:J33)=14,MIN(J20:J33)&gt;=0,MAX(J22,J24,J25,J32,J33)&lt;=1),"Ready","Check inputs")</x:f>
        <x:v>Ready</x:v>
      </x:c>
      <x:c r="K35" s="25" t="str">
        <x:f>IF(AND(COUNT(K20:K33)=14,MIN(K20:K33)&gt;=0,MAX(K22,K24,K25,K32,K33)&lt;=1),"Ready","Check inputs")</x:f>
        <x:v>Ready</x:v>
      </x:c>
      <x:c r="L35" s="25" t="str">
        <x:f>IF(AND(COUNT(L20:L33)=14,MIN(L20:L33)&gt;=0,MAX(L22,L24,L25,L32,L33)&lt;=1),"Ready","Check inputs")</x:f>
        <x:v>Ready</x:v>
      </x:c>
      <x:c r="M35" s="25" t="str">
        <x:f>IF(AND(COUNT(M20:M33)=14,MIN(M20:M33)&gt;=0,MAX(M22,M24,M25,M32,M33)&lt;=1),"Ready","Check inputs")</x:f>
        <x:v>Ready</x:v>
      </x:c>
      <x:c r="N35" s="25" t="str">
        <x:f>IF(AND(COUNT(N20:N33)=14,MIN(N20:N33)&gt;=0,MAX(N22,N24,N25,N32,N33)&lt;=1),"Ready","Check inputs")</x:f>
        <x:v>Ready</x:v>
      </x:c>
      <x:c r="O35" s="25" t="str">
        <x:f>IF(AND(COUNT(O20:O33)=14,MIN(O20:O33)&gt;=0,MAX(O22,O24,O25,O32,O33)&lt;=1),"Ready","Check inputs")</x:f>
        <x:v>Ready</x:v>
      </x:c>
      <x:c r="P35" s="25" t="str">
        <x:f>IF(AND(COUNT(P20:P33)=14,MIN(P20:P33)&gt;=0,MAX(P22,P24,P25,P32,P33)&lt;=1),"Ready","Check inputs")</x:f>
        <x:v>Ready</x:v>
      </x:c>
    </x:row>
    <x:row r="36" ht="22" customHeight="1">
      <x:c r="A36" s="1"/>
      <x:c r="B36" s="1"/>
      <x:c r="C36" s="4"/>
      <x:c r="D36" s="5"/>
      <x:c r="E36" s="5"/>
      <x:c r="F36" s="5"/>
      <x:c r="G36" s="5"/>
      <x:c r="H36" s="5"/>
      <x:c r="I36" s="5"/>
      <x:c r="J36" s="5"/>
      <x:c r="K36" s="5"/>
      <x:c r="L36" s="5"/>
      <x:c r="M36" s="5"/>
      <x:c r="N36" s="5"/>
      <x:c r="O36" s="5"/>
      <x:c r="P36" s="5"/>
    </x:row>
    <x:row r="37" ht="22" customHeight="1">
      <x:c r="A37" s="1"/>
      <x:c r="B37" s="1"/>
      <x:c r="C37" s="4" t="str">
        <x:v>Rates are fractions, entered as percentages. Use the same USD basis throughout.</x:v>
      </x:c>
      <x:c r="D37" s="5"/>
      <x:c r="E37" s="5"/>
      <x:c r="F37" s="5"/>
      <x:c r="G37" s="5"/>
      <x:c r="H37" s="5"/>
      <x:c r="I37" s="5"/>
      <x:c r="J37" s="5"/>
      <x:c r="K37" s="5"/>
      <x:c r="L37" s="5"/>
      <x:c r="M37" s="5"/>
      <x:c r="N37" s="5"/>
      <x:c r="O37" s="5"/>
      <x:c r="P37" s="5"/>
    </x:row>
    <x:row r="38" ht="22" customHeight="1">
      <x:c r="A38" s="1"/>
      <x:c r="B38" s="1"/>
      <x:c r="C38" s="4" t="str">
        <x:v>Opening retained earnings may be negative. Opening difference is not plugged.</x:v>
      </x:c>
      <x:c r="D38" s="5"/>
      <x:c r="E38" s="5"/>
      <x:c r="F38" s="5"/>
      <x:c r="G38" s="5"/>
      <x:c r="H38" s="5"/>
      <x:c r="I38" s="5"/>
      <x:c r="J38" s="5"/>
      <x:c r="K38" s="5"/>
      <x:c r="L38" s="5"/>
      <x:c r="M38" s="5"/>
      <x:c r="N38" s="5"/>
      <x:c r="O38" s="5"/>
      <x:c r="P38" s="5"/>
    </x:row>
    <x:row r="39" ht="22" customHeight="1">
      <x:c r="A39" s="1"/>
      <x:c r="B39" s="1"/>
      <x:c r="C39" s="4" t="str">
        <x:v>Definitions: SEC Beginners Guide to Financial Statements (linked on catalogue).</x:v>
      </x:c>
      <x:c r="D39" s="5"/>
      <x:c r="E39" s="5"/>
      <x:c r="F39" s="5"/>
      <x:c r="G39" s="5"/>
      <x:c r="H39" s="5"/>
      <x:c r="I39" s="5"/>
      <x:c r="J39" s="5"/>
      <x:c r="K39" s="5"/>
      <x:c r="L39" s="5"/>
      <x:c r="M39" s="5"/>
      <x:c r="N39" s="5"/>
      <x:c r="O39" s="5"/>
      <x:c r="P39" s="5"/>
    </x:row>
    <x:row r="40" ht="22" customHeight="1">
      <x:c r="A40" s="1"/>
      <x:c r="B40" s="1"/>
      <x:c r="C40" s="4"/>
      <x:c r="D40" s="5"/>
      <x:c r="E40" s="5"/>
      <x:c r="F40" s="5"/>
      <x:c r="G40" s="5"/>
      <x:c r="H40" s="5"/>
      <x:c r="I40" s="5"/>
      <x:c r="J40" s="5"/>
      <x:c r="K40" s="5"/>
      <x:c r="L40" s="5"/>
      <x:c r="M40" s="5"/>
      <x:c r="N40" s="5"/>
      <x:c r="O40" s="5"/>
      <x:c r="P40" s="5"/>
    </x:row>
  </x:sheetData>
  <x:conditionalFormatting sqref="D15:D15">
    <x:cfRule type="expression" dxfId="0" priority="1">
      <x:formula>ABS(D15)&gt;0.005</x:formula>
    </x:cfRule>
  </x:conditionalFormatting>
  <x:dataValidations count="21">
    <x:dataValidation type="decimal" operator="between" sqref="D7">
      <x:formula1>0</x:formula1>
      <x:formula2>1000000000000</x:formula2>
    </x:dataValidation>
    <x:dataValidation type="decimal" operator="between" sqref="D8">
      <x:formula1>0</x:formula1>
      <x:formula2>1000000000000</x:formula2>
    </x:dataValidation>
    <x:dataValidation type="decimal" operator="between" sqref="D9">
      <x:formula1>0</x:formula1>
      <x:formula2>1000000000000</x:formula2>
    </x:dataValidation>
    <x:dataValidation type="decimal" operator="between" sqref="D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3">
      <x:formula1>-1000000000000</x:formula1>
      <x:formula2>1000000000000</x:formula2>
    </x:dataValidation>
    <x:dataValidation type="decimal" operator="between" sqref="E20:P20">
      <x:formula1>0</x:formula1>
      <x:formula2>1000000000000</x:formula2>
    </x:dataValidation>
    <x:dataValidation type="decimal" operator="between" sqref="E21:P21">
      <x:formula1>0</x:formula1>
      <x:formula2>1000000000000</x:formula2>
    </x:dataValidation>
    <x:dataValidation type="decimal" operator="between" sqref="E22:P22">
      <x:formula1>0</x:formula1>
      <x:formula2>1</x:formula2>
    </x:dataValidation>
    <x:dataValidation type="decimal" operator="between" sqref="E23:P23">
      <x:formula1>0</x:formula1>
      <x:formula2>1000000000000</x:formula2>
    </x:dataValidation>
    <x:dataValidation type="decimal" operator="between" sqref="E24:P24">
      <x:formula1>0</x:formula1>
      <x:formula2>1</x:formula2>
    </x:dataValidation>
    <x:dataValidation type="decimal" operator="between" sqref="E25:P25">
      <x:formula1>0</x:formula1>
      <x:formula2>1</x:formula2>
    </x:dataValidation>
    <x:dataValidation type="decimal" operator="between" sqref="E26:P26">
      <x:formula1>0</x:formula1>
      <x:formula2>1000000000000</x:formula2>
    </x:dataValidation>
    <x:dataValidation type="decimal" operator="between" sqref="E27:P27">
      <x:formula1>0</x:formula1>
      <x:formula2>1000000000000</x:formula2>
    </x:dataValidation>
    <x:dataValidation type="decimal" operator="between" sqref="E28:P28">
      <x:formula1>0</x:formula1>
      <x:formula2>1000000000000</x:formula2>
    </x:dataValidation>
    <x:dataValidation type="decimal" operator="between" sqref="E29:P29">
      <x:formula1>0</x:formula1>
      <x:formula2>1000000000000</x:formula2>
    </x:dataValidation>
    <x:dataValidation type="decimal" operator="between" sqref="E30:P30">
      <x:formula1>0</x:formula1>
      <x:formula2>1000000000000</x:formula2>
    </x:dataValidation>
    <x:dataValidation type="decimal" operator="between" sqref="E31:P31">
      <x:formula1>0</x:formula1>
      <x:formula2>1000000000000</x:formula2>
    </x:dataValidation>
    <x:dataValidation type="decimal" operator="between" sqref="E32:P32">
      <x:formula1>0</x:formula1>
      <x:formula2>1</x:formula2>
    </x:dataValidation>
    <x:dataValidation type="decimal" operator="between" sqref="E33:P33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822b4a9edd00453c"/>
</x:worksheet>
</file>